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24226"/>
  <mc:AlternateContent xmlns:mc="http://schemas.openxmlformats.org/markup-compatibility/2006">
    <mc:Choice Requires="x15">
      <x15ac:absPath xmlns:x15ac="http://schemas.microsoft.com/office/spreadsheetml/2010/11/ac" url="C:\TIMES models\TIMES-tom\SubRES_TMPL\"/>
    </mc:Choice>
  </mc:AlternateContent>
  <xr:revisionPtr revIDLastSave="0" documentId="13_ncr:1_{9467B322-A0B7-45F1-9FE1-4AB7462EA8CF}" xr6:coauthVersionLast="47" xr6:coauthVersionMax="47" xr10:uidLastSave="{00000000-0000-0000-0000-000000000000}"/>
  <bookViews>
    <workbookView xWindow="17916" yWindow="0" windowWidth="21012" windowHeight="14256" firstSheet="7" activeTab="11" xr2:uid="{00000000-000D-0000-FFFF-FFFF00000000}"/>
  </bookViews>
  <sheets>
    <sheet name="LOG" sheetId="3" r:id="rId1"/>
    <sheet name="SUP_COMM" sheetId="87" r:id="rId2"/>
    <sheet name="SUP_Proc" sheetId="41" r:id="rId3"/>
    <sheet name="Other CO2 sources" sheetId="43" r:id="rId4"/>
    <sheet name="SUP_PtL_Methanol_Route" sheetId="44" r:id="rId5"/>
    <sheet name="SUP_Methanol by ETL" sheetId="45" r:id="rId6"/>
    <sheet name="SUP_DEA_ELECTRO" sheetId="84" r:id="rId7"/>
    <sheet name="SUP_H2_Production" sheetId="47" r:id="rId8"/>
    <sheet name="SUP_Ammonia" sheetId="46" r:id="rId9"/>
    <sheet name="SUP_Biofuels" sheetId="81" r:id="rId10"/>
    <sheet name="SUP_MethanationBGA" sheetId="48" r:id="rId11"/>
    <sheet name="SUP_Biogas" sheetId="49" r:id="rId12"/>
    <sheet name="SUP_H2_Delivery" sheetId="80" r:id="rId13"/>
    <sheet name="Data_CO2 sources DK" sheetId="50" r:id="rId14"/>
    <sheet name="Data_LHV fuels" sheetId="51" r:id="rId15"/>
    <sheet name="Data_H2_Production" sheetId="52" r:id="rId16"/>
    <sheet name="Data_H2_Delivery" sheetId="53" r:id="rId17"/>
    <sheet name="Data_Brændselscelle" sheetId="54" r:id="rId18"/>
    <sheet name="DATA_Methanol by BTL" sheetId="55" r:id="rId19"/>
    <sheet name="81 Biogas Plant, Basic conf." sheetId="56" r:id="rId20"/>
    <sheet name="81 Biogas Plant, Add. Straw" sheetId="57" r:id="rId21"/>
    <sheet name="81 Biogas Plant, Add. Org Waste" sheetId="58" r:id="rId22"/>
    <sheet name="82 Biogas, upgrading" sheetId="59" r:id="rId23"/>
    <sheet name="83 Gasif. Fixed Bed, Producer " sheetId="60" r:id="rId24"/>
    <sheet name="84 Gasif. CFB, Bio-SNG" sheetId="61" r:id="rId25"/>
    <sheet name="85 Gasif Ent Flow FT liq fu" sheetId="88" r:id="rId26"/>
    <sheet name="86 AEC 1MW" sheetId="89" r:id="rId27"/>
    <sheet name="86 AEC 100MW" sheetId="90" r:id="rId28"/>
    <sheet name="86 PEMEC 1MW" sheetId="91" r:id="rId29"/>
    <sheet name="86 PEMEC 100MW" sheetId="92" r:id="rId30"/>
    <sheet name="86 SOEC 1MW" sheetId="93" r:id="rId31"/>
    <sheet name="89 Vegetable oil FAME" sheetId="65" r:id="rId32"/>
    <sheet name="90 UCO &amp; animal fat FAME" sheetId="66" r:id="rId33"/>
    <sheet name="91 Hydrogenated veg oil" sheetId="67" r:id="rId34"/>
    <sheet name="92 HVO jet fuel" sheetId="68" r:id="rId35"/>
    <sheet name="93 1st generation ethanol" sheetId="69" r:id="rId36"/>
    <sheet name="94 Pyrolysis oils" sheetId="70" r:id="rId37"/>
    <sheet name="95 Cellulosic ethanol" sheetId="71" r:id="rId38"/>
    <sheet name="97 Methanol from biomass gasif." sheetId="72" r:id="rId39"/>
    <sheet name="98 Methanol from power" sheetId="73" r:id="rId40"/>
    <sheet name="99 SNG from methan. of biogas" sheetId="74" r:id="rId41"/>
    <sheet name="100 Hydrothermal liquifaction" sheetId="75" r:id="rId42"/>
    <sheet name="101 Catalytic Hydropyrolysis 2" sheetId="76" r:id="rId43"/>
    <sheet name="101 Catalytic Hydropyrolysis 1" sheetId="77" r:id="rId44"/>
    <sheet name="101 Catalytic Hydropyrolysi (2)" sheetId="85" r:id="rId45"/>
    <sheet name="101 Catalytic Hydropyrolysi (3)" sheetId="86" r:id="rId46"/>
    <sheet name="102 Hydrogen to Jet" sheetId="82" r:id="rId47"/>
    <sheet name="102 Power to Jet" sheetId="83" r:id="rId48"/>
    <sheet name="103 Hydrogen to Ammonia" sheetId="94" r:id="rId49"/>
    <sheet name="104 Methane pyrolysis, MBR" sheetId="95" r:id="rId50"/>
    <sheet name="104 Methane pyrolysis, Plasma" sheetId="96" r:id="rId51"/>
    <sheet name="Data_PEMEC" sheetId="78" r:id="rId52"/>
    <sheet name="Data_SOEC" sheetId="79" r:id="rId53"/>
  </sheets>
  <externalReferences>
    <externalReference r:id="rId54"/>
    <externalReference r:id="rId55"/>
    <externalReference r:id="rId56"/>
    <externalReference r:id="rId57"/>
    <externalReference r:id="rId58"/>
    <externalReference r:id="rId59"/>
    <externalReference r:id="rId60"/>
  </externalReferences>
  <definedNames>
    <definedName name="_Ref27922520" localSheetId="46">'102 Hydrogen to Jet'!$C$50</definedName>
    <definedName name="_Ref27922536" localSheetId="46">'102 Hydrogen to Jet'!$C$49</definedName>
    <definedName name="_Ref27922576" localSheetId="46">'102 Hydrogen to Jet'!$C$48</definedName>
    <definedName name="_Ref27922596" localSheetId="46">'102 Hydrogen to Jet'!$C$47</definedName>
    <definedName name="_Ref27922635" localSheetId="46">'102 Hydrogen to Jet'!$C$46</definedName>
    <definedName name="_Toc520721030" localSheetId="31">'89 Vegetable oil FAME'!#REF!</definedName>
    <definedName name="_Toc520721076" localSheetId="33">'91 Hydrogenated veg oil'!$C$56</definedName>
    <definedName name="_Toc520721099" localSheetId="34">'92 HVO jet fuel'!$C$56</definedName>
    <definedName name="_Toc520721122" localSheetId="35">'93 1st generation ethanol'!$C$50</definedName>
    <definedName name="_Toc520721145" localSheetId="36">'94 Pyrolysis oils'!$C$45</definedName>
    <definedName name="_Toc520721168" localSheetId="37">'95 Cellulosic ethanol'!$C$45</definedName>
    <definedName name="_Toc520721214" localSheetId="38">'97 Methanol from biomass gasif.'!$C$43</definedName>
    <definedName name="_Toc520721237" localSheetId="48">'103 Hydrogen to Ammonia'!$B$52</definedName>
    <definedName name="_Toc520721237" localSheetId="39">'98 Methanol from power'!$C$48</definedName>
    <definedName name="_Toc520721259" localSheetId="40">'99 SNG from methan. of biogas'!$B$47</definedName>
    <definedName name="_Toc520721282" localSheetId="41">'100 Hydrothermal liquifaction'!$C$46</definedName>
    <definedName name="AnnualProd_1">[1]Plants1!$N$14:$N$1884</definedName>
    <definedName name="BaseYear">[1]Start!$D$22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ElArea">[1]Start!$D$24</definedName>
    <definedName name="ELarea_1">[1]Plants1!$B$14:$B$1884</definedName>
    <definedName name="ElAreas">[1]Geo!$B$11:$B$15</definedName>
    <definedName name="ElAreas_Translate">[1]Geo!$I$11:$J$15</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uro">[2]Intro!$C$48</definedName>
    <definedName name="FID_1">[3]AGR_Fuels!$A$2</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WSTBP">'[4]O&amp;M waste '!$C$4</definedName>
    <definedName name="FuelDesc">[1]Fuel!$T$12:$U$34</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dex" localSheetId="48">#REF!</definedName>
    <definedName name="PlantDesc1">'[1]TIMES-DK codes'!$B$12:$C$48</definedName>
    <definedName name="PlantDesc2">'[1]TIMES-DK codes'!$D$12:$E$40</definedName>
    <definedName name="PlantName_1">[1]Plants1!$A$14:$A$1884</definedName>
    <definedName name="rSØK">'[5]General ass. and conv.'!$C$3</definedName>
    <definedName name="Sheet" localSheetId="48">#REF!</definedName>
    <definedName name="sheet10" localSheetId="48">#REF!</definedName>
    <definedName name="sheet10">#REF!</definedName>
    <definedName name="sheet11" localSheetId="48">#REF!</definedName>
    <definedName name="sheet11">#REF!</definedName>
    <definedName name="sheet12" localSheetId="48">#REF!</definedName>
    <definedName name="sheet13" localSheetId="48">#REF!</definedName>
    <definedName name="sheet14" localSheetId="48">#REF!</definedName>
    <definedName name="sheet15" localSheetId="48">#REF!</definedName>
    <definedName name="sheet16" localSheetId="48">#REF!</definedName>
    <definedName name="sheet17" localSheetId="48">#REF!</definedName>
    <definedName name="sheet18" localSheetId="48">#REF!</definedName>
    <definedName name="sheet19" localSheetId="48">#REF!</definedName>
    <definedName name="sheet2" localSheetId="48">#REF!</definedName>
    <definedName name="sheet20" localSheetId="48">'103 Hydrogen to Ammonia'!#REF!</definedName>
    <definedName name="sheet21" localSheetId="48">#REF!</definedName>
    <definedName name="sheet22" localSheetId="48">#REF!</definedName>
    <definedName name="sheet23" localSheetId="48">#REF!</definedName>
    <definedName name="sheet23">'101 Catalytic Hydropyrolysi (2)'!$C$3</definedName>
    <definedName name="sheet24" localSheetId="48">#REF!</definedName>
    <definedName name="sheet24">'101 Catalytic Hydropyrolysi (3)'!$C$3</definedName>
    <definedName name="sheet25" localSheetId="48">#REF!</definedName>
    <definedName name="sheet25">'102 Hydrogen to Jet'!$D$2</definedName>
    <definedName name="sheet26" localSheetId="48">#REF!</definedName>
    <definedName name="sheet26">'102 Power to Jet'!$D$2</definedName>
    <definedName name="sheet3" localSheetId="48">#REF!</definedName>
    <definedName name="sheet3" localSheetId="49">'104 Methane pyrolysis, MBR'!$C$3</definedName>
    <definedName name="sheet3" localSheetId="50">'104 Methane pyrolysis, Plasma'!$C$3</definedName>
    <definedName name="sheet3" localSheetId="27">'86 AEC 100MW'!$C$3</definedName>
    <definedName name="sheet3" localSheetId="26">'86 AEC 1MW'!$C$3</definedName>
    <definedName name="sheet3" localSheetId="29">'86 PEMEC 100MW'!$C$3</definedName>
    <definedName name="sheet3" localSheetId="28">'86 PEMEC 1MW'!$C$3</definedName>
    <definedName name="sheet3" localSheetId="30">'86 SOEC 1MW'!$C$3</definedName>
    <definedName name="sheet4" localSheetId="48">#REF!</definedName>
    <definedName name="sheet5" localSheetId="48">#REF!</definedName>
    <definedName name="sheet6" localSheetId="48">#REF!</definedName>
    <definedName name="sheet7" localSheetId="48">#REF!</definedName>
    <definedName name="sheet8" localSheetId="48">#REF!</definedName>
    <definedName name="sheet8">'85 Gasif Ent Flow FT liq fu'!$D$3</definedName>
    <definedName name="sheet9" localSheetId="48">#REF!</definedName>
    <definedName name="sheet9">#REF!</definedName>
    <definedName name="Start10" localSheetId="48">#REF!</definedName>
    <definedName name="Start10" localSheetId="25">#REF!</definedName>
    <definedName name="Start10">#REF!</definedName>
    <definedName name="Start11" localSheetId="48">#REF!</definedName>
    <definedName name="Start11" localSheetId="25">#REF!</definedName>
    <definedName name="Start11">#REF!</definedName>
    <definedName name="Start12" localSheetId="48">#REF!</definedName>
    <definedName name="Start12" localSheetId="25">'[6]89 Vegetable oil FAME'!#REF!</definedName>
    <definedName name="Start12">'89 Vegetable oil FAME'!$I$1</definedName>
    <definedName name="Start13" localSheetId="48">#REF!</definedName>
    <definedName name="Start13" localSheetId="25">'[6]90 UCO &amp; animal fat FAME'!#REF!</definedName>
    <definedName name="Start13">'90 UCO &amp; animal fat FAME'!$I$1</definedName>
    <definedName name="Start14" localSheetId="48">#REF!</definedName>
    <definedName name="Start14" localSheetId="25">'[6]91 Hydrogenated veg oil'!#REF!</definedName>
    <definedName name="Start14">'91 Hydrogenated veg oil'!$I$1</definedName>
    <definedName name="Start15" localSheetId="48">#REF!</definedName>
    <definedName name="Start15" localSheetId="25">'[6]92 HVO jet fuel'!#REF!</definedName>
    <definedName name="Start15">'92 HVO jet fuel'!$I$1</definedName>
    <definedName name="Start16" localSheetId="48">#REF!</definedName>
    <definedName name="Start16" localSheetId="25">'[6]93 1st generation ethanol'!#REF!</definedName>
    <definedName name="Start16">'93 1st generation ethanol'!$I$1</definedName>
    <definedName name="Start17" localSheetId="48">#REF!</definedName>
    <definedName name="Start17" localSheetId="25">'[6]94 Pyrolysis oils'!#REF!</definedName>
    <definedName name="Start17">'94 Pyrolysis oils'!$I$1</definedName>
    <definedName name="Start18" localSheetId="48">#REF!</definedName>
    <definedName name="Start18" localSheetId="25">'[6]95 Cellulosic ethanol'!#REF!</definedName>
    <definedName name="Start18">'95 Cellulosic ethanol'!$I$1</definedName>
    <definedName name="Start19" localSheetId="48">#REF!</definedName>
    <definedName name="Start19" localSheetId="25">'[6]97 Methanol from biomass gasif.'!#REF!</definedName>
    <definedName name="Start19">'97 Methanol from biomass gasif.'!$I$1</definedName>
    <definedName name="Start2" localSheetId="48">#REF!</definedName>
    <definedName name="Start2" localSheetId="25">'[6]81 Biogas Plant, Basic conf.'!#REF!</definedName>
    <definedName name="Start2">'[7]81 Biogas Plant, Basic conf.'!#REF!</definedName>
    <definedName name="Start20" localSheetId="48">'103 Hydrogen to Ammonia'!#REF!</definedName>
    <definedName name="Start20" localSheetId="25">'[6]98 Methanol from power'!#REF!</definedName>
    <definedName name="Start20">'98 Methanol from power'!$I$1</definedName>
    <definedName name="Start21" localSheetId="48">#REF!</definedName>
    <definedName name="Start21" localSheetId="25">'[6]99 SNG from methan. of biogas'!#REF!</definedName>
    <definedName name="Start21">'99 SNG from methan. of biogas'!$H$1</definedName>
    <definedName name="Start22" localSheetId="48">#REF!</definedName>
    <definedName name="Start22" localSheetId="25">'[6]100 Hydrothermal liquifaction'!#REF!</definedName>
    <definedName name="Start22">'100 Hydrothermal liquifaction'!$I$1</definedName>
    <definedName name="Start23" localSheetId="48">#REF!</definedName>
    <definedName name="Start23" localSheetId="25">'[6]101 Catalytic Hydropyrolysis 2'!#REF!</definedName>
    <definedName name="Start23">'101 Catalytic Hydropyrolysis 2'!$I$1</definedName>
    <definedName name="Start24" localSheetId="48">#REF!</definedName>
    <definedName name="Start24" localSheetId="25">'[6]101 Catalytic Hydropyrolysis 1'!#REF!</definedName>
    <definedName name="Start24">'101 Catalytic Hydropyrolysis 1'!$I$1</definedName>
    <definedName name="Start25" localSheetId="48">#REF!</definedName>
    <definedName name="Start25" localSheetId="25">'[6]102 Hydrogen to Jet'!#REF!</definedName>
    <definedName name="Start25">'101 Catalytic Hydropyrolysis 1'!$I$1</definedName>
    <definedName name="Start26" localSheetId="48">#REF!</definedName>
    <definedName name="Start26" localSheetId="25">'[6]102 Power to Jet'!#REF!</definedName>
    <definedName name="Start26">'102 Power to Jet'!#REF!</definedName>
    <definedName name="Start3" localSheetId="48">#REF!</definedName>
    <definedName name="Start3" localSheetId="49">'104 Methane pyrolysis, MBR'!#REF!</definedName>
    <definedName name="Start3" localSheetId="50">'104 Methane pyrolysis, Plasma'!#REF!</definedName>
    <definedName name="Start3" localSheetId="25">'[6]81 Biogas Plant, Add. Straw'!#REF!</definedName>
    <definedName name="Start3" localSheetId="27">'86 AEC 100MW'!#REF!</definedName>
    <definedName name="Start3" localSheetId="26">'86 AEC 1MW'!#REF!</definedName>
    <definedName name="Start3" localSheetId="29">'86 PEMEC 100MW'!#REF!</definedName>
    <definedName name="Start3" localSheetId="28">'86 PEMEC 1MW'!#REF!</definedName>
    <definedName name="Start3" localSheetId="30">'86 SOEC 1MW'!#REF!</definedName>
    <definedName name="Start3">'[7]81 Biogas Plant, Add. Straw'!#REF!</definedName>
    <definedName name="Start4" localSheetId="48">#REF!</definedName>
    <definedName name="Start4" localSheetId="25">'[6]81 Biogas Plant, Add. Org Waste'!#REF!</definedName>
    <definedName name="Start4">'[7]81 Biogas Plant, Add. Org Waste'!#REF!</definedName>
    <definedName name="Start5" localSheetId="48">#REF!</definedName>
    <definedName name="Start5" localSheetId="25">'[6]82 Biogas, upgrading'!#REF!</definedName>
    <definedName name="Start5">'[7]82 Biogas, upgrading'!#REF!</definedName>
    <definedName name="Start6" localSheetId="48">#REF!</definedName>
    <definedName name="Start6" localSheetId="25">'[6]83 Gasif. Fixed Bed, Producer '!#REF!</definedName>
    <definedName name="Start6">'[7]83 Gasif. Fixed Bed, Producer '!#REF!</definedName>
    <definedName name="Start7" localSheetId="48">#REF!</definedName>
    <definedName name="Start7" localSheetId="25">'[6]84 Gasif. CFB, Bio-SNG'!#REF!</definedName>
    <definedName name="Start7">'[7]84 Gasif. CFB, Bio-SNG'!#REF!</definedName>
    <definedName name="Start8" localSheetId="48">#REF!</definedName>
    <definedName name="Start8" localSheetId="25">'85 Gasif Ent Flow FT liq fu'!#REF!</definedName>
    <definedName name="Start8">'[7]85 Gasif. Ent. Flow FT, liq fu '!#REF!</definedName>
    <definedName name="Start9" localSheetId="48">#REF!</definedName>
    <definedName name="Start9" localSheetId="25">#REF!</definedName>
    <definedName name="Start9">#REF!</definedName>
    <definedName name="TechName_1">[1]Plants1!$CP$14:$CP$1884</definedName>
    <definedName name="Translate">'[1]Plants Translate 1'!$E$12:$K$55</definedName>
    <definedName name="VARWSTBO">'[4]O&amp;M waste '!$D$5</definedName>
    <definedName name="VARWSTBP">'[4]O&amp;M waste '!$D$4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1" i="49" l="1"/>
  <c r="O10" i="49"/>
  <c r="O9" i="49"/>
  <c r="O8" i="49"/>
  <c r="M14" i="49" s="1"/>
  <c r="M15" i="49" s="1"/>
  <c r="J56" i="84"/>
  <c r="J53" i="84"/>
  <c r="J50" i="84"/>
  <c r="J48" i="84"/>
  <c r="K49" i="84" s="1"/>
  <c r="J47" i="84"/>
  <c r="J43" i="84"/>
  <c r="J39" i="84"/>
  <c r="J35" i="84"/>
  <c r="J31" i="84"/>
  <c r="K14" i="84"/>
  <c r="K18" i="84"/>
  <c r="K22" i="84"/>
  <c r="K26" i="84"/>
  <c r="K30" i="84"/>
  <c r="J27" i="84"/>
  <c r="J23" i="84"/>
  <c r="J20" i="84"/>
  <c r="J19" i="84"/>
  <c r="J16" i="84"/>
  <c r="J15" i="84"/>
  <c r="J11" i="84"/>
  <c r="K34" i="84"/>
  <c r="K38" i="84"/>
  <c r="K42" i="84"/>
  <c r="K46" i="84"/>
  <c r="K52" i="84"/>
  <c r="K55" i="84"/>
  <c r="K58" i="84"/>
  <c r="M37" i="49"/>
  <c r="M38" i="49" s="1"/>
  <c r="M26" i="49"/>
  <c r="M27" i="49" s="1"/>
  <c r="S41" i="49"/>
  <c r="R41" i="49"/>
  <c r="S40" i="49"/>
  <c r="R40" i="49"/>
  <c r="S39" i="49"/>
  <c r="R39" i="49"/>
  <c r="O46" i="49"/>
  <c r="O34" i="49"/>
  <c r="O33" i="49"/>
  <c r="O32" i="49"/>
  <c r="O31" i="49"/>
  <c r="O19" i="49"/>
  <c r="AK24" i="49"/>
  <c r="O23" i="49"/>
  <c r="O22" i="49"/>
  <c r="O21" i="49"/>
  <c r="O20" i="49"/>
  <c r="X16" i="57"/>
  <c r="R19" i="49"/>
  <c r="R8" i="49"/>
  <c r="AF15" i="49"/>
  <c r="AF13" i="49"/>
  <c r="AF12" i="49"/>
  <c r="AF10" i="49"/>
  <c r="AF9" i="49"/>
  <c r="AF8" i="49"/>
  <c r="AM16" i="49"/>
  <c r="AE15" i="49" l="1"/>
  <c r="AE13" i="49"/>
  <c r="AE12" i="49"/>
  <c r="AE11" i="49"/>
  <c r="AE10" i="49"/>
  <c r="AE9" i="49"/>
  <c r="AE8" i="49"/>
  <c r="AA21" i="49" l="1"/>
  <c r="AA22" i="49" s="1"/>
  <c r="L12" i="49" l="1"/>
  <c r="L13" i="49"/>
  <c r="R16" i="49"/>
  <c r="S8" i="49"/>
  <c r="R2" i="49" s="1"/>
  <c r="S2" i="49" l="1"/>
  <c r="S1" i="49" s="1"/>
  <c r="D44" i="41"/>
  <c r="D45" i="41"/>
  <c r="D46" i="41"/>
  <c r="D47" i="41"/>
  <c r="D48" i="41"/>
  <c r="D49" i="41"/>
  <c r="D50" i="41"/>
  <c r="D51" i="41"/>
  <c r="D52" i="41"/>
  <c r="D53" i="41"/>
  <c r="D54" i="41"/>
  <c r="D55" i="41"/>
  <c r="D56" i="41"/>
  <c r="D57" i="41"/>
  <c r="C57" i="41"/>
  <c r="C56" i="41"/>
  <c r="C55" i="41"/>
  <c r="C54" i="41"/>
  <c r="C53" i="41"/>
  <c r="C52" i="41"/>
  <c r="C51" i="41"/>
  <c r="C50" i="41"/>
  <c r="C49" i="41"/>
  <c r="C48" i="41"/>
  <c r="C47" i="41"/>
  <c r="C46" i="41"/>
  <c r="C45" i="41"/>
  <c r="C44" i="41"/>
  <c r="D237" i="81"/>
  <c r="R269" i="81" l="1"/>
  <c r="G268" i="81"/>
  <c r="G276" i="81" s="1"/>
  <c r="R261" i="81"/>
  <c r="R253" i="81"/>
  <c r="G251" i="81"/>
  <c r="G259" i="81" s="1"/>
  <c r="G267" i="81" s="1"/>
  <c r="G275" i="81" s="1"/>
  <c r="G250" i="81"/>
  <c r="G258" i="81" s="1"/>
  <c r="G266" i="81" s="1"/>
  <c r="G274" i="81" s="1"/>
  <c r="G249" i="81"/>
  <c r="G257" i="81" s="1"/>
  <c r="G265" i="81" s="1"/>
  <c r="G273" i="81" s="1"/>
  <c r="E248" i="81"/>
  <c r="E256" i="81" s="1"/>
  <c r="E264" i="81" s="1"/>
  <c r="E272" i="81" s="1"/>
  <c r="E247" i="81"/>
  <c r="E255" i="81" s="1"/>
  <c r="E263" i="81" s="1"/>
  <c r="E271" i="81" s="1"/>
  <c r="E246" i="81"/>
  <c r="E254" i="81" s="1"/>
  <c r="E262" i="81" s="1"/>
  <c r="E270" i="81" s="1"/>
  <c r="R245" i="81"/>
  <c r="F245" i="81"/>
  <c r="F253" i="81" s="1"/>
  <c r="F261" i="81" s="1"/>
  <c r="F269" i="81" s="1"/>
  <c r="E245" i="81"/>
  <c r="E253" i="81" s="1"/>
  <c r="E261" i="81" s="1"/>
  <c r="E269" i="81" s="1"/>
  <c r="R237" i="81"/>
  <c r="I237" i="81"/>
  <c r="C237" i="81"/>
  <c r="D157" i="81"/>
  <c r="R189" i="81" l="1"/>
  <c r="R181" i="81"/>
  <c r="R173" i="81"/>
  <c r="G169" i="81"/>
  <c r="G177" i="81" s="1"/>
  <c r="G185" i="81" s="1"/>
  <c r="G193" i="81" s="1"/>
  <c r="E168" i="81"/>
  <c r="E176" i="81" s="1"/>
  <c r="E184" i="81" s="1"/>
  <c r="E192" i="81" s="1"/>
  <c r="E167" i="81"/>
  <c r="E175" i="81" s="1"/>
  <c r="E183" i="81" s="1"/>
  <c r="E191" i="81" s="1"/>
  <c r="E166" i="81"/>
  <c r="E174" i="81" s="1"/>
  <c r="E182" i="81" s="1"/>
  <c r="E190" i="81" s="1"/>
  <c r="R165" i="81"/>
  <c r="F165" i="81"/>
  <c r="F173" i="81" s="1"/>
  <c r="F181" i="81" s="1"/>
  <c r="F189" i="81" s="1"/>
  <c r="E165" i="81"/>
  <c r="E173" i="81" s="1"/>
  <c r="E181" i="81" s="1"/>
  <c r="E189" i="81" s="1"/>
  <c r="R157" i="81"/>
  <c r="I157" i="81"/>
  <c r="C157" i="81"/>
  <c r="E303" i="81"/>
  <c r="E307" i="81" s="1"/>
  <c r="E311" i="81" s="1"/>
  <c r="E315" i="81" s="1"/>
  <c r="E302" i="81"/>
  <c r="E306" i="81" s="1"/>
  <c r="E310" i="81" s="1"/>
  <c r="E314" i="81" s="1"/>
  <c r="E301" i="81"/>
  <c r="E305" i="81" s="1"/>
  <c r="E309" i="81" s="1"/>
  <c r="E313" i="81" s="1"/>
  <c r="E283" i="81"/>
  <c r="E287" i="81" s="1"/>
  <c r="E291" i="81" s="1"/>
  <c r="E295" i="81" s="1"/>
  <c r="E282" i="81"/>
  <c r="E286" i="81" s="1"/>
  <c r="E290" i="81" s="1"/>
  <c r="E294" i="81" s="1"/>
  <c r="E281" i="81"/>
  <c r="E285" i="81" s="1"/>
  <c r="E289" i="81" s="1"/>
  <c r="E293" i="81" s="1"/>
  <c r="D67" i="81"/>
  <c r="C67" i="81" s="1"/>
  <c r="R87" i="81"/>
  <c r="R82" i="81"/>
  <c r="R77" i="81"/>
  <c r="G76" i="81"/>
  <c r="G81" i="81" s="1"/>
  <c r="G86" i="81" s="1"/>
  <c r="G91" i="81" s="1"/>
  <c r="E75" i="81"/>
  <c r="E80" i="81" s="1"/>
  <c r="E85" i="81" s="1"/>
  <c r="E90" i="81" s="1"/>
  <c r="E74" i="81"/>
  <c r="E79" i="81" s="1"/>
  <c r="E84" i="81" s="1"/>
  <c r="E89" i="81" s="1"/>
  <c r="E73" i="81"/>
  <c r="E78" i="81" s="1"/>
  <c r="E83" i="81" s="1"/>
  <c r="E88" i="81" s="1"/>
  <c r="R72" i="81"/>
  <c r="F72" i="81"/>
  <c r="F77" i="81" s="1"/>
  <c r="F82" i="81" s="1"/>
  <c r="F87" i="81" s="1"/>
  <c r="E72" i="81"/>
  <c r="E77" i="81" s="1"/>
  <c r="E82" i="81" s="1"/>
  <c r="E87" i="81" s="1"/>
  <c r="R67" i="81"/>
  <c r="I67" i="81"/>
  <c r="L29" i="81"/>
  <c r="L28" i="81"/>
  <c r="L27" i="81"/>
  <c r="Q26" i="81"/>
  <c r="P26" i="81" a="1"/>
  <c r="P26" i="81" s="1"/>
  <c r="O26" i="81" a="1"/>
  <c r="O26" i="81" s="1"/>
  <c r="N26" i="81" a="1"/>
  <c r="N26" i="81" s="1"/>
  <c r="M26" i="81"/>
  <c r="K26" i="81"/>
  <c r="L25" i="81"/>
  <c r="L24" i="81"/>
  <c r="L23" i="81"/>
  <c r="Q22" i="81"/>
  <c r="P22" i="81" a="1"/>
  <c r="P22" i="81" s="1"/>
  <c r="O22" i="81" a="1"/>
  <c r="O22" i="81" s="1"/>
  <c r="N22" i="81" a="1"/>
  <c r="N22" i="81" s="1"/>
  <c r="M22" i="81"/>
  <c r="K22" i="81"/>
  <c r="L21" i="81"/>
  <c r="L20" i="81"/>
  <c r="L19" i="81"/>
  <c r="Q18" i="81"/>
  <c r="P18" i="81" a="1"/>
  <c r="P18" i="81" s="1"/>
  <c r="O18" i="81" a="1"/>
  <c r="O18" i="81" s="1"/>
  <c r="N18" i="81" a="1"/>
  <c r="N18" i="81" s="1"/>
  <c r="M18" i="81"/>
  <c r="K18" i="81"/>
  <c r="R14" i="81"/>
  <c r="Q14" i="81"/>
  <c r="P14" i="81" a="1"/>
  <c r="P14" i="81" s="1"/>
  <c r="O14" i="81" a="1"/>
  <c r="O14" i="81" s="1"/>
  <c r="N14" i="81" a="1"/>
  <c r="N14" i="81" s="1"/>
  <c r="M14" i="81"/>
  <c r="L17" i="81"/>
  <c r="L16" i="81"/>
  <c r="L15" i="81"/>
  <c r="K14" i="81"/>
  <c r="R26" i="81"/>
  <c r="R22" i="81"/>
  <c r="R18" i="81"/>
  <c r="K10" i="81"/>
  <c r="L13" i="81"/>
  <c r="L12" i="81"/>
  <c r="L11" i="81"/>
  <c r="M10" i="81"/>
  <c r="Q10" i="81"/>
  <c r="P10" i="81" a="1"/>
  <c r="P10" i="81" s="1"/>
  <c r="O10" i="81" a="1"/>
  <c r="O10" i="81" s="1"/>
  <c r="N10" i="81" a="1"/>
  <c r="N10" i="81" s="1"/>
  <c r="D10" i="81"/>
  <c r="R10" i="81"/>
  <c r="I10" i="81"/>
  <c r="B26" i="88"/>
  <c r="B25" i="88"/>
  <c r="C10" i="81" l="1"/>
  <c r="C43" i="41" s="1"/>
  <c r="D43" i="41"/>
  <c r="G182" i="47"/>
  <c r="D18" i="41"/>
  <c r="D19" i="41"/>
  <c r="D20" i="41"/>
  <c r="D21" i="41"/>
  <c r="D22" i="41"/>
  <c r="D23" i="41"/>
  <c r="D24" i="41"/>
  <c r="D25" i="41"/>
  <c r="D26" i="41"/>
  <c r="D27" i="41"/>
  <c r="D28" i="41"/>
  <c r="D29" i="41"/>
  <c r="D30" i="41"/>
  <c r="D31" i="41"/>
  <c r="D32" i="41"/>
  <c r="D33" i="41"/>
  <c r="D34" i="41"/>
  <c r="D35" i="41"/>
  <c r="D36" i="41"/>
  <c r="C36" i="41"/>
  <c r="C35" i="41"/>
  <c r="C34" i="41"/>
  <c r="C33" i="41"/>
  <c r="C32" i="41"/>
  <c r="C31" i="41"/>
  <c r="C30" i="41"/>
  <c r="C29" i="41"/>
  <c r="C28" i="41"/>
  <c r="C27" i="41"/>
  <c r="C26" i="41"/>
  <c r="C25" i="41"/>
  <c r="C24" i="41"/>
  <c r="C23" i="41"/>
  <c r="C22" i="41"/>
  <c r="C21" i="41"/>
  <c r="C20" i="41"/>
  <c r="C19" i="41"/>
  <c r="C18" i="41"/>
  <c r="Q243" i="47"/>
  <c r="P243" i="47"/>
  <c r="O243" i="47"/>
  <c r="I243" i="47"/>
  <c r="B243" i="47"/>
  <c r="Q242" i="47"/>
  <c r="P242" i="47"/>
  <c r="O242" i="47"/>
  <c r="I242" i="47"/>
  <c r="B242" i="47"/>
  <c r="Q241" i="47"/>
  <c r="P241" i="47"/>
  <c r="O241" i="47"/>
  <c r="I241" i="47"/>
  <c r="B241" i="47"/>
  <c r="J240" i="47"/>
  <c r="Q239" i="47"/>
  <c r="P239" i="47"/>
  <c r="O239" i="47"/>
  <c r="I239" i="47"/>
  <c r="B239" i="47"/>
  <c r="P237" i="47"/>
  <c r="O237" i="47"/>
  <c r="I237" i="47"/>
  <c r="B237" i="47"/>
  <c r="J236" i="47"/>
  <c r="Q235" i="47"/>
  <c r="Q237" i="47" s="1"/>
  <c r="P235" i="47"/>
  <c r="O235" i="47"/>
  <c r="I235" i="47"/>
  <c r="B235" i="47"/>
  <c r="Q233" i="47"/>
  <c r="P233" i="47"/>
  <c r="O233" i="47"/>
  <c r="I233" i="47"/>
  <c r="B233" i="47"/>
  <c r="Q231" i="47"/>
  <c r="P231" i="47"/>
  <c r="O231" i="47"/>
  <c r="I231" i="47"/>
  <c r="B231" i="47"/>
  <c r="Q229" i="47"/>
  <c r="P229" i="47"/>
  <c r="O229" i="47"/>
  <c r="I229" i="47"/>
  <c r="B229" i="47"/>
  <c r="Q227" i="47"/>
  <c r="P227" i="47"/>
  <c r="O227" i="47"/>
  <c r="I227" i="47"/>
  <c r="B227" i="47"/>
  <c r="Q225" i="47"/>
  <c r="P225" i="47"/>
  <c r="O225" i="47"/>
  <c r="I225" i="47"/>
  <c r="Q223" i="47"/>
  <c r="P223" i="47"/>
  <c r="O223" i="47"/>
  <c r="I223" i="47"/>
  <c r="B223" i="47"/>
  <c r="J222" i="47"/>
  <c r="Q221" i="47"/>
  <c r="P221" i="47"/>
  <c r="O221" i="47"/>
  <c r="I221" i="47"/>
  <c r="B221" i="47"/>
  <c r="Q219" i="47"/>
  <c r="P219" i="47"/>
  <c r="O219" i="47"/>
  <c r="I219" i="47"/>
  <c r="B219" i="47"/>
  <c r="J218" i="47"/>
  <c r="Q217" i="47"/>
  <c r="P217" i="47"/>
  <c r="O217" i="47"/>
  <c r="I217" i="47"/>
  <c r="B217" i="47"/>
  <c r="AG204" i="47"/>
  <c r="AF204" i="47"/>
  <c r="AE204" i="47"/>
  <c r="AD204" i="47"/>
  <c r="AG203" i="47"/>
  <c r="AF203" i="47"/>
  <c r="AG202" i="47"/>
  <c r="AG201" i="47"/>
  <c r="AF201" i="47"/>
  <c r="AE201" i="47"/>
  <c r="AD201" i="47"/>
  <c r="AG200" i="47"/>
  <c r="AF200" i="47"/>
  <c r="AE200" i="47"/>
  <c r="AD200" i="47"/>
  <c r="AG198" i="47"/>
  <c r="AF198" i="47"/>
  <c r="AE198" i="47"/>
  <c r="AG197" i="47"/>
  <c r="AF197" i="47"/>
  <c r="AE197" i="47"/>
  <c r="AG196" i="47"/>
  <c r="AF196" i="47"/>
  <c r="AE196" i="47"/>
  <c r="AG193" i="47"/>
  <c r="AF193" i="47"/>
  <c r="AE193" i="47"/>
  <c r="AD193" i="47"/>
  <c r="L193" i="47"/>
  <c r="H193" i="47"/>
  <c r="AG192" i="47"/>
  <c r="AF192" i="47"/>
  <c r="AE192" i="47"/>
  <c r="AD192" i="47"/>
  <c r="L192" i="47"/>
  <c r="K192" i="47"/>
  <c r="H192" i="47"/>
  <c r="AG191" i="47"/>
  <c r="AF191" i="47"/>
  <c r="AE191" i="47"/>
  <c r="AD191" i="47"/>
  <c r="R191" i="47"/>
  <c r="Q191" i="47"/>
  <c r="P191" i="47"/>
  <c r="O191" i="47"/>
  <c r="J191" i="47"/>
  <c r="H191" i="47"/>
  <c r="L190" i="47"/>
  <c r="K190" i="47"/>
  <c r="H190" i="47"/>
  <c r="K189" i="47"/>
  <c r="H189" i="47"/>
  <c r="AG188" i="47"/>
  <c r="AF188" i="47"/>
  <c r="AE188" i="47"/>
  <c r="AD188" i="47"/>
  <c r="R188" i="47"/>
  <c r="Q188" i="47"/>
  <c r="P188" i="47"/>
  <c r="O188" i="47"/>
  <c r="J188" i="47"/>
  <c r="H188" i="47"/>
  <c r="AG187" i="47"/>
  <c r="AF187" i="47"/>
  <c r="AE187" i="47"/>
  <c r="AD187" i="47"/>
  <c r="L187" i="47"/>
  <c r="AG186" i="47"/>
  <c r="AF186" i="47"/>
  <c r="AE186" i="47"/>
  <c r="AD186" i="47"/>
  <c r="L186" i="47"/>
  <c r="K186" i="47"/>
  <c r="H186" i="47"/>
  <c r="AG185" i="47"/>
  <c r="AF185" i="47"/>
  <c r="AF202" i="47" s="1"/>
  <c r="AE185" i="47"/>
  <c r="AE203" i="47" s="1"/>
  <c r="AD185" i="47"/>
  <c r="AD203" i="47" s="1"/>
  <c r="R185" i="47"/>
  <c r="Q185" i="47"/>
  <c r="P185" i="47"/>
  <c r="O185" i="47"/>
  <c r="N185" i="47"/>
  <c r="N188" i="47" s="1"/>
  <c r="N191" i="47" s="1"/>
  <c r="J185" i="47"/>
  <c r="H185" i="47"/>
  <c r="L184" i="47"/>
  <c r="H184" i="47"/>
  <c r="H187" i="47" s="1"/>
  <c r="L183" i="47"/>
  <c r="K183" i="47"/>
  <c r="H183" i="47"/>
  <c r="R182" i="47"/>
  <c r="Q182" i="47"/>
  <c r="P182" i="47"/>
  <c r="O182" i="47"/>
  <c r="J182" i="47"/>
  <c r="H182" i="47"/>
  <c r="E182" i="47"/>
  <c r="AG181" i="47"/>
  <c r="AF181" i="47"/>
  <c r="AE181" i="47"/>
  <c r="AD181" i="47"/>
  <c r="AE202" i="47" l="1"/>
  <c r="AD202" i="47"/>
  <c r="M140" i="47" l="1"/>
  <c r="M139" i="47"/>
  <c r="M143" i="47" s="1"/>
  <c r="S138" i="47"/>
  <c r="S141" i="47" s="1"/>
  <c r="R138" i="47"/>
  <c r="R141" i="47" s="1"/>
  <c r="Q138" i="47"/>
  <c r="Q141" i="47" s="1"/>
  <c r="O138" i="47"/>
  <c r="O141" i="47" s="1"/>
  <c r="N138" i="47"/>
  <c r="N141" i="47" s="1"/>
  <c r="L138" i="47"/>
  <c r="L142" i="47" s="1"/>
  <c r="M138" i="47"/>
  <c r="M142" i="47" s="1"/>
  <c r="K138" i="47"/>
  <c r="K141" i="47" s="1"/>
  <c r="J10" i="47"/>
  <c r="J19" i="47" s="1"/>
  <c r="K10" i="47"/>
  <c r="K112" i="47" s="1"/>
  <c r="L10" i="47"/>
  <c r="L28" i="47" s="1"/>
  <c r="M10" i="47"/>
  <c r="M19" i="47" s="1"/>
  <c r="N10" i="47"/>
  <c r="N79" i="47" s="1"/>
  <c r="P10" i="47"/>
  <c r="Q10" i="47"/>
  <c r="R10" i="47"/>
  <c r="P30" i="46"/>
  <c r="P28" i="46"/>
  <c r="P26" i="46"/>
  <c r="P24" i="46"/>
  <c r="P22" i="46"/>
  <c r="P20" i="46"/>
  <c r="P18" i="46"/>
  <c r="P16" i="46"/>
  <c r="C8" i="46"/>
  <c r="C16" i="46"/>
  <c r="C24" i="46"/>
  <c r="B24" i="46"/>
  <c r="B16" i="46"/>
  <c r="B8" i="46"/>
  <c r="N30" i="46"/>
  <c r="N28" i="46"/>
  <c r="N26" i="46"/>
  <c r="L25" i="46"/>
  <c r="L27" i="46" s="1"/>
  <c r="L29" i="46" s="1"/>
  <c r="L31" i="46" s="1"/>
  <c r="O24" i="46"/>
  <c r="O26" i="46" s="1"/>
  <c r="O28" i="46" s="1"/>
  <c r="O30" i="46" s="1"/>
  <c r="N24" i="46"/>
  <c r="K24" i="46"/>
  <c r="K26" i="46" s="1"/>
  <c r="K28" i="46" s="1"/>
  <c r="K30" i="46" s="1"/>
  <c r="Q18" i="46"/>
  <c r="Q20" i="46"/>
  <c r="Q22" i="46"/>
  <c r="Q16" i="46"/>
  <c r="O16" i="46"/>
  <c r="O18" i="46" s="1"/>
  <c r="O20" i="46" s="1"/>
  <c r="O22" i="46" s="1"/>
  <c r="N22" i="46"/>
  <c r="N20" i="46"/>
  <c r="N18" i="46"/>
  <c r="N16" i="46"/>
  <c r="M17" i="46"/>
  <c r="L17" i="46"/>
  <c r="L19" i="46" s="1"/>
  <c r="L21" i="46" s="1"/>
  <c r="L23" i="46" s="1"/>
  <c r="K16" i="46"/>
  <c r="K18" i="46" s="1"/>
  <c r="K20" i="46" s="1"/>
  <c r="K22" i="46" s="1"/>
  <c r="S30" i="46"/>
  <c r="R30" i="46"/>
  <c r="Q30" i="46"/>
  <c r="S28" i="46"/>
  <c r="R28" i="46"/>
  <c r="Q28" i="46"/>
  <c r="I28" i="46"/>
  <c r="I30" i="46" s="1"/>
  <c r="F28" i="46"/>
  <c r="F30" i="46" s="1"/>
  <c r="E28" i="46"/>
  <c r="E30" i="46" s="1"/>
  <c r="T26" i="46"/>
  <c r="T28" i="46" s="1"/>
  <c r="T30" i="46" s="1"/>
  <c r="S26" i="46"/>
  <c r="R26" i="46"/>
  <c r="Q26" i="46"/>
  <c r="T24" i="46"/>
  <c r="S24" i="46"/>
  <c r="R24" i="46"/>
  <c r="Q24" i="46"/>
  <c r="S22" i="46"/>
  <c r="R22" i="46"/>
  <c r="S20" i="46"/>
  <c r="R20" i="46"/>
  <c r="I20" i="46"/>
  <c r="I22" i="46" s="1"/>
  <c r="F20" i="46"/>
  <c r="F22" i="46" s="1"/>
  <c r="E20" i="46"/>
  <c r="E22" i="46" s="1"/>
  <c r="T18" i="46"/>
  <c r="T20" i="46" s="1"/>
  <c r="T22" i="46" s="1"/>
  <c r="S18" i="46"/>
  <c r="R18" i="46"/>
  <c r="M19" i="46"/>
  <c r="M21" i="46" s="1"/>
  <c r="M23" i="46" s="1"/>
  <c r="T16" i="46"/>
  <c r="S16" i="46"/>
  <c r="R16" i="46"/>
  <c r="S14" i="46"/>
  <c r="S12" i="46"/>
  <c r="S10" i="46"/>
  <c r="S8" i="46"/>
  <c r="R14" i="46"/>
  <c r="R12" i="46"/>
  <c r="R10" i="46"/>
  <c r="R8" i="46"/>
  <c r="Q14" i="46"/>
  <c r="Q12" i="46"/>
  <c r="Q10" i="46"/>
  <c r="Q8" i="46"/>
  <c r="M9" i="46"/>
  <c r="M11" i="46" s="1"/>
  <c r="M13" i="46" s="1"/>
  <c r="M15" i="46" s="1"/>
  <c r="L9" i="46"/>
  <c r="L11" i="46" s="1"/>
  <c r="L13" i="46" s="1"/>
  <c r="L15" i="46" s="1"/>
  <c r="K8" i="46"/>
  <c r="K10" i="46" s="1"/>
  <c r="K12" i="46" s="1"/>
  <c r="K14" i="46" s="1"/>
  <c r="O14" i="46"/>
  <c r="O12" i="46"/>
  <c r="O10" i="46"/>
  <c r="O8" i="46"/>
  <c r="N14" i="46"/>
  <c r="N12" i="46"/>
  <c r="N10" i="46"/>
  <c r="N8" i="46"/>
  <c r="T10" i="46"/>
  <c r="T8" i="46"/>
  <c r="N156" i="47" l="1"/>
  <c r="O156" i="47"/>
  <c r="K158" i="47"/>
  <c r="R158" i="47" s="1"/>
  <c r="N158" i="47"/>
  <c r="O158" i="47"/>
  <c r="K154" i="47"/>
  <c r="R154" i="47" s="1"/>
  <c r="K160" i="47"/>
  <c r="R160" i="47" s="1"/>
  <c r="O160" i="47"/>
  <c r="K162" i="47"/>
  <c r="R162" i="47" s="1"/>
  <c r="O152" i="47"/>
  <c r="K156" i="47"/>
  <c r="R156" i="47" s="1"/>
  <c r="O150" i="47"/>
  <c r="K152" i="47"/>
  <c r="R152" i="47" s="1"/>
  <c r="O162" i="47"/>
  <c r="N162" i="47"/>
  <c r="K144" i="47"/>
  <c r="R144" i="47" s="1"/>
  <c r="N146" i="47"/>
  <c r="K148" i="47"/>
  <c r="R148" i="47" s="1"/>
  <c r="N144" i="47"/>
  <c r="O144" i="47"/>
  <c r="K146" i="47"/>
  <c r="Q146" i="47" s="1"/>
  <c r="O148" i="47"/>
  <c r="O146" i="47"/>
  <c r="K150" i="47"/>
  <c r="R150" i="47" s="1"/>
  <c r="N150" i="47"/>
  <c r="L155" i="47"/>
  <c r="L145" i="47"/>
  <c r="L157" i="47"/>
  <c r="L147" i="47"/>
  <c r="L159" i="47"/>
  <c r="N148" i="47"/>
  <c r="N160" i="47"/>
  <c r="Q162" i="47"/>
  <c r="L151" i="47"/>
  <c r="K164" i="47"/>
  <c r="R164" i="47" s="1"/>
  <c r="N164" i="47"/>
  <c r="L149" i="47"/>
  <c r="N152" i="47"/>
  <c r="O164" i="47"/>
  <c r="L153" i="47"/>
  <c r="O154" i="47"/>
  <c r="L161" i="47"/>
  <c r="L163" i="47"/>
  <c r="L165" i="47"/>
  <c r="N154" i="47"/>
  <c r="N61" i="47"/>
  <c r="L74" i="47"/>
  <c r="L64" i="47"/>
  <c r="N119" i="47"/>
  <c r="N115" i="47"/>
  <c r="N113" i="47"/>
  <c r="N37" i="47"/>
  <c r="N77" i="47"/>
  <c r="M65" i="47"/>
  <c r="N63" i="47"/>
  <c r="N127" i="47"/>
  <c r="N121" i="47"/>
  <c r="N39" i="47"/>
  <c r="N111" i="47"/>
  <c r="N103" i="47"/>
  <c r="N33" i="47"/>
  <c r="N57" i="47"/>
  <c r="M121" i="47"/>
  <c r="M115" i="47"/>
  <c r="L36" i="47"/>
  <c r="L102" i="47"/>
  <c r="N31" i="47"/>
  <c r="M55" i="47"/>
  <c r="N99" i="47"/>
  <c r="N27" i="47"/>
  <c r="M111" i="47"/>
  <c r="N97" i="47"/>
  <c r="M27" i="47"/>
  <c r="N95" i="47"/>
  <c r="N25" i="47"/>
  <c r="N75" i="47"/>
  <c r="L46" i="47"/>
  <c r="N93" i="47"/>
  <c r="L18" i="47"/>
  <c r="M93" i="47"/>
  <c r="N13" i="47"/>
  <c r="N51" i="47"/>
  <c r="L92" i="47"/>
  <c r="N11" i="47"/>
  <c r="N71" i="47"/>
  <c r="N55" i="47"/>
  <c r="N85" i="47"/>
  <c r="N129" i="47"/>
  <c r="N53" i="47"/>
  <c r="M37" i="47"/>
  <c r="M83" i="47"/>
  <c r="J31" i="47"/>
  <c r="P31" i="47" s="1"/>
  <c r="K130" i="47"/>
  <c r="J77" i="47"/>
  <c r="J55" i="47"/>
  <c r="N29" i="47"/>
  <c r="J113" i="47"/>
  <c r="J129" i="47"/>
  <c r="J27" i="47"/>
  <c r="J95" i="47"/>
  <c r="J93" i="47"/>
  <c r="P93" i="47" s="1"/>
  <c r="J111" i="47"/>
  <c r="N73" i="47"/>
  <c r="N49" i="47"/>
  <c r="N23" i="47"/>
  <c r="J127" i="47"/>
  <c r="Q127" i="47" s="1"/>
  <c r="N69" i="47"/>
  <c r="N47" i="47"/>
  <c r="N21" i="47"/>
  <c r="J21" i="47"/>
  <c r="J79" i="47"/>
  <c r="P79" i="47" s="1"/>
  <c r="N109" i="47"/>
  <c r="J69" i="47"/>
  <c r="P69" i="47" s="1"/>
  <c r="J125" i="47"/>
  <c r="P125" i="47" s="1"/>
  <c r="J109" i="47"/>
  <c r="Q109" i="47" s="1"/>
  <c r="J91" i="47"/>
  <c r="Q91" i="47" s="1"/>
  <c r="N67" i="47"/>
  <c r="N45" i="47"/>
  <c r="N19" i="47"/>
  <c r="J51" i="47"/>
  <c r="P51" i="47" s="1"/>
  <c r="J75" i="47"/>
  <c r="N125" i="47"/>
  <c r="N91" i="47"/>
  <c r="K124" i="47"/>
  <c r="N107" i="47"/>
  <c r="N89" i="47"/>
  <c r="J67" i="47"/>
  <c r="Q67" i="47" s="1"/>
  <c r="N43" i="47"/>
  <c r="J49" i="47"/>
  <c r="Q49" i="47" s="1"/>
  <c r="N123" i="47"/>
  <c r="J107" i="47"/>
  <c r="P107" i="47" s="1"/>
  <c r="J89" i="47"/>
  <c r="P89" i="47" s="1"/>
  <c r="N65" i="47"/>
  <c r="N41" i="47"/>
  <c r="N17" i="47"/>
  <c r="J123" i="47"/>
  <c r="Q123" i="47" s="1"/>
  <c r="N87" i="47"/>
  <c r="J41" i="47"/>
  <c r="P41" i="47" s="1"/>
  <c r="N15" i="47"/>
  <c r="J87" i="47"/>
  <c r="P87" i="47" s="1"/>
  <c r="J65" i="47"/>
  <c r="P65" i="47" s="1"/>
  <c r="N105" i="47"/>
  <c r="J39" i="47"/>
  <c r="Q39" i="47" s="1"/>
  <c r="J101" i="47"/>
  <c r="Q101" i="47" s="1"/>
  <c r="J33" i="47"/>
  <c r="P33" i="47" s="1"/>
  <c r="J121" i="47"/>
  <c r="P121" i="47" s="1"/>
  <c r="J105" i="47"/>
  <c r="K120" i="47"/>
  <c r="J85" i="47"/>
  <c r="J11" i="47"/>
  <c r="P11" i="47" s="1"/>
  <c r="J97" i="47"/>
  <c r="P97" i="47" s="1"/>
  <c r="J37" i="47"/>
  <c r="P37" i="47" s="1"/>
  <c r="J103" i="47"/>
  <c r="N83" i="47"/>
  <c r="J63" i="47"/>
  <c r="Q63" i="47" s="1"/>
  <c r="J119" i="47"/>
  <c r="Q119" i="47" s="1"/>
  <c r="N117" i="47"/>
  <c r="N81" i="47"/>
  <c r="N59" i="47"/>
  <c r="N35" i="47"/>
  <c r="J83" i="47"/>
  <c r="Q83" i="47" s="1"/>
  <c r="J61" i="47"/>
  <c r="P61" i="47" s="1"/>
  <c r="J117" i="47"/>
  <c r="P117" i="47" s="1"/>
  <c r="N101" i="47"/>
  <c r="J59" i="47"/>
  <c r="P59" i="47" s="1"/>
  <c r="J35" i="47"/>
  <c r="Q35" i="47" s="1"/>
  <c r="J115" i="47"/>
  <c r="P115" i="47" s="1"/>
  <c r="Q19" i="47"/>
  <c r="P19" i="47"/>
  <c r="K110" i="47"/>
  <c r="M101" i="47"/>
  <c r="L82" i="47"/>
  <c r="M73" i="47"/>
  <c r="L54" i="47"/>
  <c r="M45" i="47"/>
  <c r="L26" i="47"/>
  <c r="M17" i="47"/>
  <c r="J73" i="47"/>
  <c r="J45" i="47"/>
  <c r="J17" i="47"/>
  <c r="L44" i="47"/>
  <c r="L90" i="47"/>
  <c r="J81" i="47"/>
  <c r="J53" i="47"/>
  <c r="J25" i="47"/>
  <c r="M129" i="47"/>
  <c r="M119" i="47"/>
  <c r="L72" i="47"/>
  <c r="L16" i="47"/>
  <c r="M127" i="47"/>
  <c r="K108" i="47"/>
  <c r="M99" i="47"/>
  <c r="L80" i="47"/>
  <c r="M71" i="47"/>
  <c r="L52" i="47"/>
  <c r="M43" i="47"/>
  <c r="L24" i="47"/>
  <c r="M15" i="47"/>
  <c r="M91" i="47"/>
  <c r="M63" i="47"/>
  <c r="M35" i="47"/>
  <c r="M109" i="47"/>
  <c r="M81" i="47"/>
  <c r="L62" i="47"/>
  <c r="M25" i="47"/>
  <c r="J99" i="47"/>
  <c r="J71" i="47"/>
  <c r="J43" i="47"/>
  <c r="J15" i="47"/>
  <c r="L100" i="47"/>
  <c r="K118" i="47"/>
  <c r="M53" i="47"/>
  <c r="L34" i="47"/>
  <c r="K126" i="47"/>
  <c r="M117" i="47"/>
  <c r="L98" i="47"/>
  <c r="M89" i="47"/>
  <c r="L70" i="47"/>
  <c r="M61" i="47"/>
  <c r="L42" i="47"/>
  <c r="M33" i="47"/>
  <c r="L14" i="47"/>
  <c r="K128" i="47"/>
  <c r="K116" i="47"/>
  <c r="M107" i="47"/>
  <c r="L88" i="47"/>
  <c r="M79" i="47"/>
  <c r="L60" i="47"/>
  <c r="M51" i="47"/>
  <c r="L32" i="47"/>
  <c r="M23" i="47"/>
  <c r="J23" i="47"/>
  <c r="M125" i="47"/>
  <c r="L106" i="47"/>
  <c r="M97" i="47"/>
  <c r="L78" i="47"/>
  <c r="M69" i="47"/>
  <c r="L50" i="47"/>
  <c r="M41" i="47"/>
  <c r="L22" i="47"/>
  <c r="M13" i="47"/>
  <c r="J13" i="47"/>
  <c r="L96" i="47"/>
  <c r="M87" i="47"/>
  <c r="L68" i="47"/>
  <c r="M59" i="47"/>
  <c r="L40" i="47"/>
  <c r="M31" i="47"/>
  <c r="L12" i="47"/>
  <c r="K114" i="47"/>
  <c r="M105" i="47"/>
  <c r="L86" i="47"/>
  <c r="M77" i="47"/>
  <c r="L58" i="47"/>
  <c r="M49" i="47"/>
  <c r="L30" i="47"/>
  <c r="M21" i="47"/>
  <c r="M123" i="47"/>
  <c r="L104" i="47"/>
  <c r="M95" i="47"/>
  <c r="L76" i="47"/>
  <c r="M67" i="47"/>
  <c r="L48" i="47"/>
  <c r="M39" i="47"/>
  <c r="L20" i="47"/>
  <c r="M11" i="47"/>
  <c r="M113" i="47"/>
  <c r="L94" i="47"/>
  <c r="L66" i="47"/>
  <c r="M57" i="47"/>
  <c r="L38" i="47"/>
  <c r="K122" i="47"/>
  <c r="M85" i="47"/>
  <c r="J29" i="47"/>
  <c r="M29" i="47"/>
  <c r="J57" i="47"/>
  <c r="M103" i="47"/>
  <c r="L84" i="47"/>
  <c r="M75" i="47"/>
  <c r="L56" i="47"/>
  <c r="M47" i="47"/>
  <c r="J47" i="47"/>
  <c r="O12" i="94"/>
  <c r="O14" i="94"/>
  <c r="N12" i="94"/>
  <c r="N14" i="94" s="1"/>
  <c r="F36" i="96"/>
  <c r="G36" i="96" s="1"/>
  <c r="E36" i="96"/>
  <c r="D36" i="96"/>
  <c r="B36" i="96"/>
  <c r="H31" i="96"/>
  <c r="G31" i="96"/>
  <c r="E31" i="96"/>
  <c r="F31" i="96" s="1"/>
  <c r="F30" i="96"/>
  <c r="E30" i="96"/>
  <c r="D30" i="96"/>
  <c r="J18" i="96"/>
  <c r="I18" i="96"/>
  <c r="H18" i="96"/>
  <c r="G18" i="96"/>
  <c r="J17" i="96"/>
  <c r="I17" i="96"/>
  <c r="H17" i="96"/>
  <c r="G17" i="96"/>
  <c r="F14" i="96"/>
  <c r="E14" i="96"/>
  <c r="D14" i="96"/>
  <c r="F36" i="95"/>
  <c r="G36" i="95" s="1"/>
  <c r="E36" i="95"/>
  <c r="D36" i="95"/>
  <c r="B36" i="95"/>
  <c r="H31" i="95"/>
  <c r="G31" i="95"/>
  <c r="F31" i="95"/>
  <c r="I31" i="95" s="1"/>
  <c r="E31" i="95"/>
  <c r="F30" i="95"/>
  <c r="E30" i="95"/>
  <c r="D30" i="95"/>
  <c r="J19" i="95"/>
  <c r="I19" i="95"/>
  <c r="H19" i="95"/>
  <c r="J18" i="95"/>
  <c r="I18" i="95"/>
  <c r="H18" i="95"/>
  <c r="G18" i="95"/>
  <c r="J17" i="95"/>
  <c r="I17" i="95"/>
  <c r="H17" i="95"/>
  <c r="G17" i="95"/>
  <c r="J28" i="94"/>
  <c r="I28" i="94"/>
  <c r="H28" i="94"/>
  <c r="G28" i="94"/>
  <c r="J16" i="94"/>
  <c r="I16" i="94"/>
  <c r="J15" i="94"/>
  <c r="I15" i="94"/>
  <c r="J12" i="94"/>
  <c r="I12" i="94"/>
  <c r="J11" i="94"/>
  <c r="I11" i="94"/>
  <c r="J10" i="94"/>
  <c r="I10" i="94"/>
  <c r="D7" i="94"/>
  <c r="F7" i="94" s="1"/>
  <c r="F39" i="93"/>
  <c r="G39" i="93" s="1"/>
  <c r="E39" i="93"/>
  <c r="D39" i="93"/>
  <c r="B39" i="93"/>
  <c r="I29" i="93"/>
  <c r="H29" i="93"/>
  <c r="J28" i="93"/>
  <c r="I28" i="93"/>
  <c r="H28" i="93"/>
  <c r="G28" i="93"/>
  <c r="F28" i="93"/>
  <c r="D28" i="93"/>
  <c r="E28" i="93" s="1"/>
  <c r="C28" i="93"/>
  <c r="J20" i="93"/>
  <c r="J29" i="93" s="1"/>
  <c r="I20" i="93"/>
  <c r="H20" i="93"/>
  <c r="G20" i="93"/>
  <c r="G29" i="93" s="1"/>
  <c r="F20" i="93"/>
  <c r="F29" i="93" s="1"/>
  <c r="J18" i="93"/>
  <c r="H18" i="93"/>
  <c r="J17" i="93"/>
  <c r="I17" i="93"/>
  <c r="I18" i="93" s="1"/>
  <c r="H17" i="93"/>
  <c r="G17" i="93"/>
  <c r="G18" i="93" s="1"/>
  <c r="C17" i="93"/>
  <c r="F16" i="93"/>
  <c r="D16" i="93"/>
  <c r="D17" i="93" s="1"/>
  <c r="D18" i="93" s="1"/>
  <c r="C16" i="93"/>
  <c r="C20" i="93" s="1"/>
  <c r="J13" i="93"/>
  <c r="I13" i="93"/>
  <c r="H13" i="93"/>
  <c r="G13" i="93"/>
  <c r="F13" i="93"/>
  <c r="J11" i="93"/>
  <c r="I11" i="93"/>
  <c r="H11" i="93"/>
  <c r="G11" i="93"/>
  <c r="F11" i="93"/>
  <c r="E11" i="93"/>
  <c r="D11" i="93"/>
  <c r="C11" i="93"/>
  <c r="J7" i="93"/>
  <c r="I7" i="93"/>
  <c r="H7" i="93"/>
  <c r="G7" i="93"/>
  <c r="C7" i="93"/>
  <c r="E40" i="92"/>
  <c r="F40" i="92" s="1"/>
  <c r="G40" i="92" s="1"/>
  <c r="D40" i="92"/>
  <c r="B40" i="92"/>
  <c r="J30" i="92"/>
  <c r="H30" i="92"/>
  <c r="G30" i="92"/>
  <c r="J21" i="92"/>
  <c r="I21" i="92"/>
  <c r="I12" i="92" s="1"/>
  <c r="H21" i="92"/>
  <c r="H16" i="92" s="1"/>
  <c r="H17" i="92" s="1"/>
  <c r="H19" i="92" s="1"/>
  <c r="G21" i="92"/>
  <c r="G12" i="92" s="1"/>
  <c r="I17" i="92"/>
  <c r="I19" i="92" s="1"/>
  <c r="G17" i="92"/>
  <c r="G19" i="92" s="1"/>
  <c r="J16" i="92"/>
  <c r="J17" i="92" s="1"/>
  <c r="J19" i="92" s="1"/>
  <c r="I16" i="92"/>
  <c r="G16" i="92"/>
  <c r="F15" i="92"/>
  <c r="F21" i="92" s="1"/>
  <c r="E15" i="92"/>
  <c r="E21" i="92" s="1"/>
  <c r="D15" i="92"/>
  <c r="D21" i="92" s="1"/>
  <c r="C15" i="92"/>
  <c r="C21" i="92" s="1"/>
  <c r="J12" i="92"/>
  <c r="H12" i="92"/>
  <c r="J7" i="92"/>
  <c r="I7" i="92"/>
  <c r="H7" i="92"/>
  <c r="G7" i="92"/>
  <c r="D7" i="92"/>
  <c r="C7" i="92"/>
  <c r="F40" i="91"/>
  <c r="G40" i="91" s="1"/>
  <c r="E40" i="91"/>
  <c r="D40" i="91"/>
  <c r="B40" i="91"/>
  <c r="J30" i="91"/>
  <c r="H30" i="91"/>
  <c r="G30" i="91"/>
  <c r="J21" i="91"/>
  <c r="I21" i="91"/>
  <c r="I30" i="91" s="1"/>
  <c r="H21" i="91"/>
  <c r="H16" i="91" s="1"/>
  <c r="H17" i="91" s="1"/>
  <c r="H19" i="91" s="1"/>
  <c r="G21" i="91"/>
  <c r="G16" i="91" s="1"/>
  <c r="G17" i="91" s="1"/>
  <c r="G19" i="91" s="1"/>
  <c r="J16" i="91"/>
  <c r="J17" i="91" s="1"/>
  <c r="J19" i="91" s="1"/>
  <c r="F15" i="91"/>
  <c r="F21" i="91" s="1"/>
  <c r="D15" i="91"/>
  <c r="E15" i="91" s="1"/>
  <c r="C15" i="91"/>
  <c r="C21" i="91" s="1"/>
  <c r="J12" i="91"/>
  <c r="H12" i="91"/>
  <c r="G12" i="91"/>
  <c r="J7" i="91"/>
  <c r="I7" i="91"/>
  <c r="H7" i="91"/>
  <c r="G7" i="91"/>
  <c r="F7" i="91"/>
  <c r="D7" i="91"/>
  <c r="C7" i="91"/>
  <c r="G40" i="90"/>
  <c r="F40" i="90"/>
  <c r="E40" i="90"/>
  <c r="D40" i="90"/>
  <c r="B40" i="90"/>
  <c r="J30" i="90"/>
  <c r="I30" i="90"/>
  <c r="H30" i="90"/>
  <c r="G30" i="90"/>
  <c r="J21" i="90"/>
  <c r="J12" i="90" s="1"/>
  <c r="I21" i="90"/>
  <c r="I12" i="90" s="1"/>
  <c r="H21" i="90"/>
  <c r="H12" i="90" s="1"/>
  <c r="G21" i="90"/>
  <c r="J16" i="90"/>
  <c r="J17" i="90" s="1"/>
  <c r="J19" i="90" s="1"/>
  <c r="I16" i="90"/>
  <c r="I17" i="90" s="1"/>
  <c r="I19" i="90" s="1"/>
  <c r="G16" i="90"/>
  <c r="G17" i="90" s="1"/>
  <c r="G19" i="90" s="1"/>
  <c r="F15" i="90"/>
  <c r="F7" i="90" s="1"/>
  <c r="F30" i="90" s="1"/>
  <c r="E15" i="90"/>
  <c r="D15" i="90"/>
  <c r="C15" i="90"/>
  <c r="G12" i="90"/>
  <c r="J7" i="90"/>
  <c r="I7" i="90"/>
  <c r="H7" i="90"/>
  <c r="G7" i="90"/>
  <c r="F40" i="89"/>
  <c r="G40" i="89" s="1"/>
  <c r="E40" i="89"/>
  <c r="D40" i="89"/>
  <c r="B40" i="89"/>
  <c r="G30" i="89"/>
  <c r="J21" i="89"/>
  <c r="J12" i="89" s="1"/>
  <c r="I21" i="89"/>
  <c r="H21" i="89"/>
  <c r="H12" i="89" s="1"/>
  <c r="G21" i="89"/>
  <c r="G16" i="89" s="1"/>
  <c r="G17" i="89" s="1"/>
  <c r="G19" i="89" s="1"/>
  <c r="F21" i="89"/>
  <c r="F16" i="89" s="1"/>
  <c r="D21" i="89"/>
  <c r="D12" i="89" s="1"/>
  <c r="I17" i="89"/>
  <c r="I19" i="89" s="1"/>
  <c r="J16" i="89"/>
  <c r="J17" i="89" s="1"/>
  <c r="J19" i="89" s="1"/>
  <c r="I16" i="89"/>
  <c r="F15" i="89"/>
  <c r="D15" i="89"/>
  <c r="E15" i="89" s="1"/>
  <c r="C15" i="89"/>
  <c r="C21" i="89" s="1"/>
  <c r="I12" i="89"/>
  <c r="G12" i="89"/>
  <c r="J7" i="89"/>
  <c r="J30" i="89" s="1"/>
  <c r="I7" i="89"/>
  <c r="I30" i="89" s="1"/>
  <c r="H7" i="89"/>
  <c r="H30" i="89" s="1"/>
  <c r="G7" i="89"/>
  <c r="C7" i="89"/>
  <c r="C30" i="89" s="1"/>
  <c r="G15" i="88"/>
  <c r="H14" i="88"/>
  <c r="F14" i="88"/>
  <c r="G14" i="88" s="1"/>
  <c r="H13" i="88"/>
  <c r="F13" i="88"/>
  <c r="H12" i="88"/>
  <c r="F12" i="88"/>
  <c r="G12" i="88" s="1"/>
  <c r="G13" i="88" l="1"/>
  <c r="Q93" i="47"/>
  <c r="Q154" i="47"/>
  <c r="P123" i="47"/>
  <c r="R146" i="47"/>
  <c r="Q144" i="47"/>
  <c r="Q158" i="47"/>
  <c r="Q150" i="47"/>
  <c r="Q152" i="47"/>
  <c r="Q148" i="47"/>
  <c r="Q160" i="47"/>
  <c r="Q156" i="47"/>
  <c r="Q41" i="47"/>
  <c r="Q121" i="47"/>
  <c r="Q65" i="47"/>
  <c r="Q69" i="47"/>
  <c r="Q107" i="47"/>
  <c r="Q164" i="47"/>
  <c r="P67" i="47"/>
  <c r="P101" i="47"/>
  <c r="Q31" i="47"/>
  <c r="Q51" i="47"/>
  <c r="Q89" i="47"/>
  <c r="P39" i="47"/>
  <c r="Q79" i="47"/>
  <c r="P49" i="47"/>
  <c r="Q37" i="47"/>
  <c r="Q125" i="47"/>
  <c r="Q11" i="47"/>
  <c r="Q97" i="47"/>
  <c r="Q117" i="47"/>
  <c r="Q87" i="47"/>
  <c r="Q59" i="47"/>
  <c r="Q115" i="47"/>
  <c r="Q61" i="47"/>
  <c r="P109" i="47"/>
  <c r="P105" i="47"/>
  <c r="Q105" i="47"/>
  <c r="Q75" i="47"/>
  <c r="P75" i="47"/>
  <c r="Q111" i="47"/>
  <c r="P111" i="47"/>
  <c r="P127" i="47"/>
  <c r="P95" i="47"/>
  <c r="Q95" i="47"/>
  <c r="P103" i="47"/>
  <c r="Q103" i="47"/>
  <c r="P119" i="47"/>
  <c r="Q27" i="47"/>
  <c r="P27" i="47"/>
  <c r="P129" i="47"/>
  <c r="Q129" i="47"/>
  <c r="P113" i="47"/>
  <c r="Q113" i="47"/>
  <c r="Q33" i="47"/>
  <c r="P83" i="47"/>
  <c r="P21" i="47"/>
  <c r="Q21" i="47"/>
  <c r="Q55" i="47"/>
  <c r="P55" i="47"/>
  <c r="P77" i="47"/>
  <c r="Q77" i="47"/>
  <c r="P63" i="47"/>
  <c r="P85" i="47"/>
  <c r="Q85" i="47"/>
  <c r="P91" i="47"/>
  <c r="P35" i="47"/>
  <c r="P23" i="47"/>
  <c r="Q23" i="47"/>
  <c r="P47" i="47"/>
  <c r="Q47" i="47"/>
  <c r="P15" i="47"/>
  <c r="Q15" i="47"/>
  <c r="P25" i="47"/>
  <c r="Q25" i="47"/>
  <c r="P43" i="47"/>
  <c r="Q43" i="47"/>
  <c r="P53" i="47"/>
  <c r="Q53" i="47"/>
  <c r="P71" i="47"/>
  <c r="Q71" i="47"/>
  <c r="P81" i="47"/>
  <c r="Q81" i="47"/>
  <c r="P99" i="47"/>
  <c r="Q99" i="47"/>
  <c r="P17" i="47"/>
  <c r="Q17" i="47"/>
  <c r="P45" i="47"/>
  <c r="Q45" i="47"/>
  <c r="P57" i="47"/>
  <c r="Q57" i="47"/>
  <c r="Q73" i="47"/>
  <c r="P73" i="47"/>
  <c r="P29" i="47"/>
  <c r="Q29" i="47"/>
  <c r="P13" i="47"/>
  <c r="Q13" i="47"/>
  <c r="J31" i="96"/>
  <c r="I31" i="96"/>
  <c r="E7" i="94"/>
  <c r="J31" i="95"/>
  <c r="E21" i="89"/>
  <c r="E7" i="89"/>
  <c r="E30" i="89" s="1"/>
  <c r="D30" i="92"/>
  <c r="D16" i="92"/>
  <c r="D17" i="92" s="1"/>
  <c r="D19" i="92" s="1"/>
  <c r="D12" i="92"/>
  <c r="C30" i="92"/>
  <c r="C16" i="92"/>
  <c r="C17" i="92" s="1"/>
  <c r="C19" i="92" s="1"/>
  <c r="C12" i="92"/>
  <c r="E16" i="92"/>
  <c r="E12" i="92"/>
  <c r="E30" i="92"/>
  <c r="C16" i="89"/>
  <c r="C17" i="89" s="1"/>
  <c r="C19" i="89" s="1"/>
  <c r="C12" i="89"/>
  <c r="F16" i="92"/>
  <c r="F12" i="92"/>
  <c r="F30" i="92"/>
  <c r="C30" i="91"/>
  <c r="C16" i="91"/>
  <c r="C17" i="91" s="1"/>
  <c r="C19" i="91" s="1"/>
  <c r="C12" i="91"/>
  <c r="F17" i="89"/>
  <c r="F19" i="89" s="1"/>
  <c r="E7" i="91"/>
  <c r="E21" i="91"/>
  <c r="C13" i="93"/>
  <c r="C29" i="93"/>
  <c r="F30" i="91"/>
  <c r="F16" i="91"/>
  <c r="F17" i="91" s="1"/>
  <c r="F19" i="91" s="1"/>
  <c r="F12" i="91"/>
  <c r="D16" i="89"/>
  <c r="D17" i="89" s="1"/>
  <c r="D19" i="89" s="1"/>
  <c r="H16" i="89"/>
  <c r="H17" i="89" s="1"/>
  <c r="H19" i="89" s="1"/>
  <c r="C21" i="90"/>
  <c r="D20" i="93"/>
  <c r="D21" i="90"/>
  <c r="D7" i="89"/>
  <c r="D30" i="89" s="1"/>
  <c r="E7" i="92"/>
  <c r="E17" i="92"/>
  <c r="E19" i="92" s="1"/>
  <c r="I30" i="92"/>
  <c r="F21" i="90"/>
  <c r="F7" i="92"/>
  <c r="F17" i="92"/>
  <c r="F19" i="92" s="1"/>
  <c r="F7" i="89"/>
  <c r="F30" i="89" s="1"/>
  <c r="I12" i="91"/>
  <c r="H16" i="90"/>
  <c r="H17" i="90" s="1"/>
  <c r="H19" i="90" s="1"/>
  <c r="E16" i="93"/>
  <c r="C7" i="90"/>
  <c r="C30" i="90" s="1"/>
  <c r="D7" i="93"/>
  <c r="D7" i="90"/>
  <c r="D30" i="90" s="1"/>
  <c r="E21" i="90"/>
  <c r="D21" i="91"/>
  <c r="F12" i="89"/>
  <c r="E7" i="90"/>
  <c r="E30" i="90" s="1"/>
  <c r="F7" i="93"/>
  <c r="F17" i="93"/>
  <c r="F18" i="93" s="1"/>
  <c r="I16" i="91"/>
  <c r="I17" i="91" s="1"/>
  <c r="I19" i="91" s="1"/>
  <c r="C18" i="93"/>
  <c r="E30" i="91" l="1"/>
  <c r="E16" i="91"/>
  <c r="E17" i="91" s="1"/>
  <c r="E19" i="91" s="1"/>
  <c r="E12" i="91"/>
  <c r="E17" i="93"/>
  <c r="E18" i="93" s="1"/>
  <c r="E7" i="93"/>
  <c r="E20" i="93"/>
  <c r="D12" i="90"/>
  <c r="D16" i="90"/>
  <c r="D17" i="90" s="1"/>
  <c r="D19" i="90" s="1"/>
  <c r="E16" i="90"/>
  <c r="E17" i="90" s="1"/>
  <c r="E19" i="90" s="1"/>
  <c r="E12" i="90"/>
  <c r="C12" i="90"/>
  <c r="C16" i="90"/>
  <c r="C17" i="90" s="1"/>
  <c r="C19" i="90" s="1"/>
  <c r="D30" i="91"/>
  <c r="D12" i="91"/>
  <c r="D16" i="91"/>
  <c r="D17" i="91" s="1"/>
  <c r="D19" i="91" s="1"/>
  <c r="F12" i="90"/>
  <c r="F16" i="90"/>
  <c r="F17" i="90" s="1"/>
  <c r="F19" i="90" s="1"/>
  <c r="E16" i="89"/>
  <c r="E17" i="89" s="1"/>
  <c r="E19" i="89" s="1"/>
  <c r="E12" i="89"/>
  <c r="D29" i="93"/>
  <c r="D13" i="93"/>
  <c r="E29" i="93" l="1"/>
  <c r="E13" i="93"/>
  <c r="F21" i="77" l="1"/>
  <c r="H31" i="77"/>
  <c r="H30" i="77"/>
  <c r="E30" i="77"/>
  <c r="G31" i="77"/>
  <c r="F31" i="77"/>
  <c r="G30" i="77"/>
  <c r="F30" i="77"/>
  <c r="H29" i="77"/>
  <c r="G29" i="77"/>
  <c r="F29" i="77"/>
  <c r="E31" i="77"/>
  <c r="E29" i="77"/>
  <c r="H21" i="76"/>
  <c r="G21" i="76"/>
  <c r="F21" i="76"/>
  <c r="E21" i="76"/>
  <c r="H37" i="76"/>
  <c r="G37" i="76"/>
  <c r="F37" i="76"/>
  <c r="H36" i="76"/>
  <c r="G36" i="76"/>
  <c r="F36" i="76"/>
  <c r="E36" i="76"/>
  <c r="E37" i="76"/>
  <c r="H21" i="77"/>
  <c r="L351" i="81" l="1"/>
  <c r="L356" i="81" s="1"/>
  <c r="L361" i="81" s="1"/>
  <c r="L366" i="81" s="1"/>
  <c r="L350" i="81"/>
  <c r="L355" i="81" s="1"/>
  <c r="L360" i="81" s="1"/>
  <c r="L365" i="81" s="1"/>
  <c r="U19" i="49" l="1"/>
  <c r="U31" i="49"/>
  <c r="V30" i="52"/>
  <c r="U30" i="52"/>
  <c r="V29" i="52"/>
  <c r="U29" i="52"/>
  <c r="Q56" i="84" l="1"/>
  <c r="Q53" i="84"/>
  <c r="F52" i="84"/>
  <c r="F55" i="84" s="1"/>
  <c r="F58" i="84" s="1"/>
  <c r="D51" i="84"/>
  <c r="D54" i="84" s="1"/>
  <c r="D57" i="84" s="1"/>
  <c r="Q50" i="84"/>
  <c r="E50" i="84"/>
  <c r="E53" i="84" s="1"/>
  <c r="E56" i="84" s="1"/>
  <c r="D50" i="84"/>
  <c r="D53" i="84" s="1"/>
  <c r="D56" i="84" s="1"/>
  <c r="Q47" i="84"/>
  <c r="C47" i="84"/>
  <c r="B47" i="84" s="1"/>
  <c r="C42" i="41" s="1"/>
  <c r="Q43" i="84"/>
  <c r="Q39" i="84"/>
  <c r="F38" i="84"/>
  <c r="F42" i="84" s="1"/>
  <c r="F46" i="84" s="1"/>
  <c r="D37" i="84"/>
  <c r="D41" i="84" s="1"/>
  <c r="D45" i="84" s="1"/>
  <c r="D36" i="84"/>
  <c r="D40" i="84" s="1"/>
  <c r="D44" i="84" s="1"/>
  <c r="Q35" i="84"/>
  <c r="E35" i="84"/>
  <c r="E39" i="84" s="1"/>
  <c r="E43" i="84" s="1"/>
  <c r="D35" i="84"/>
  <c r="D39" i="84" s="1"/>
  <c r="D43" i="84" s="1"/>
  <c r="Q31" i="84"/>
  <c r="C31" i="84"/>
  <c r="B31" i="84" s="1"/>
  <c r="C41" i="41" s="1"/>
  <c r="Q27" i="84"/>
  <c r="Q23" i="84"/>
  <c r="Q19" i="84"/>
  <c r="F18" i="84"/>
  <c r="F22" i="84" s="1"/>
  <c r="F26" i="84" s="1"/>
  <c r="F30" i="84" s="1"/>
  <c r="D17" i="84"/>
  <c r="D21" i="84" s="1"/>
  <c r="D25" i="84" s="1"/>
  <c r="D29" i="84" s="1"/>
  <c r="D16" i="84"/>
  <c r="D20" i="84" s="1"/>
  <c r="D24" i="84" s="1"/>
  <c r="D28" i="84" s="1"/>
  <c r="Q15" i="84"/>
  <c r="E15" i="84"/>
  <c r="E19" i="84" s="1"/>
  <c r="E23" i="84" s="1"/>
  <c r="E27" i="84" s="1"/>
  <c r="D15" i="84"/>
  <c r="D19" i="84" s="1"/>
  <c r="D23" i="84" s="1"/>
  <c r="D27" i="84" s="1"/>
  <c r="Q11" i="84"/>
  <c r="H11" i="84"/>
  <c r="C11" i="84"/>
  <c r="B11" i="84" s="1"/>
  <c r="C40" i="41" s="1"/>
  <c r="O9" i="84"/>
  <c r="N9" i="84"/>
  <c r="M9" i="84"/>
  <c r="P8" i="84"/>
  <c r="W6" i="84"/>
  <c r="V6" i="84"/>
  <c r="U6" i="84"/>
  <c r="G23" i="83"/>
  <c r="F23" i="83"/>
  <c r="E23" i="83"/>
  <c r="D23" i="83"/>
  <c r="G24" i="82"/>
  <c r="F24" i="82"/>
  <c r="E24" i="82"/>
  <c r="D24" i="82"/>
  <c r="B24" i="82"/>
  <c r="B25" i="82"/>
  <c r="B24" i="83"/>
  <c r="B23" i="83"/>
  <c r="B22" i="83"/>
  <c r="B23" i="82"/>
  <c r="B22" i="82"/>
  <c r="B25" i="73"/>
  <c r="B24" i="73"/>
  <c r="B23" i="73"/>
  <c r="G56" i="77"/>
  <c r="F56" i="77"/>
  <c r="E56" i="77"/>
  <c r="E65" i="76"/>
  <c r="F65" i="76" s="1"/>
  <c r="E64" i="76"/>
  <c r="E66" i="76" s="1"/>
  <c r="E79" i="76" s="1"/>
  <c r="E25" i="76" s="1"/>
  <c r="F25" i="76" s="1"/>
  <c r="G25" i="76" s="1"/>
  <c r="H25" i="76" s="1"/>
  <c r="E54" i="77"/>
  <c r="E57" i="77" s="1"/>
  <c r="E53" i="77"/>
  <c r="G54" i="77"/>
  <c r="G64" i="77" s="1"/>
  <c r="G65" i="77" s="1"/>
  <c r="F54" i="77"/>
  <c r="G53" i="77"/>
  <c r="F53" i="77"/>
  <c r="E21" i="77"/>
  <c r="E62" i="76"/>
  <c r="G62" i="76"/>
  <c r="F62" i="76"/>
  <c r="G61" i="76"/>
  <c r="F61" i="76"/>
  <c r="E61" i="76"/>
  <c r="D42" i="41" l="1"/>
  <c r="D41" i="41"/>
  <c r="D40" i="41"/>
  <c r="E64" i="77"/>
  <c r="E58" i="77"/>
  <c r="E59" i="77" s="1"/>
  <c r="E67" i="77"/>
  <c r="F67" i="76"/>
  <c r="G65" i="76"/>
  <c r="E76" i="76"/>
  <c r="F69" i="76"/>
  <c r="F71" i="76" s="1"/>
  <c r="G69" i="76"/>
  <c r="G71" i="76" s="1"/>
  <c r="E67" i="76"/>
  <c r="F64" i="76"/>
  <c r="G64" i="76" s="1"/>
  <c r="G66" i="76" s="1"/>
  <c r="G79" i="76" s="1"/>
  <c r="G80" i="76" s="1"/>
  <c r="E68" i="76"/>
  <c r="E70" i="76" s="1"/>
  <c r="G67" i="76"/>
  <c r="F57" i="77"/>
  <c r="F58" i="77" s="1"/>
  <c r="F59" i="77" s="1"/>
  <c r="G57" i="77"/>
  <c r="G67" i="77" s="1"/>
  <c r="G58" i="77"/>
  <c r="G59" i="77" s="1"/>
  <c r="E80" i="76"/>
  <c r="E69" i="76"/>
  <c r="E71" i="76" s="1"/>
  <c r="E68" i="77" l="1"/>
  <c r="E23" i="77"/>
  <c r="E22" i="77"/>
  <c r="F22" i="77" s="1"/>
  <c r="G22" i="77" s="1"/>
  <c r="H22" i="77" s="1"/>
  <c r="E65" i="77"/>
  <c r="F68" i="76"/>
  <c r="F70" i="76" s="1"/>
  <c r="G76" i="76"/>
  <c r="G77" i="76" s="1"/>
  <c r="G68" i="76"/>
  <c r="G70" i="76" s="1"/>
  <c r="F66" i="76"/>
  <c r="E77" i="76"/>
  <c r="E24" i="76"/>
  <c r="F24" i="76"/>
  <c r="G24" i="76" s="1"/>
  <c r="H24" i="76" s="1"/>
  <c r="B26" i="72" l="1"/>
  <c r="B25" i="72"/>
  <c r="G34" i="81"/>
  <c r="G37" i="81" s="1"/>
  <c r="G40" i="81" s="1"/>
  <c r="D30" i="81"/>
  <c r="C30" i="81" s="1"/>
  <c r="D42" i="81"/>
  <c r="E24" i="48" l="1"/>
  <c r="E20" i="48"/>
  <c r="E16" i="48"/>
  <c r="E15" i="48"/>
  <c r="E19" i="48" s="1"/>
  <c r="E23" i="48" s="1"/>
  <c r="E12" i="48"/>
  <c r="E11" i="48"/>
  <c r="W5" i="81" l="1"/>
  <c r="X5" i="81"/>
  <c r="Y5" i="81"/>
  <c r="Q7" i="81"/>
  <c r="N8" i="81"/>
  <c r="O8" i="81"/>
  <c r="P8" i="81"/>
  <c r="E33" i="81"/>
  <c r="E36" i="81" s="1"/>
  <c r="E39" i="81" s="1"/>
  <c r="F33" i="81"/>
  <c r="F36" i="81" s="1"/>
  <c r="F39" i="81" s="1"/>
  <c r="H33" i="81"/>
  <c r="H36" i="81" s="1"/>
  <c r="H39" i="81" s="1"/>
  <c r="U33" i="81"/>
  <c r="U36" i="81" s="1"/>
  <c r="U39" i="81" s="1"/>
  <c r="V33" i="81"/>
  <c r="V36" i="81" s="1"/>
  <c r="V39" i="81" s="1"/>
  <c r="G35" i="81"/>
  <c r="G38" i="81" s="1"/>
  <c r="G41" i="81" s="1"/>
  <c r="C42" i="81"/>
  <c r="I42" i="81"/>
  <c r="E47" i="81"/>
  <c r="E52" i="81" s="1"/>
  <c r="E57" i="81" s="1"/>
  <c r="E62" i="81" s="1"/>
  <c r="F47" i="81"/>
  <c r="F52" i="81" s="1"/>
  <c r="F57" i="81" s="1"/>
  <c r="F62" i="81" s="1"/>
  <c r="E48" i="81"/>
  <c r="E53" i="81" s="1"/>
  <c r="E58" i="81" s="1"/>
  <c r="E63" i="81" s="1"/>
  <c r="E49" i="81"/>
  <c r="E54" i="81" s="1"/>
  <c r="E59" i="81" s="1"/>
  <c r="E64" i="81" s="1"/>
  <c r="E50" i="81"/>
  <c r="E55" i="81" s="1"/>
  <c r="E60" i="81" s="1"/>
  <c r="E65" i="81" s="1"/>
  <c r="G51" i="81"/>
  <c r="G56" i="81" s="1"/>
  <c r="G61" i="81" s="1"/>
  <c r="G66" i="81" s="1"/>
  <c r="D92" i="81"/>
  <c r="C92" i="81" s="1"/>
  <c r="I92" i="81"/>
  <c r="E97" i="81"/>
  <c r="E102" i="81" s="1"/>
  <c r="E107" i="81" s="1"/>
  <c r="E112" i="81" s="1"/>
  <c r="F97" i="81"/>
  <c r="F102" i="81" s="1"/>
  <c r="F107" i="81" s="1"/>
  <c r="F112" i="81" s="1"/>
  <c r="E98" i="81"/>
  <c r="E103" i="81" s="1"/>
  <c r="E108" i="81" s="1"/>
  <c r="E113" i="81" s="1"/>
  <c r="E99" i="81"/>
  <c r="E104" i="81" s="1"/>
  <c r="E109" i="81" s="1"/>
  <c r="E114" i="81" s="1"/>
  <c r="E100" i="81"/>
  <c r="E105" i="81" s="1"/>
  <c r="E110" i="81" s="1"/>
  <c r="E115" i="81" s="1"/>
  <c r="G101" i="81"/>
  <c r="G106" i="81" s="1"/>
  <c r="G111" i="81" s="1"/>
  <c r="G116" i="81" s="1"/>
  <c r="D117" i="81"/>
  <c r="C117" i="81" s="1"/>
  <c r="I117" i="81"/>
  <c r="E125" i="81"/>
  <c r="E133" i="81" s="1"/>
  <c r="E141" i="81" s="1"/>
  <c r="E149" i="81" s="1"/>
  <c r="F125" i="81"/>
  <c r="F133" i="81" s="1"/>
  <c r="F141" i="81" s="1"/>
  <c r="F149" i="81" s="1"/>
  <c r="E126" i="81"/>
  <c r="E134" i="81" s="1"/>
  <c r="E142" i="81" s="1"/>
  <c r="E150" i="81" s="1"/>
  <c r="E127" i="81"/>
  <c r="E135" i="81" s="1"/>
  <c r="E143" i="81" s="1"/>
  <c r="E151" i="81" s="1"/>
  <c r="E128" i="81"/>
  <c r="E136" i="81" s="1"/>
  <c r="E144" i="81" s="1"/>
  <c r="E152" i="81" s="1"/>
  <c r="G129" i="81"/>
  <c r="G137" i="81" s="1"/>
  <c r="G145" i="81" s="1"/>
  <c r="G153" i="81" s="1"/>
  <c r="D197" i="81"/>
  <c r="C197" i="81" s="1"/>
  <c r="I197" i="81"/>
  <c r="E205" i="81"/>
  <c r="E213" i="81" s="1"/>
  <c r="E221" i="81" s="1"/>
  <c r="E229" i="81" s="1"/>
  <c r="F205" i="81"/>
  <c r="F213" i="81" s="1"/>
  <c r="F221" i="81" s="1"/>
  <c r="F229" i="81" s="1"/>
  <c r="E206" i="81"/>
  <c r="E214" i="81" s="1"/>
  <c r="E222" i="81" s="1"/>
  <c r="E230" i="81" s="1"/>
  <c r="E207" i="81"/>
  <c r="E215" i="81" s="1"/>
  <c r="E223" i="81" s="1"/>
  <c r="E231" i="81" s="1"/>
  <c r="E208" i="81"/>
  <c r="E216" i="81" s="1"/>
  <c r="E224" i="81" s="1"/>
  <c r="E232" i="81" s="1"/>
  <c r="G209" i="81"/>
  <c r="G217" i="81" s="1"/>
  <c r="G225" i="81" s="1"/>
  <c r="G233" i="81" s="1"/>
  <c r="G210" i="81"/>
  <c r="G218" i="81" s="1"/>
  <c r="G226" i="81" s="1"/>
  <c r="G234" i="81" s="1"/>
  <c r="G211" i="81"/>
  <c r="G219" i="81" s="1"/>
  <c r="G227" i="81" s="1"/>
  <c r="G235" i="81" s="1"/>
  <c r="G228" i="81"/>
  <c r="G236" i="81" s="1"/>
  <c r="D277" i="81"/>
  <c r="C277" i="81" s="1"/>
  <c r="I277" i="81"/>
  <c r="K277" i="81"/>
  <c r="M277" i="81"/>
  <c r="N277" i="81"/>
  <c r="O277" i="81"/>
  <c r="P277" i="81"/>
  <c r="Q277" i="81"/>
  <c r="S277" i="81"/>
  <c r="K278" i="81"/>
  <c r="K279" i="81"/>
  <c r="L280" i="81"/>
  <c r="I281" i="81"/>
  <c r="K281" i="81"/>
  <c r="M281" i="81"/>
  <c r="N281" i="81"/>
  <c r="O281" i="81"/>
  <c r="P281" i="81"/>
  <c r="Q281" i="81"/>
  <c r="S281" i="81"/>
  <c r="K282" i="81"/>
  <c r="K283" i="81"/>
  <c r="L284" i="81"/>
  <c r="I285" i="81"/>
  <c r="K285" i="81"/>
  <c r="M285" i="81"/>
  <c r="N285" i="81"/>
  <c r="O285" i="81"/>
  <c r="P285" i="81"/>
  <c r="Q285" i="81"/>
  <c r="S285" i="81"/>
  <c r="K286" i="81"/>
  <c r="K287" i="81"/>
  <c r="L288" i="81"/>
  <c r="I289" i="81"/>
  <c r="K289" i="81"/>
  <c r="M289" i="81"/>
  <c r="N289" i="81"/>
  <c r="O289" i="81"/>
  <c r="P289" i="81"/>
  <c r="Q289" i="81"/>
  <c r="S289" i="81"/>
  <c r="K290" i="81"/>
  <c r="K291" i="81"/>
  <c r="L292" i="81"/>
  <c r="I293" i="81"/>
  <c r="K293" i="81"/>
  <c r="M293" i="81"/>
  <c r="N293" i="81"/>
  <c r="O293" i="81"/>
  <c r="P293" i="81"/>
  <c r="Q293" i="81"/>
  <c r="S293" i="81"/>
  <c r="K294" i="81"/>
  <c r="K295" i="81"/>
  <c r="L296" i="81"/>
  <c r="D297" i="81"/>
  <c r="C297" i="81" s="1"/>
  <c r="I297" i="81"/>
  <c r="K297" i="81"/>
  <c r="M297" i="81"/>
  <c r="N297" i="81"/>
  <c r="O297" i="81"/>
  <c r="P297" i="81" a="1"/>
  <c r="P297" i="81" s="1"/>
  <c r="Q297" i="81"/>
  <c r="S297" i="81"/>
  <c r="K298" i="81"/>
  <c r="K299" i="81"/>
  <c r="L300" i="81"/>
  <c r="F301" i="81"/>
  <c r="F305" i="81" s="1"/>
  <c r="F309" i="81" s="1"/>
  <c r="F313" i="81" s="1"/>
  <c r="I301" i="81"/>
  <c r="K301" i="81"/>
  <c r="M301" i="81"/>
  <c r="N301" i="81"/>
  <c r="O301" i="81"/>
  <c r="P301" i="81"/>
  <c r="Q301" i="81"/>
  <c r="S301" i="81"/>
  <c r="K302" i="81"/>
  <c r="K303" i="81"/>
  <c r="L304" i="81"/>
  <c r="I305" i="81"/>
  <c r="K305" i="81"/>
  <c r="M305" i="81"/>
  <c r="N305" i="81"/>
  <c r="O305" i="81"/>
  <c r="P305" i="81"/>
  <c r="Q305" i="81"/>
  <c r="S305" i="81"/>
  <c r="K306" i="81"/>
  <c r="K307" i="81"/>
  <c r="L308" i="81"/>
  <c r="I309" i="81"/>
  <c r="K309" i="81"/>
  <c r="M309" i="81"/>
  <c r="N309" i="81"/>
  <c r="O309" i="81"/>
  <c r="P309" i="81"/>
  <c r="Q309" i="81"/>
  <c r="S309" i="81"/>
  <c r="K310" i="81"/>
  <c r="K311" i="81"/>
  <c r="L312" i="81"/>
  <c r="I313" i="81"/>
  <c r="K313" i="81"/>
  <c r="M313" i="81"/>
  <c r="N313" i="81"/>
  <c r="O313" i="81"/>
  <c r="P313" i="81"/>
  <c r="Q313" i="81"/>
  <c r="S313" i="81"/>
  <c r="K314" i="81"/>
  <c r="K315" i="81"/>
  <c r="L316" i="81"/>
  <c r="D317" i="81"/>
  <c r="C317" i="81" s="1"/>
  <c r="I317" i="81"/>
  <c r="W317" i="81"/>
  <c r="W319" i="81" s="1"/>
  <c r="W321" i="81" s="1"/>
  <c r="W323" i="81" s="1"/>
  <c r="W325" i="81" s="1"/>
  <c r="X317" i="81"/>
  <c r="Y318" i="81"/>
  <c r="Y320" i="81" s="1"/>
  <c r="I319" i="81"/>
  <c r="I321" i="81"/>
  <c r="I323" i="81"/>
  <c r="I325" i="81"/>
  <c r="D327" i="81"/>
  <c r="C327" i="81" s="1"/>
  <c r="I327" i="81"/>
  <c r="F329" i="81"/>
  <c r="F331" i="81" s="1"/>
  <c r="F333" i="81" s="1"/>
  <c r="D335" i="81"/>
  <c r="C335" i="81" s="1"/>
  <c r="I335" i="81"/>
  <c r="F338" i="81"/>
  <c r="F341" i="81" s="1"/>
  <c r="F344" i="81" s="1"/>
  <c r="D347" i="81"/>
  <c r="I347" i="81"/>
  <c r="E352" i="81"/>
  <c r="E357" i="81" s="1"/>
  <c r="E362" i="81" s="1"/>
  <c r="F352" i="81"/>
  <c r="F357" i="81" s="1"/>
  <c r="F362" i="81" s="1"/>
  <c r="E353" i="81"/>
  <c r="E358" i="81" s="1"/>
  <c r="E363" i="81" s="1"/>
  <c r="G354" i="81"/>
  <c r="G359" i="81" s="1"/>
  <c r="G364" i="81" s="1"/>
  <c r="G355" i="81"/>
  <c r="G360" i="81" s="1"/>
  <c r="G365" i="81" s="1"/>
  <c r="G356" i="81"/>
  <c r="G361" i="81" s="1"/>
  <c r="G366" i="81" s="1"/>
  <c r="L10" i="80"/>
  <c r="M10" i="80"/>
  <c r="N10" i="80"/>
  <c r="O10" i="80"/>
  <c r="P10" i="80"/>
  <c r="Q10" i="80"/>
  <c r="L11" i="80"/>
  <c r="M11" i="80"/>
  <c r="N11" i="80"/>
  <c r="O11" i="80"/>
  <c r="P11" i="80"/>
  <c r="Q11" i="80"/>
  <c r="S26" i="79"/>
  <c r="Z35" i="79"/>
  <c r="AA35" i="79"/>
  <c r="AB35" i="79"/>
  <c r="AC35" i="79"/>
  <c r="W48" i="79"/>
  <c r="X48" i="79"/>
  <c r="Y48" i="79"/>
  <c r="Z48" i="79"/>
  <c r="AA48" i="79"/>
  <c r="AB48" i="79"/>
  <c r="AC48" i="79"/>
  <c r="U40" i="78"/>
  <c r="U41" i="78"/>
  <c r="U42" i="78"/>
  <c r="V42" i="78"/>
  <c r="W42" i="78"/>
  <c r="X42" i="78"/>
  <c r="Y42" i="78"/>
  <c r="Z42" i="78"/>
  <c r="AA42" i="78"/>
  <c r="AB42" i="78"/>
  <c r="B20" i="77"/>
  <c r="B21" i="77"/>
  <c r="D21" i="77"/>
  <c r="G21" i="77"/>
  <c r="B22" i="77"/>
  <c r="D22" i="77"/>
  <c r="B23" i="77"/>
  <c r="B23" i="76"/>
  <c r="B24" i="76"/>
  <c r="B25" i="76"/>
  <c r="P20" i="75"/>
  <c r="B23" i="75"/>
  <c r="B24" i="75"/>
  <c r="B22" i="71"/>
  <c r="B23" i="71"/>
  <c r="B23" i="70"/>
  <c r="B24" i="70"/>
  <c r="B23" i="69"/>
  <c r="B24" i="69"/>
  <c r="B25" i="69"/>
  <c r="D18" i="68"/>
  <c r="E18" i="68"/>
  <c r="F18" i="68"/>
  <c r="G18" i="68"/>
  <c r="H18" i="68"/>
  <c r="B28" i="68"/>
  <c r="B29" i="68"/>
  <c r="D18" i="67"/>
  <c r="E18" i="67"/>
  <c r="F18" i="67"/>
  <c r="G18" i="67"/>
  <c r="H18" i="67"/>
  <c r="B28" i="67"/>
  <c r="B29" i="67"/>
  <c r="B25" i="66"/>
  <c r="B26" i="66"/>
  <c r="D22" i="65"/>
  <c r="E22" i="65"/>
  <c r="F22" i="65"/>
  <c r="H22" i="65"/>
  <c r="B25" i="65"/>
  <c r="B26" i="65"/>
  <c r="R9" i="61"/>
  <c r="T9" i="61" s="1"/>
  <c r="R10" i="61"/>
  <c r="N25" i="60"/>
  <c r="O25" i="60"/>
  <c r="P25" i="60"/>
  <c r="P15" i="58"/>
  <c r="Q15" i="58"/>
  <c r="R15" i="58" s="1"/>
  <c r="T15" i="58"/>
  <c r="X19" i="58" s="1"/>
  <c r="U15" i="58"/>
  <c r="V15" i="58"/>
  <c r="W15" i="58"/>
  <c r="X15" i="58"/>
  <c r="P16" i="58"/>
  <c r="Q16" i="58"/>
  <c r="R16" i="58"/>
  <c r="S16" i="58"/>
  <c r="T16" i="58"/>
  <c r="U16" i="58"/>
  <c r="V16" i="58"/>
  <c r="W16" i="58"/>
  <c r="X16" i="58"/>
  <c r="R31" i="49" s="1"/>
  <c r="P18" i="58"/>
  <c r="Q18" i="58"/>
  <c r="R18" i="58"/>
  <c r="S18" i="58"/>
  <c r="T18" i="58"/>
  <c r="X18" i="58" s="1"/>
  <c r="U18" i="58"/>
  <c r="V18" i="58"/>
  <c r="W18" i="58"/>
  <c r="P19" i="58"/>
  <c r="Q19" i="58"/>
  <c r="R19" i="58"/>
  <c r="S19" i="58"/>
  <c r="T19" i="58"/>
  <c r="U19" i="58"/>
  <c r="V19" i="58"/>
  <c r="W19" i="58"/>
  <c r="D32" i="58"/>
  <c r="D30" i="58" s="1"/>
  <c r="D29" i="58" s="1"/>
  <c r="P17" i="58" s="1"/>
  <c r="E32" i="58"/>
  <c r="E30" i="58" s="1"/>
  <c r="E29" i="58" s="1"/>
  <c r="Q17" i="58" s="1"/>
  <c r="F32" i="58"/>
  <c r="F30" i="58" s="1"/>
  <c r="F29" i="58" s="1"/>
  <c r="R17" i="58" s="1"/>
  <c r="G32" i="58"/>
  <c r="G30" i="58" s="1"/>
  <c r="G29" i="58" s="1"/>
  <c r="S17" i="58" s="1"/>
  <c r="D33" i="58"/>
  <c r="E33" i="58"/>
  <c r="F33" i="58"/>
  <c r="G33" i="58"/>
  <c r="Q7" i="57"/>
  <c r="P15" i="57"/>
  <c r="X15" i="57" s="1"/>
  <c r="Q15" i="57"/>
  <c r="R15" i="57" s="1"/>
  <c r="S15" i="57" s="1"/>
  <c r="T15" i="57"/>
  <c r="U15" i="57"/>
  <c r="Y15" i="57" s="1"/>
  <c r="V15" i="57"/>
  <c r="W15" i="57"/>
  <c r="P16" i="57"/>
  <c r="Q16" i="57"/>
  <c r="R16" i="57"/>
  <c r="S16" i="57"/>
  <c r="T16" i="57"/>
  <c r="U16" i="57"/>
  <c r="V16" i="57"/>
  <c r="W16" i="57"/>
  <c r="Q17" i="57"/>
  <c r="P18" i="57"/>
  <c r="Q18" i="57"/>
  <c r="R18" i="57"/>
  <c r="S18" i="57"/>
  <c r="T18" i="57"/>
  <c r="X18" i="57" s="1"/>
  <c r="U18" i="57"/>
  <c r="V18" i="57"/>
  <c r="W18" i="57"/>
  <c r="P19" i="57"/>
  <c r="Q19" i="57"/>
  <c r="R19" i="57"/>
  <c r="S19" i="57"/>
  <c r="T19" i="57"/>
  <c r="U19" i="57"/>
  <c r="V19" i="57"/>
  <c r="W19" i="57"/>
  <c r="E29" i="57"/>
  <c r="D30" i="57"/>
  <c r="D29" i="57" s="1"/>
  <c r="P17" i="57" s="1"/>
  <c r="E30" i="57"/>
  <c r="D32" i="57"/>
  <c r="E32" i="57"/>
  <c r="F32" i="57"/>
  <c r="G32" i="57"/>
  <c r="G30" i="57" s="1"/>
  <c r="G29" i="57" s="1"/>
  <c r="S17" i="57" s="1"/>
  <c r="D33" i="57"/>
  <c r="E33" i="57"/>
  <c r="F33" i="57"/>
  <c r="F30" i="57" s="1"/>
  <c r="F29" i="57" s="1"/>
  <c r="R17" i="57" s="1"/>
  <c r="G33" i="57"/>
  <c r="F65" i="57"/>
  <c r="E67" i="57"/>
  <c r="G67" i="57"/>
  <c r="K12" i="56"/>
  <c r="L12" i="56"/>
  <c r="M12" i="56"/>
  <c r="N12" i="56"/>
  <c r="K14" i="56"/>
  <c r="L14" i="56"/>
  <c r="M14" i="56"/>
  <c r="N14" i="56"/>
  <c r="T14" i="56"/>
  <c r="S20" i="56" s="1"/>
  <c r="G33" i="56"/>
  <c r="G31" i="56" s="1"/>
  <c r="G30" i="56" s="1"/>
  <c r="H33" i="56"/>
  <c r="H31" i="56" s="1"/>
  <c r="H30" i="56" s="1"/>
  <c r="I33" i="56"/>
  <c r="I31" i="56" s="1"/>
  <c r="I30" i="56" s="1"/>
  <c r="J33" i="56"/>
  <c r="J31" i="56" s="1"/>
  <c r="J30" i="56" s="1"/>
  <c r="K33" i="56"/>
  <c r="K31" i="56" s="1"/>
  <c r="K30" i="56" s="1"/>
  <c r="L33" i="56"/>
  <c r="L31" i="56" s="1"/>
  <c r="L30" i="56" s="1"/>
  <c r="M33" i="56"/>
  <c r="M31" i="56" s="1"/>
  <c r="M30" i="56" s="1"/>
  <c r="N33" i="56"/>
  <c r="N31" i="56" s="1"/>
  <c r="N30" i="56" s="1"/>
  <c r="C23" i="55"/>
  <c r="D23" i="55"/>
  <c r="E23" i="55"/>
  <c r="F23" i="55"/>
  <c r="C27" i="55"/>
  <c r="D27" i="55"/>
  <c r="E27" i="55"/>
  <c r="F27" i="55"/>
  <c r="C29" i="55"/>
  <c r="D29" i="55"/>
  <c r="E29" i="55"/>
  <c r="F29" i="55"/>
  <c r="M49" i="51"/>
  <c r="M50" i="51"/>
  <c r="O50" i="51"/>
  <c r="M51" i="51"/>
  <c r="L53" i="51"/>
  <c r="L54" i="51"/>
  <c r="K7" i="50"/>
  <c r="K8" i="50"/>
  <c r="K9" i="50"/>
  <c r="K12" i="50"/>
  <c r="I17" i="50"/>
  <c r="I18" i="50"/>
  <c r="J19" i="50"/>
  <c r="I20" i="50"/>
  <c r="I23" i="50" s="1"/>
  <c r="I21" i="50"/>
  <c r="M66" i="49"/>
  <c r="T64" i="49"/>
  <c r="S64" i="49"/>
  <c r="R64" i="49"/>
  <c r="Q64" i="49"/>
  <c r="K64" i="49"/>
  <c r="L65" i="49" s="1"/>
  <c r="I64" i="49"/>
  <c r="M63" i="49"/>
  <c r="T61" i="49"/>
  <c r="S61" i="49"/>
  <c r="R61" i="49"/>
  <c r="Q61" i="49"/>
  <c r="K61" i="49"/>
  <c r="L62" i="49" s="1"/>
  <c r="I61" i="49"/>
  <c r="M60" i="49"/>
  <c r="T58" i="49"/>
  <c r="S58" i="49"/>
  <c r="R58" i="49"/>
  <c r="Q58" i="49"/>
  <c r="K58" i="49"/>
  <c r="L59" i="49" s="1"/>
  <c r="I58" i="49"/>
  <c r="M57" i="49"/>
  <c r="T55" i="49"/>
  <c r="S55" i="49"/>
  <c r="R55" i="49"/>
  <c r="Q55" i="49"/>
  <c r="K55" i="49"/>
  <c r="L56" i="49" s="1"/>
  <c r="I55" i="49"/>
  <c r="E44" i="49"/>
  <c r="E43" i="49"/>
  <c r="AD33" i="49"/>
  <c r="AB33" i="49"/>
  <c r="I42" i="49"/>
  <c r="H42" i="49"/>
  <c r="G42" i="49"/>
  <c r="B42" i="49" s="1"/>
  <c r="E42" i="49"/>
  <c r="AF32" i="49"/>
  <c r="AC31" i="49"/>
  <c r="K31" i="49" s="1"/>
  <c r="K32" i="49" s="1"/>
  <c r="K33" i="49" s="1"/>
  <c r="K34" i="49" s="1"/>
  <c r="AF30" i="49"/>
  <c r="AF29" i="49"/>
  <c r="AF28" i="49"/>
  <c r="AF27" i="49"/>
  <c r="AF26" i="49"/>
  <c r="AF25" i="49"/>
  <c r="N31" i="49"/>
  <c r="B31" i="49"/>
  <c r="AI24" i="49"/>
  <c r="AM23" i="49"/>
  <c r="AJ22" i="49"/>
  <c r="K19" i="49" s="1"/>
  <c r="AM21" i="49"/>
  <c r="AM20" i="49"/>
  <c r="AM19" i="49"/>
  <c r="O45" i="49"/>
  <c r="AM18" i="49"/>
  <c r="AM17" i="49"/>
  <c r="O43" i="49"/>
  <c r="AD16" i="49"/>
  <c r="AB16" i="49"/>
  <c r="U42" i="49"/>
  <c r="Q19" i="49"/>
  <c r="Q42" i="49" s="1"/>
  <c r="N19" i="49"/>
  <c r="N42" i="49" s="1"/>
  <c r="B19" i="49"/>
  <c r="R18" i="49"/>
  <c r="I18" i="49"/>
  <c r="I30" i="49" s="1"/>
  <c r="AC14" i="49"/>
  <c r="R17" i="49"/>
  <c r="I17" i="49"/>
  <c r="I29" i="49" s="1"/>
  <c r="I16" i="49"/>
  <c r="I28" i="49" s="1"/>
  <c r="AF11" i="49"/>
  <c r="U8" i="49"/>
  <c r="Q8" i="49"/>
  <c r="B8" i="49"/>
  <c r="L84" i="48"/>
  <c r="S82" i="48"/>
  <c r="R82" i="48"/>
  <c r="Q82" i="48"/>
  <c r="J82" i="48"/>
  <c r="K83" i="48" s="1"/>
  <c r="I82" i="48"/>
  <c r="L81" i="48"/>
  <c r="S79" i="48"/>
  <c r="R79" i="48"/>
  <c r="Q79" i="48"/>
  <c r="J79" i="48"/>
  <c r="K80" i="48" s="1"/>
  <c r="I79" i="48"/>
  <c r="L78" i="48"/>
  <c r="S76" i="48"/>
  <c r="R76" i="48"/>
  <c r="Q76" i="48"/>
  <c r="J76" i="48"/>
  <c r="K77" i="48" s="1"/>
  <c r="I76" i="48"/>
  <c r="L75" i="48"/>
  <c r="S73" i="48"/>
  <c r="R73" i="48"/>
  <c r="Q73" i="48"/>
  <c r="J73" i="48"/>
  <c r="K74" i="48" s="1"/>
  <c r="I73" i="48"/>
  <c r="L71" i="48"/>
  <c r="K70" i="48"/>
  <c r="S69" i="48"/>
  <c r="R69" i="48"/>
  <c r="Q69" i="48"/>
  <c r="M69" i="48"/>
  <c r="J69" i="48"/>
  <c r="I69" i="48"/>
  <c r="L67" i="48"/>
  <c r="K66" i="48"/>
  <c r="S65" i="48"/>
  <c r="R65" i="48"/>
  <c r="Q65" i="48"/>
  <c r="M65" i="48"/>
  <c r="J65" i="48"/>
  <c r="I65" i="48"/>
  <c r="E65" i="48"/>
  <c r="E69" i="48" s="1"/>
  <c r="F64" i="48"/>
  <c r="F68" i="48" s="1"/>
  <c r="F72" i="48" s="1"/>
  <c r="L63" i="48"/>
  <c r="K62" i="48"/>
  <c r="S61" i="48"/>
  <c r="R61" i="48"/>
  <c r="Q61" i="48"/>
  <c r="M61" i="48"/>
  <c r="J61" i="48"/>
  <c r="I61" i="48"/>
  <c r="E61" i="48"/>
  <c r="L59" i="48"/>
  <c r="K58" i="48"/>
  <c r="S57" i="48"/>
  <c r="R57" i="48"/>
  <c r="Q57" i="48"/>
  <c r="M57" i="48"/>
  <c r="J57" i="48"/>
  <c r="I57" i="48"/>
  <c r="F38" i="48"/>
  <c r="F42" i="48" s="1"/>
  <c r="G37" i="48"/>
  <c r="G41" i="48" s="1"/>
  <c r="G45" i="48" s="1"/>
  <c r="E35" i="48"/>
  <c r="E39" i="48" s="1"/>
  <c r="E43" i="48" s="1"/>
  <c r="F34" i="48"/>
  <c r="G33" i="48"/>
  <c r="E31" i="48"/>
  <c r="F30" i="48"/>
  <c r="L24" i="48"/>
  <c r="R22" i="48"/>
  <c r="Q22" i="48"/>
  <c r="P22" i="48"/>
  <c r="O22" i="48"/>
  <c r="L20" i="48"/>
  <c r="R18" i="48"/>
  <c r="Q18" i="48"/>
  <c r="P18" i="48"/>
  <c r="O18" i="48"/>
  <c r="L16" i="48"/>
  <c r="R14" i="48"/>
  <c r="Q14" i="48"/>
  <c r="P14" i="48"/>
  <c r="O14" i="48"/>
  <c r="I14" i="48"/>
  <c r="I18" i="48" s="1"/>
  <c r="I22" i="48" s="1"/>
  <c r="F14" i="48"/>
  <c r="F18" i="48" s="1"/>
  <c r="F22" i="48" s="1"/>
  <c r="D14" i="48"/>
  <c r="D18" i="48" s="1"/>
  <c r="D22" i="48" s="1"/>
  <c r="M13" i="48"/>
  <c r="M17" i="48" s="1"/>
  <c r="M21" i="48" s="1"/>
  <c r="M25" i="48" s="1"/>
  <c r="G13" i="48"/>
  <c r="G17" i="48" s="1"/>
  <c r="G21" i="48" s="1"/>
  <c r="G25" i="48" s="1"/>
  <c r="L12" i="48"/>
  <c r="L11" i="48"/>
  <c r="T10" i="48"/>
  <c r="T14" i="48" s="1"/>
  <c r="T18" i="48" s="1"/>
  <c r="T22" i="48" s="1"/>
  <c r="R10" i="48"/>
  <c r="Q10" i="48"/>
  <c r="P10" i="48"/>
  <c r="O10" i="48"/>
  <c r="K10" i="48"/>
  <c r="K14" i="48" s="1"/>
  <c r="K18" i="48" s="1"/>
  <c r="K22" i="48" s="1"/>
  <c r="K26" i="48" s="1"/>
  <c r="K30" i="48" s="1"/>
  <c r="K34" i="48" s="1"/>
  <c r="K38" i="48" s="1"/>
  <c r="K42" i="48" s="1"/>
  <c r="I10" i="48"/>
  <c r="F10" i="48"/>
  <c r="D10" i="48"/>
  <c r="M9" i="48"/>
  <c r="L8" i="48"/>
  <c r="L7" i="48"/>
  <c r="L15" i="48" s="1"/>
  <c r="R6" i="48"/>
  <c r="Q6" i="48"/>
  <c r="P6" i="48"/>
  <c r="O6" i="48"/>
  <c r="K6" i="48"/>
  <c r="T12" i="46"/>
  <c r="T14" i="46" s="1"/>
  <c r="I12" i="46"/>
  <c r="I14" i="46" s="1"/>
  <c r="F12" i="46"/>
  <c r="F14" i="46" s="1"/>
  <c r="E12" i="46"/>
  <c r="E14" i="46" s="1"/>
  <c r="S2" i="46"/>
  <c r="K20" i="49" l="1"/>
  <c r="K42" i="49"/>
  <c r="AM22" i="49"/>
  <c r="K8" i="49"/>
  <c r="K9" i="49" s="1"/>
  <c r="AE14" i="49"/>
  <c r="AF31" i="49"/>
  <c r="AM24" i="49"/>
  <c r="AM25" i="49" s="1"/>
  <c r="AF14" i="49"/>
  <c r="AF16" i="49" s="1"/>
  <c r="AF17" i="49" s="1"/>
  <c r="B32" i="88"/>
  <c r="B28" i="88"/>
  <c r="B16" i="88"/>
  <c r="B10" i="88"/>
  <c r="W10" i="81" s="1"/>
  <c r="B6" i="88"/>
  <c r="B31" i="88"/>
  <c r="B27" i="88"/>
  <c r="B24" i="88"/>
  <c r="B21" i="88"/>
  <c r="B9" i="88"/>
  <c r="B30" i="88"/>
  <c r="B17" i="88"/>
  <c r="B14" i="88"/>
  <c r="Y12" i="81" s="1"/>
  <c r="B11" i="88"/>
  <c r="B7" i="88"/>
  <c r="B33" i="88"/>
  <c r="B29" i="88"/>
  <c r="B23" i="88"/>
  <c r="B22" i="88"/>
  <c r="B20" i="88"/>
  <c r="B18" i="88"/>
  <c r="B15" i="88"/>
  <c r="Y13" i="81" s="1"/>
  <c r="B13" i="88"/>
  <c r="Y11" i="81" s="1"/>
  <c r="B8" i="88"/>
  <c r="B34" i="88"/>
  <c r="B19" i="88"/>
  <c r="B12" i="88"/>
  <c r="X10" i="81" s="1"/>
  <c r="B35" i="88"/>
  <c r="C347" i="81"/>
  <c r="O44" i="49"/>
  <c r="B21" i="83"/>
  <c r="B20" i="83"/>
  <c r="B17" i="83"/>
  <c r="B16" i="83"/>
  <c r="B16" i="82"/>
  <c r="B15" i="83"/>
  <c r="B15" i="82"/>
  <c r="B30" i="82"/>
  <c r="B27" i="83"/>
  <c r="B21" i="82"/>
  <c r="B20" i="82"/>
  <c r="B19" i="83"/>
  <c r="B19" i="82"/>
  <c r="B18" i="83"/>
  <c r="B18" i="82"/>
  <c r="B10" i="83"/>
  <c r="U48" i="84" s="1"/>
  <c r="B29" i="83"/>
  <c r="B26" i="83"/>
  <c r="B17" i="82"/>
  <c r="B12" i="83"/>
  <c r="V47" i="84" s="1"/>
  <c r="V50" i="84" s="1"/>
  <c r="V53" i="84" s="1"/>
  <c r="V56" i="84" s="1"/>
  <c r="B10" i="82"/>
  <c r="U32" i="84" s="1"/>
  <c r="B32" i="82"/>
  <c r="B14" i="83"/>
  <c r="B14" i="82"/>
  <c r="W34" i="84" s="1"/>
  <c r="B13" i="83"/>
  <c r="W49" i="84" s="1"/>
  <c r="B13" i="82"/>
  <c r="V31" i="84" s="1"/>
  <c r="V35" i="84" s="1"/>
  <c r="V39" i="84" s="1"/>
  <c r="V43" i="84" s="1"/>
  <c r="B12" i="82"/>
  <c r="B32" i="83"/>
  <c r="B26" i="82"/>
  <c r="B11" i="83"/>
  <c r="B11" i="82"/>
  <c r="U33" i="84" s="1"/>
  <c r="B5" i="83"/>
  <c r="B28" i="82"/>
  <c r="B9" i="83"/>
  <c r="U47" i="84" s="1"/>
  <c r="B9" i="82"/>
  <c r="U31" i="84" s="1"/>
  <c r="B8" i="83"/>
  <c r="B8" i="82"/>
  <c r="B7" i="82"/>
  <c r="B6" i="83"/>
  <c r="B27" i="82"/>
  <c r="B7" i="83"/>
  <c r="B6" i="82"/>
  <c r="B5" i="82"/>
  <c r="B29" i="82"/>
  <c r="B25" i="83"/>
  <c r="B31" i="83"/>
  <c r="B31" i="82"/>
  <c r="B21" i="73"/>
  <c r="B30" i="83"/>
  <c r="B28" i="83"/>
  <c r="B17" i="73"/>
  <c r="B16" i="73"/>
  <c r="B18" i="73"/>
  <c r="B15" i="73"/>
  <c r="B11" i="73"/>
  <c r="U13" i="84" s="1"/>
  <c r="B14" i="73"/>
  <c r="W14" i="84" s="1"/>
  <c r="B22" i="73"/>
  <c r="B13" i="73"/>
  <c r="V11" i="84" s="1"/>
  <c r="V15" i="84" s="1"/>
  <c r="V19" i="84" s="1"/>
  <c r="V23" i="84" s="1"/>
  <c r="V27" i="84" s="1"/>
  <c r="B12" i="73"/>
  <c r="B10" i="73"/>
  <c r="U12" i="84" s="1"/>
  <c r="B9" i="73"/>
  <c r="U11" i="84" s="1"/>
  <c r="B8" i="73"/>
  <c r="B33" i="73"/>
  <c r="B32" i="73"/>
  <c r="B26" i="73"/>
  <c r="B20" i="73"/>
  <c r="B7" i="73"/>
  <c r="B28" i="73"/>
  <c r="B6" i="73"/>
  <c r="B27" i="73"/>
  <c r="B31" i="73"/>
  <c r="B30" i="73"/>
  <c r="B29" i="73"/>
  <c r="B19" i="73"/>
  <c r="B7" i="72"/>
  <c r="B19" i="72"/>
  <c r="B11" i="72"/>
  <c r="B6" i="72"/>
  <c r="B18" i="72"/>
  <c r="B9" i="72"/>
  <c r="B35" i="72"/>
  <c r="B30" i="72"/>
  <c r="B13" i="72"/>
  <c r="B34" i="72"/>
  <c r="B15" i="72"/>
  <c r="B33" i="72"/>
  <c r="B32" i="72"/>
  <c r="B31" i="72"/>
  <c r="B20" i="72"/>
  <c r="B29" i="72"/>
  <c r="B16" i="72"/>
  <c r="B28" i="72"/>
  <c r="B22" i="72"/>
  <c r="B17" i="72"/>
  <c r="B12" i="72"/>
  <c r="B27" i="72"/>
  <c r="B14" i="72"/>
  <c r="B21" i="72"/>
  <c r="B8" i="72"/>
  <c r="B10" i="72"/>
  <c r="X319" i="81"/>
  <c r="Y322" i="81"/>
  <c r="S15" i="58"/>
  <c r="Z15" i="58"/>
  <c r="Z19" i="58" s="1"/>
  <c r="Z18" i="58"/>
  <c r="R42" i="49"/>
  <c r="Z15" i="57"/>
  <c r="Z16" i="57" s="1"/>
  <c r="R29" i="49" s="1"/>
  <c r="R52" i="49" s="1"/>
  <c r="I24" i="50"/>
  <c r="I26" i="50" s="1"/>
  <c r="J14" i="50"/>
  <c r="W17" i="57"/>
  <c r="S18" i="49"/>
  <c r="W17" i="58"/>
  <c r="AA15" i="57"/>
  <c r="AA16" i="57" s="1"/>
  <c r="R30" i="49" s="1"/>
  <c r="R53" i="49" s="1"/>
  <c r="AA18" i="57"/>
  <c r="V17" i="57"/>
  <c r="V17" i="58"/>
  <c r="S17" i="49"/>
  <c r="S16" i="49"/>
  <c r="U17" i="58"/>
  <c r="Y17" i="58" s="1"/>
  <c r="U17" i="57"/>
  <c r="Y17" i="57" s="1"/>
  <c r="S28" i="49" s="1"/>
  <c r="S51" i="49" s="1"/>
  <c r="T17" i="58"/>
  <c r="X17" i="58" s="1"/>
  <c r="S31" i="49" s="1"/>
  <c r="T17" i="57"/>
  <c r="X17" i="57" s="1"/>
  <c r="S19" i="49" s="1"/>
  <c r="S42" i="49" s="1"/>
  <c r="Z19" i="57"/>
  <c r="X19" i="57"/>
  <c r="Y16" i="57"/>
  <c r="R28" i="49" s="1"/>
  <c r="R51" i="49" s="1"/>
  <c r="Y18" i="57"/>
  <c r="L24" i="49" s="1"/>
  <c r="L47" i="49" s="1"/>
  <c r="Y15" i="58"/>
  <c r="Y16" i="58" s="1"/>
  <c r="Y19" i="57"/>
  <c r="L25" i="49" s="1"/>
  <c r="L48" i="49" s="1"/>
  <c r="J24" i="50"/>
  <c r="I52" i="49"/>
  <c r="I40" i="49"/>
  <c r="I53" i="49"/>
  <c r="I41" i="49"/>
  <c r="I51" i="49"/>
  <c r="I39" i="49"/>
  <c r="L23" i="48"/>
  <c r="L19" i="48"/>
  <c r="Q31" i="49"/>
  <c r="U57" i="48"/>
  <c r="O42" i="49"/>
  <c r="M49" i="49" s="1"/>
  <c r="M50" i="49" s="1"/>
  <c r="K21" i="49" l="1"/>
  <c r="K43" i="49"/>
  <c r="AF33" i="49"/>
  <c r="AF34" i="49" s="1"/>
  <c r="K10" i="49"/>
  <c r="K11" i="49" s="1"/>
  <c r="K39" i="81"/>
  <c r="L40" i="81" s="1"/>
  <c r="K36" i="81"/>
  <c r="K33" i="81"/>
  <c r="K30" i="81"/>
  <c r="L31" i="81" s="1"/>
  <c r="W38" i="84"/>
  <c r="U36" i="84"/>
  <c r="J32" i="84"/>
  <c r="W52" i="84"/>
  <c r="U51" i="84"/>
  <c r="P43" i="84"/>
  <c r="N43" i="84"/>
  <c r="O43" i="84"/>
  <c r="R31" i="84"/>
  <c r="R35" i="84" s="1"/>
  <c r="R39" i="84" s="1"/>
  <c r="R43" i="84" s="1"/>
  <c r="M43" i="84"/>
  <c r="P31" i="84"/>
  <c r="O31" i="84"/>
  <c r="N31" i="84"/>
  <c r="M31" i="84"/>
  <c r="L31" i="84"/>
  <c r="L35" i="84" s="1"/>
  <c r="L39" i="84" s="1"/>
  <c r="L43" i="84" s="1"/>
  <c r="N35" i="84"/>
  <c r="P35" i="84"/>
  <c r="O35" i="84"/>
  <c r="M35" i="84"/>
  <c r="P39" i="84"/>
  <c r="O39" i="84"/>
  <c r="N39" i="84"/>
  <c r="M39" i="84"/>
  <c r="N27" i="84"/>
  <c r="M27" i="84"/>
  <c r="L27" i="84"/>
  <c r="R15" i="84"/>
  <c r="P15" i="84"/>
  <c r="O15" i="84"/>
  <c r="N15" i="84"/>
  <c r="M15" i="84"/>
  <c r="O27" i="84"/>
  <c r="L15" i="84"/>
  <c r="R19" i="84"/>
  <c r="P27" i="84"/>
  <c r="P19" i="84"/>
  <c r="O19" i="84"/>
  <c r="N19" i="84"/>
  <c r="M19" i="84"/>
  <c r="L19" i="84"/>
  <c r="L11" i="84"/>
  <c r="R23" i="84"/>
  <c r="P23" i="84"/>
  <c r="O23" i="84"/>
  <c r="N23" i="84"/>
  <c r="R11" i="84"/>
  <c r="M23" i="84"/>
  <c r="L23" i="84"/>
  <c r="P11" i="84"/>
  <c r="R27" i="84"/>
  <c r="O11" i="84"/>
  <c r="N11" i="84"/>
  <c r="M11" i="84"/>
  <c r="U35" i="84"/>
  <c r="U50" i="84"/>
  <c r="W18" i="84"/>
  <c r="U15" i="84"/>
  <c r="J12" i="84"/>
  <c r="U16" i="84"/>
  <c r="P53" i="84"/>
  <c r="O53" i="84"/>
  <c r="N53" i="84"/>
  <c r="M53" i="84"/>
  <c r="R47" i="84"/>
  <c r="R50" i="84" s="1"/>
  <c r="R53" i="84" s="1"/>
  <c r="R56" i="84" s="1"/>
  <c r="P47" i="84"/>
  <c r="O47" i="84"/>
  <c r="N47" i="84"/>
  <c r="M47" i="84"/>
  <c r="L47" i="84"/>
  <c r="L50" i="84" s="1"/>
  <c r="L53" i="84" s="1"/>
  <c r="L56" i="84" s="1"/>
  <c r="O56" i="84"/>
  <c r="P56" i="84"/>
  <c r="N56" i="84"/>
  <c r="M56" i="84"/>
  <c r="P50" i="84"/>
  <c r="O50" i="84"/>
  <c r="N50" i="84"/>
  <c r="M50" i="84"/>
  <c r="U37" i="84"/>
  <c r="J33" i="84"/>
  <c r="J13" i="84"/>
  <c r="U17" i="84"/>
  <c r="L34" i="81"/>
  <c r="L37" i="81"/>
  <c r="M30" i="81"/>
  <c r="M33" i="81"/>
  <c r="M36" i="81"/>
  <c r="M39" i="81"/>
  <c r="Q30" i="81"/>
  <c r="Q39" i="81"/>
  <c r="Q33" i="81"/>
  <c r="N33" i="81"/>
  <c r="N30" i="81"/>
  <c r="N39" i="81"/>
  <c r="O39" i="81"/>
  <c r="Q36" i="81"/>
  <c r="N36" i="81"/>
  <c r="O33" i="81"/>
  <c r="O30" i="81"/>
  <c r="O36" i="81"/>
  <c r="P36" i="81"/>
  <c r="P30" i="81"/>
  <c r="P33" i="81"/>
  <c r="P39" i="81"/>
  <c r="X321" i="81"/>
  <c r="Y324" i="81"/>
  <c r="Z17" i="57"/>
  <c r="S29" i="49" s="1"/>
  <c r="S52" i="49" s="1"/>
  <c r="AA17" i="57"/>
  <c r="S30" i="49" s="1"/>
  <c r="S53" i="49" s="1"/>
  <c r="AA19" i="57"/>
  <c r="L60" i="48"/>
  <c r="L64" i="48" s="1"/>
  <c r="L68" i="48" s="1"/>
  <c r="L72" i="48" s="1"/>
  <c r="J13" i="50"/>
  <c r="Z18" i="57"/>
  <c r="AA15" i="58"/>
  <c r="AA18" i="58" s="1"/>
  <c r="B12" i="77"/>
  <c r="X347" i="81" s="1"/>
  <c r="X352" i="81" s="1"/>
  <c r="X357" i="81" s="1"/>
  <c r="X362" i="81" s="1"/>
  <c r="B33" i="77"/>
  <c r="B28" i="76"/>
  <c r="B26" i="75"/>
  <c r="B26" i="71"/>
  <c r="B26" i="70"/>
  <c r="B26" i="69"/>
  <c r="B21" i="68"/>
  <c r="B16" i="66"/>
  <c r="B14" i="65"/>
  <c r="X42" i="81" s="1"/>
  <c r="B36" i="77"/>
  <c r="B19" i="67"/>
  <c r="B30" i="69"/>
  <c r="B9" i="77"/>
  <c r="W347" i="81" s="1"/>
  <c r="B13" i="77"/>
  <c r="Y349" i="81" s="1"/>
  <c r="B34" i="77"/>
  <c r="B29" i="76"/>
  <c r="B27" i="75"/>
  <c r="B27" i="71"/>
  <c r="B27" i="70"/>
  <c r="B27" i="69"/>
  <c r="B22" i="68"/>
  <c r="B17" i="66"/>
  <c r="B15" i="65"/>
  <c r="Y46" i="81" s="1"/>
  <c r="Y71" i="81" s="1"/>
  <c r="Y76" i="81" s="1"/>
  <c r="Y81" i="81" s="1"/>
  <c r="Y86" i="81" s="1"/>
  <c r="Y91" i="81" s="1"/>
  <c r="B29" i="71"/>
  <c r="B24" i="68"/>
  <c r="B17" i="65"/>
  <c r="B25" i="68"/>
  <c r="B11" i="77"/>
  <c r="B14" i="77"/>
  <c r="Y350" i="81" s="1"/>
  <c r="B35" i="77"/>
  <c r="B30" i="76"/>
  <c r="B28" i="75"/>
  <c r="B28" i="71"/>
  <c r="B28" i="70"/>
  <c r="B28" i="69"/>
  <c r="B23" i="68"/>
  <c r="B18" i="66"/>
  <c r="B16" i="65"/>
  <c r="B15" i="77"/>
  <c r="Y351" i="81" s="1"/>
  <c r="B31" i="76"/>
  <c r="B29" i="70"/>
  <c r="B29" i="69"/>
  <c r="B19" i="66"/>
  <c r="B30" i="70"/>
  <c r="B29" i="75"/>
  <c r="B20" i="66"/>
  <c r="B15" i="66"/>
  <c r="Y96" i="81" s="1"/>
  <c r="B16" i="77"/>
  <c r="B37" i="77"/>
  <c r="B32" i="76"/>
  <c r="B30" i="75"/>
  <c r="B30" i="71"/>
  <c r="B20" i="67"/>
  <c r="B18" i="65"/>
  <c r="B17" i="77"/>
  <c r="B38" i="77"/>
  <c r="B33" i="76"/>
  <c r="B31" i="75"/>
  <c r="B31" i="71"/>
  <c r="B31" i="70"/>
  <c r="B31" i="69"/>
  <c r="B26" i="68"/>
  <c r="B21" i="67"/>
  <c r="B21" i="66"/>
  <c r="B19" i="65"/>
  <c r="B18" i="77"/>
  <c r="B6" i="75"/>
  <c r="B32" i="75"/>
  <c r="B32" i="71"/>
  <c r="B32" i="69"/>
  <c r="B27" i="68"/>
  <c r="B22" i="66"/>
  <c r="B12" i="66"/>
  <c r="W95" i="81" s="1"/>
  <c r="B6" i="76"/>
  <c r="B32" i="70"/>
  <c r="B22" i="67"/>
  <c r="B20" i="65"/>
  <c r="B19" i="77"/>
  <c r="B7" i="76"/>
  <c r="B7" i="75"/>
  <c r="B33" i="75"/>
  <c r="B33" i="71"/>
  <c r="B33" i="70"/>
  <c r="B33" i="69"/>
  <c r="B23" i="67"/>
  <c r="B23" i="66"/>
  <c r="B21" i="65"/>
  <c r="B10" i="76"/>
  <c r="W336" i="81" s="1"/>
  <c r="B8" i="70"/>
  <c r="B8" i="69"/>
  <c r="B31" i="68"/>
  <c r="B26" i="67"/>
  <c r="B11" i="65"/>
  <c r="W44" i="81" s="1"/>
  <c r="W69" i="81" s="1"/>
  <c r="W74" i="81" s="1"/>
  <c r="W79" i="81" s="1"/>
  <c r="W84" i="81" s="1"/>
  <c r="W89" i="81" s="1"/>
  <c r="B28" i="77"/>
  <c r="B8" i="76"/>
  <c r="B8" i="75"/>
  <c r="B6" i="71"/>
  <c r="B6" i="70"/>
  <c r="B6" i="69"/>
  <c r="B6" i="68"/>
  <c r="B24" i="67"/>
  <c r="B24" i="66"/>
  <c r="B22" i="65"/>
  <c r="B10" i="75"/>
  <c r="W328" i="81" s="1"/>
  <c r="B8" i="77"/>
  <c r="B9" i="76"/>
  <c r="W335" i="81" s="1"/>
  <c r="B9" i="75"/>
  <c r="W327" i="81" s="1"/>
  <c r="B7" i="71"/>
  <c r="B7" i="70"/>
  <c r="B7" i="69"/>
  <c r="B7" i="68"/>
  <c r="B30" i="68"/>
  <c r="B25" i="67"/>
  <c r="B10" i="77"/>
  <c r="W348" i="81" s="1"/>
  <c r="B8" i="71"/>
  <c r="B8" i="68"/>
  <c r="B17" i="67"/>
  <c r="Y123" i="81" s="1"/>
  <c r="Y163" i="81" s="1"/>
  <c r="Y171" i="81" s="1"/>
  <c r="Y179" i="81" s="1"/>
  <c r="Y187" i="81" s="1"/>
  <c r="Y195" i="81" s="1"/>
  <c r="B19" i="68"/>
  <c r="B11" i="76"/>
  <c r="B11" i="75"/>
  <c r="B9" i="71"/>
  <c r="B9" i="70"/>
  <c r="B9" i="69"/>
  <c r="B9" i="68"/>
  <c r="W197" i="81" s="1"/>
  <c r="W237" i="81" s="1"/>
  <c r="W245" i="81" s="1"/>
  <c r="W253" i="81" s="1"/>
  <c r="W261" i="81" s="1"/>
  <c r="W269" i="81" s="1"/>
  <c r="B32" i="68"/>
  <c r="B27" i="67"/>
  <c r="B27" i="66"/>
  <c r="B15" i="70"/>
  <c r="B12" i="76"/>
  <c r="X335" i="81" s="1"/>
  <c r="X338" i="81" s="1"/>
  <c r="X341" i="81" s="1"/>
  <c r="X344" i="81" s="1"/>
  <c r="B12" i="75"/>
  <c r="X327" i="81" s="1"/>
  <c r="X329" i="81" s="1"/>
  <c r="X331" i="81" s="1"/>
  <c r="X333" i="81" s="1"/>
  <c r="B10" i="71"/>
  <c r="B10" i="70"/>
  <c r="B10" i="69"/>
  <c r="B10" i="68"/>
  <c r="W198" i="81" s="1"/>
  <c r="W238" i="81" s="1"/>
  <c r="W246" i="81" s="1"/>
  <c r="W254" i="81" s="1"/>
  <c r="W262" i="81" s="1"/>
  <c r="W270" i="81" s="1"/>
  <c r="B33" i="68"/>
  <c r="B28" i="66"/>
  <c r="B15" i="68"/>
  <c r="Y201" i="81" s="1"/>
  <c r="Y241" i="81" s="1"/>
  <c r="Y249" i="81" s="1"/>
  <c r="Y257" i="81" s="1"/>
  <c r="Y265" i="81" s="1"/>
  <c r="Y273" i="81" s="1"/>
  <c r="B33" i="66"/>
  <c r="B27" i="65"/>
  <c r="B35" i="66"/>
  <c r="B22" i="70"/>
  <c r="B14" i="66"/>
  <c r="X92" i="81" s="1"/>
  <c r="X97" i="81" s="1"/>
  <c r="X102" i="81" s="1"/>
  <c r="X107" i="81" s="1"/>
  <c r="X112" i="81" s="1"/>
  <c r="B13" i="76"/>
  <c r="Y337" i="81" s="1"/>
  <c r="B13" i="75"/>
  <c r="B11" i="71"/>
  <c r="B11" i="70"/>
  <c r="B11" i="69"/>
  <c r="B11" i="68"/>
  <c r="W199" i="81" s="1"/>
  <c r="W239" i="81" s="1"/>
  <c r="W247" i="81" s="1"/>
  <c r="W255" i="81" s="1"/>
  <c r="W263" i="81" s="1"/>
  <c r="W271" i="81" s="1"/>
  <c r="B6" i="67"/>
  <c r="B29" i="66"/>
  <c r="B23" i="65"/>
  <c r="B17" i="76"/>
  <c r="B20" i="68"/>
  <c r="B14" i="76"/>
  <c r="B14" i="75"/>
  <c r="B12" i="71"/>
  <c r="B12" i="70"/>
  <c r="B12" i="69"/>
  <c r="B12" i="68"/>
  <c r="W200" i="81" s="1"/>
  <c r="W240" i="81" s="1"/>
  <c r="W248" i="81" s="1"/>
  <c r="W256" i="81" s="1"/>
  <c r="W264" i="81" s="1"/>
  <c r="W272" i="81" s="1"/>
  <c r="B7" i="67"/>
  <c r="B30" i="67"/>
  <c r="B30" i="66"/>
  <c r="B24" i="65"/>
  <c r="B10" i="67"/>
  <c r="W118" i="81" s="1"/>
  <c r="W158" i="81" s="1"/>
  <c r="W166" i="81" s="1"/>
  <c r="W174" i="81" s="1"/>
  <c r="W182" i="81" s="1"/>
  <c r="W190" i="81" s="1"/>
  <c r="B25" i="75"/>
  <c r="B15" i="76"/>
  <c r="B15" i="75"/>
  <c r="B13" i="71"/>
  <c r="B13" i="70"/>
  <c r="B13" i="69"/>
  <c r="B13" i="68"/>
  <c r="B8" i="67"/>
  <c r="B31" i="67"/>
  <c r="B31" i="66"/>
  <c r="B15" i="71"/>
  <c r="B22" i="75"/>
  <c r="B16" i="76"/>
  <c r="B16" i="75"/>
  <c r="B14" i="71"/>
  <c r="B14" i="70"/>
  <c r="B14" i="69"/>
  <c r="B14" i="68"/>
  <c r="X197" i="81" s="1"/>
  <c r="B9" i="67"/>
  <c r="W117" i="81" s="1"/>
  <c r="W157" i="81" s="1"/>
  <c r="W165" i="81" s="1"/>
  <c r="W173" i="81" s="1"/>
  <c r="W181" i="81" s="1"/>
  <c r="W189" i="81" s="1"/>
  <c r="B32" i="67"/>
  <c r="B32" i="66"/>
  <c r="B15" i="69"/>
  <c r="B17" i="75"/>
  <c r="B33" i="67"/>
  <c r="B18" i="67"/>
  <c r="Y124" i="81" s="1"/>
  <c r="Y164" i="81" s="1"/>
  <c r="Y172" i="81" s="1"/>
  <c r="Y180" i="81" s="1"/>
  <c r="Y188" i="81" s="1"/>
  <c r="Y196" i="81" s="1"/>
  <c r="B25" i="70"/>
  <c r="B18" i="76"/>
  <c r="B18" i="75"/>
  <c r="B16" i="71"/>
  <c r="B16" i="70"/>
  <c r="B16" i="69"/>
  <c r="B16" i="68"/>
  <c r="Y202" i="81" s="1"/>
  <c r="Y242" i="81" s="1"/>
  <c r="Y250" i="81" s="1"/>
  <c r="Y258" i="81" s="1"/>
  <c r="Y266" i="81" s="1"/>
  <c r="Y274" i="81" s="1"/>
  <c r="B11" i="67"/>
  <c r="W119" i="81" s="1"/>
  <c r="W159" i="81" s="1"/>
  <c r="W167" i="81" s="1"/>
  <c r="W175" i="81" s="1"/>
  <c r="W183" i="81" s="1"/>
  <c r="W191" i="81" s="1"/>
  <c r="B6" i="66"/>
  <c r="B34" i="66"/>
  <c r="B28" i="65"/>
  <c r="B17" i="70"/>
  <c r="B29" i="65"/>
  <c r="B34" i="65"/>
  <c r="B25" i="71"/>
  <c r="B19" i="76"/>
  <c r="B19" i="75"/>
  <c r="B17" i="71"/>
  <c r="B17" i="69"/>
  <c r="B17" i="68"/>
  <c r="Y203" i="81" s="1"/>
  <c r="Y243" i="81" s="1"/>
  <c r="Y251" i="81" s="1"/>
  <c r="Y259" i="81" s="1"/>
  <c r="Y267" i="81" s="1"/>
  <c r="Y275" i="81" s="1"/>
  <c r="B12" i="67"/>
  <c r="W120" i="81" s="1"/>
  <c r="W160" i="81" s="1"/>
  <c r="W168" i="81" s="1"/>
  <c r="W176" i="81" s="1"/>
  <c r="W184" i="81" s="1"/>
  <c r="W192" i="81" s="1"/>
  <c r="B7" i="66"/>
  <c r="B24" i="71"/>
  <c r="B20" i="76"/>
  <c r="B20" i="75"/>
  <c r="B18" i="71"/>
  <c r="B18" i="70"/>
  <c r="B18" i="69"/>
  <c r="B18" i="68"/>
  <c r="Y204" i="81" s="1"/>
  <c r="Y244" i="81" s="1"/>
  <c r="Y252" i="81" s="1"/>
  <c r="Y260" i="81" s="1"/>
  <c r="Y268" i="81" s="1"/>
  <c r="Y276" i="81" s="1"/>
  <c r="B13" i="67"/>
  <c r="B8" i="66"/>
  <c r="B6" i="65"/>
  <c r="B30" i="65"/>
  <c r="B26" i="77"/>
  <c r="B27" i="77"/>
  <c r="B13" i="66"/>
  <c r="B26" i="76"/>
  <c r="B12" i="65"/>
  <c r="W45" i="81" s="1"/>
  <c r="W70" i="81" s="1"/>
  <c r="W75" i="81" s="1"/>
  <c r="W80" i="81" s="1"/>
  <c r="W85" i="81" s="1"/>
  <c r="W90" i="81" s="1"/>
  <c r="B27" i="76"/>
  <c r="B13" i="65"/>
  <c r="B21" i="76"/>
  <c r="B19" i="71"/>
  <c r="B19" i="70"/>
  <c r="B19" i="69"/>
  <c r="B14" i="67"/>
  <c r="X117" i="81" s="1"/>
  <c r="B9" i="66"/>
  <c r="W92" i="81" s="1"/>
  <c r="B7" i="65"/>
  <c r="B31" i="65"/>
  <c r="B6" i="77"/>
  <c r="B24" i="77"/>
  <c r="B22" i="76"/>
  <c r="S20" i="75"/>
  <c r="B20" i="71"/>
  <c r="B20" i="70"/>
  <c r="B20" i="69"/>
  <c r="B15" i="67"/>
  <c r="Y121" i="81" s="1"/>
  <c r="Y161" i="81" s="1"/>
  <c r="Y169" i="81" s="1"/>
  <c r="Y177" i="81" s="1"/>
  <c r="Y185" i="81" s="1"/>
  <c r="Y193" i="81" s="1"/>
  <c r="B10" i="66"/>
  <c r="W93" i="81" s="1"/>
  <c r="B8" i="65"/>
  <c r="B32" i="65"/>
  <c r="B22" i="69"/>
  <c r="B7" i="77"/>
  <c r="B25" i="77"/>
  <c r="B21" i="75"/>
  <c r="B21" i="71"/>
  <c r="B21" i="70"/>
  <c r="B21" i="69"/>
  <c r="B16" i="67"/>
  <c r="Y122" i="81" s="1"/>
  <c r="Y162" i="81" s="1"/>
  <c r="Y170" i="81" s="1"/>
  <c r="Y178" i="81" s="1"/>
  <c r="Y186" i="81" s="1"/>
  <c r="Y194" i="81" s="1"/>
  <c r="B11" i="66"/>
  <c r="W94" i="81" s="1"/>
  <c r="B9" i="65"/>
  <c r="W42" i="81" s="1"/>
  <c r="W67" i="81" s="1"/>
  <c r="B33" i="65"/>
  <c r="B10" i="65"/>
  <c r="W43" i="81" s="1"/>
  <c r="W68" i="81" s="1"/>
  <c r="B35" i="65"/>
  <c r="Z16" i="58"/>
  <c r="Z17" i="58" s="1"/>
  <c r="Y18" i="58"/>
  <c r="AA19" i="58"/>
  <c r="AA16" i="58"/>
  <c r="AA17" i="58" s="1"/>
  <c r="Y19" i="58"/>
  <c r="L36" i="49" s="1"/>
  <c r="U61" i="48"/>
  <c r="U65" i="48" s="1"/>
  <c r="U69" i="48" s="1"/>
  <c r="U55" i="49"/>
  <c r="K22" i="49" l="1"/>
  <c r="K44" i="49"/>
  <c r="X205" i="81"/>
  <c r="X213" i="81" s="1"/>
  <c r="X221" i="81" s="1"/>
  <c r="X229" i="81" s="1"/>
  <c r="X237" i="81"/>
  <c r="X245" i="81" s="1"/>
  <c r="X253" i="81" s="1"/>
  <c r="X261" i="81" s="1"/>
  <c r="X269" i="81" s="1"/>
  <c r="X125" i="81"/>
  <c r="X133" i="81" s="1"/>
  <c r="X141" i="81" s="1"/>
  <c r="X149" i="81" s="1"/>
  <c r="X157" i="81"/>
  <c r="X165" i="81" s="1"/>
  <c r="X173" i="81" s="1"/>
  <c r="X181" i="81" s="1"/>
  <c r="X189" i="81" s="1"/>
  <c r="S261" i="81"/>
  <c r="S245" i="81"/>
  <c r="M269" i="81"/>
  <c r="K239" i="81"/>
  <c r="S253" i="81"/>
  <c r="M261" i="81"/>
  <c r="S237" i="81"/>
  <c r="M253" i="81"/>
  <c r="M237" i="81"/>
  <c r="M245" i="81"/>
  <c r="K240" i="81"/>
  <c r="S269" i="81"/>
  <c r="K247" i="81"/>
  <c r="K253" i="81"/>
  <c r="K254" i="81"/>
  <c r="K248" i="81"/>
  <c r="K238" i="81"/>
  <c r="K237" i="81"/>
  <c r="K245" i="81"/>
  <c r="K246" i="81"/>
  <c r="K262" i="81"/>
  <c r="K256" i="81"/>
  <c r="K261" i="81"/>
  <c r="K255" i="81"/>
  <c r="K263" i="81"/>
  <c r="K269" i="81"/>
  <c r="K264" i="81"/>
  <c r="K270" i="81"/>
  <c r="K271" i="81"/>
  <c r="K272" i="81"/>
  <c r="P261" i="81"/>
  <c r="P253" i="81"/>
  <c r="P237" i="81"/>
  <c r="P245" i="81"/>
  <c r="P269" i="81"/>
  <c r="O261" i="81"/>
  <c r="O253" i="81"/>
  <c r="O237" i="81"/>
  <c r="O245" i="81"/>
  <c r="O269" i="81"/>
  <c r="N269" i="81"/>
  <c r="N261" i="81"/>
  <c r="N253" i="81"/>
  <c r="N237" i="81"/>
  <c r="N245" i="81"/>
  <c r="Q261" i="81"/>
  <c r="Q253" i="81"/>
  <c r="Q237" i="81"/>
  <c r="Q245" i="81"/>
  <c r="Q269" i="81"/>
  <c r="M165" i="81"/>
  <c r="K157" i="81"/>
  <c r="L162" i="81" s="1"/>
  <c r="K159" i="81"/>
  <c r="K160" i="81"/>
  <c r="S189" i="81"/>
  <c r="S181" i="81"/>
  <c r="S157" i="81"/>
  <c r="K165" i="81"/>
  <c r="S173" i="81"/>
  <c r="M157" i="81"/>
  <c r="M189" i="81"/>
  <c r="S165" i="81"/>
  <c r="M181" i="81"/>
  <c r="M173" i="81"/>
  <c r="K166" i="81"/>
  <c r="K167" i="81"/>
  <c r="K168" i="81"/>
  <c r="K158" i="81"/>
  <c r="K176" i="81"/>
  <c r="K173" i="81"/>
  <c r="K175" i="81"/>
  <c r="K184" i="81"/>
  <c r="K181" i="81"/>
  <c r="K174" i="81"/>
  <c r="K192" i="81"/>
  <c r="K182" i="81"/>
  <c r="K189" i="81"/>
  <c r="K183" i="81"/>
  <c r="K191" i="81"/>
  <c r="K190" i="81"/>
  <c r="P181" i="81"/>
  <c r="P165" i="81"/>
  <c r="P189" i="81"/>
  <c r="P173" i="81"/>
  <c r="P157" i="81"/>
  <c r="O189" i="81"/>
  <c r="O165" i="81"/>
  <c r="O181" i="81"/>
  <c r="O173" i="81"/>
  <c r="O157" i="81"/>
  <c r="N189" i="81"/>
  <c r="N173" i="81"/>
  <c r="N165" i="81"/>
  <c r="N157" i="81"/>
  <c r="N181" i="81"/>
  <c r="Q189" i="81"/>
  <c r="Q181" i="81"/>
  <c r="Q173" i="81"/>
  <c r="Q157" i="81"/>
  <c r="Q165" i="81"/>
  <c r="X47" i="81"/>
  <c r="X52" i="81" s="1"/>
  <c r="X57" i="81" s="1"/>
  <c r="X62" i="81" s="1"/>
  <c r="X67" i="81"/>
  <c r="X72" i="81" s="1"/>
  <c r="X77" i="81" s="1"/>
  <c r="X82" i="81" s="1"/>
  <c r="X87" i="81" s="1"/>
  <c r="K89" i="81" s="1"/>
  <c r="K67" i="81"/>
  <c r="K68" i="81"/>
  <c r="W73" i="81"/>
  <c r="W72" i="81"/>
  <c r="S72" i="81"/>
  <c r="S77" i="81"/>
  <c r="M87" i="81"/>
  <c r="M72" i="81"/>
  <c r="S82" i="81"/>
  <c r="M77" i="81"/>
  <c r="S87" i="81"/>
  <c r="M82" i="81"/>
  <c r="S67" i="81"/>
  <c r="M67" i="81"/>
  <c r="P72" i="81"/>
  <c r="P77" i="81"/>
  <c r="P87" i="81"/>
  <c r="P82" i="81"/>
  <c r="P67" i="81"/>
  <c r="O72" i="81"/>
  <c r="O77" i="81"/>
  <c r="O87" i="81"/>
  <c r="O82" i="81"/>
  <c r="O67" i="81"/>
  <c r="N72" i="81"/>
  <c r="N82" i="81"/>
  <c r="N67" i="81"/>
  <c r="N77" i="81"/>
  <c r="N87" i="81"/>
  <c r="Q72" i="81"/>
  <c r="Q77" i="81"/>
  <c r="Q82" i="81"/>
  <c r="Q67" i="81"/>
  <c r="Q87" i="81"/>
  <c r="L41" i="81"/>
  <c r="K335" i="81"/>
  <c r="K347" i="81"/>
  <c r="N347" i="81"/>
  <c r="K348" i="81"/>
  <c r="U21" i="84"/>
  <c r="J17" i="84"/>
  <c r="U20" i="84"/>
  <c r="U19" i="84"/>
  <c r="J37" i="84"/>
  <c r="U41" i="84"/>
  <c r="W22" i="84"/>
  <c r="U53" i="84"/>
  <c r="U39" i="84"/>
  <c r="J51" i="84"/>
  <c r="U54" i="84"/>
  <c r="W55" i="84"/>
  <c r="J36" i="84"/>
  <c r="U40" i="84"/>
  <c r="W42" i="84"/>
  <c r="L32" i="81"/>
  <c r="L38" i="81"/>
  <c r="L35" i="81"/>
  <c r="K319" i="81"/>
  <c r="L320" i="81" s="1"/>
  <c r="W352" i="81"/>
  <c r="K352" i="81" s="1"/>
  <c r="L354" i="81" s="1"/>
  <c r="W205" i="81"/>
  <c r="K197" i="81"/>
  <c r="K92" i="81"/>
  <c r="W97" i="81"/>
  <c r="P333" i="81"/>
  <c r="S329" i="81"/>
  <c r="N331" i="81"/>
  <c r="O331" i="81"/>
  <c r="Q331" i="81"/>
  <c r="S331" i="81"/>
  <c r="Q333" i="81"/>
  <c r="O329" i="81"/>
  <c r="P329" i="81"/>
  <c r="P327" i="81"/>
  <c r="Q327" i="81"/>
  <c r="S327" i="81"/>
  <c r="S333" i="81"/>
  <c r="Q329" i="81"/>
  <c r="N329" i="81"/>
  <c r="O327" i="81"/>
  <c r="O333" i="81"/>
  <c r="N327" i="81"/>
  <c r="P331" i="81"/>
  <c r="N333" i="81"/>
  <c r="Y356" i="81"/>
  <c r="M141" i="81"/>
  <c r="N149" i="81"/>
  <c r="S125" i="81"/>
  <c r="M149" i="81"/>
  <c r="P141" i="81"/>
  <c r="S117" i="81"/>
  <c r="S133" i="81"/>
  <c r="Q141" i="81"/>
  <c r="P149" i="81"/>
  <c r="S141" i="81"/>
  <c r="Q149" i="81"/>
  <c r="S149" i="81"/>
  <c r="O149" i="81"/>
  <c r="M125" i="81"/>
  <c r="N125" i="81"/>
  <c r="M117" i="81"/>
  <c r="M133" i="81"/>
  <c r="P117" i="81"/>
  <c r="P125" i="81"/>
  <c r="O117" i="81"/>
  <c r="N117" i="81"/>
  <c r="O125" i="81"/>
  <c r="O141" i="81"/>
  <c r="Q133" i="81"/>
  <c r="Q117" i="81"/>
  <c r="N141" i="81"/>
  <c r="P133" i="81"/>
  <c r="O133" i="81"/>
  <c r="N133" i="81"/>
  <c r="Q125" i="81"/>
  <c r="K45" i="81"/>
  <c r="W50" i="81"/>
  <c r="K120" i="81"/>
  <c r="W128" i="81"/>
  <c r="W48" i="81"/>
  <c r="K43" i="81"/>
  <c r="K199" i="81"/>
  <c r="W207" i="81"/>
  <c r="W49" i="81"/>
  <c r="K44" i="81"/>
  <c r="M112" i="81"/>
  <c r="P112" i="81"/>
  <c r="M107" i="81"/>
  <c r="Q112" i="81"/>
  <c r="N107" i="81"/>
  <c r="O107" i="81"/>
  <c r="S112" i="81"/>
  <c r="P107" i="81"/>
  <c r="M102" i="81"/>
  <c r="Q107" i="81"/>
  <c r="S107" i="81"/>
  <c r="O102" i="81"/>
  <c r="P102" i="81"/>
  <c r="M97" i="81"/>
  <c r="Q102" i="81"/>
  <c r="S102" i="81"/>
  <c r="Q97" i="81"/>
  <c r="S97" i="81"/>
  <c r="M92" i="81"/>
  <c r="O92" i="81"/>
  <c r="Q92" i="81"/>
  <c r="S92" i="81"/>
  <c r="O112" i="81"/>
  <c r="O97" i="81"/>
  <c r="N97" i="81"/>
  <c r="N102" i="81"/>
  <c r="P92" i="81"/>
  <c r="N92" i="81"/>
  <c r="N112" i="81"/>
  <c r="P97" i="81"/>
  <c r="N352" i="81"/>
  <c r="N362" i="81"/>
  <c r="N357" i="81"/>
  <c r="K42" i="81"/>
  <c r="W47" i="81"/>
  <c r="K94" i="81"/>
  <c r="W99" i="81"/>
  <c r="Y131" i="81"/>
  <c r="Y130" i="81"/>
  <c r="Y340" i="81"/>
  <c r="W339" i="81"/>
  <c r="K336" i="81"/>
  <c r="Y210" i="81"/>
  <c r="Y355" i="81"/>
  <c r="Y209" i="81"/>
  <c r="K118" i="81"/>
  <c r="W126" i="81"/>
  <c r="K119" i="81"/>
  <c r="W127" i="81"/>
  <c r="M57" i="81"/>
  <c r="S62" i="81"/>
  <c r="P57" i="81"/>
  <c r="M52" i="81"/>
  <c r="Q57" i="81"/>
  <c r="N52" i="81"/>
  <c r="O52" i="81"/>
  <c r="S57" i="81"/>
  <c r="P52" i="81"/>
  <c r="M47" i="81"/>
  <c r="Q52" i="81"/>
  <c r="S52" i="81"/>
  <c r="Q47" i="81"/>
  <c r="S47" i="81"/>
  <c r="M42" i="81"/>
  <c r="O42" i="81"/>
  <c r="Q42" i="81"/>
  <c r="S42" i="81"/>
  <c r="M62" i="81"/>
  <c r="Q62" i="81"/>
  <c r="P62" i="81"/>
  <c r="P47" i="81"/>
  <c r="O62" i="81"/>
  <c r="N62" i="81"/>
  <c r="O47" i="81"/>
  <c r="N47" i="81"/>
  <c r="P42" i="81"/>
  <c r="O57" i="81"/>
  <c r="N42" i="81"/>
  <c r="N57" i="81"/>
  <c r="W329" i="81"/>
  <c r="K327" i="81"/>
  <c r="Y212" i="81"/>
  <c r="W338" i="81"/>
  <c r="Y51" i="81"/>
  <c r="K93" i="81"/>
  <c r="W98" i="81"/>
  <c r="K198" i="81"/>
  <c r="W206" i="81"/>
  <c r="Y129" i="81"/>
  <c r="Y132" i="81"/>
  <c r="K328" i="81"/>
  <c r="W330" i="81"/>
  <c r="K200" i="81"/>
  <c r="W208" i="81"/>
  <c r="Y101" i="81"/>
  <c r="W353" i="81"/>
  <c r="K353" i="81" s="1"/>
  <c r="Q338" i="81"/>
  <c r="Q352" i="81" s="1"/>
  <c r="Q335" i="81"/>
  <c r="Q347" i="81" s="1"/>
  <c r="S335" i="81"/>
  <c r="S347" i="81" s="1"/>
  <c r="S341" i="81"/>
  <c r="S357" i="81" s="1"/>
  <c r="S338" i="81"/>
  <c r="S352" i="81" s="1"/>
  <c r="Q344" i="81"/>
  <c r="Q362" i="81" s="1"/>
  <c r="S344" i="81"/>
  <c r="S362" i="81" s="1"/>
  <c r="Q341" i="81"/>
  <c r="Q357" i="81" s="1"/>
  <c r="M205" i="81"/>
  <c r="M197" i="81"/>
  <c r="O205" i="81"/>
  <c r="N197" i="81"/>
  <c r="P205" i="81"/>
  <c r="O197" i="81"/>
  <c r="Q205" i="81"/>
  <c r="M213" i="81"/>
  <c r="P197" i="81"/>
  <c r="N213" i="81"/>
  <c r="Q197" i="81"/>
  <c r="S205" i="81"/>
  <c r="O213" i="81"/>
  <c r="S197" i="81"/>
  <c r="Q213" i="81"/>
  <c r="M221" i="81"/>
  <c r="N221" i="81"/>
  <c r="S213" i="81"/>
  <c r="O221" i="81"/>
  <c r="S221" i="81"/>
  <c r="M229" i="81"/>
  <c r="N229" i="81"/>
  <c r="O229" i="81"/>
  <c r="Q229" i="81"/>
  <c r="S229" i="81"/>
  <c r="N205" i="81"/>
  <c r="P221" i="81"/>
  <c r="P213" i="81"/>
  <c r="P229" i="81"/>
  <c r="Q221" i="81"/>
  <c r="W100" i="81"/>
  <c r="K95" i="81"/>
  <c r="W125" i="81"/>
  <c r="K117" i="81"/>
  <c r="Y326" i="81"/>
  <c r="Y211" i="81"/>
  <c r="S319" i="81"/>
  <c r="N321" i="81"/>
  <c r="P325" i="81"/>
  <c r="M317" i="81"/>
  <c r="Q325" i="81"/>
  <c r="N317" i="81"/>
  <c r="P321" i="81"/>
  <c r="Q321" i="81"/>
  <c r="S325" i="81"/>
  <c r="O317" i="81"/>
  <c r="P317" i="81"/>
  <c r="Q317" i="81"/>
  <c r="S321" i="81"/>
  <c r="S317" i="81"/>
  <c r="M323" i="81"/>
  <c r="O323" i="81"/>
  <c r="Q323" i="81"/>
  <c r="M321" i="81"/>
  <c r="M319" i="81"/>
  <c r="O319" i="81"/>
  <c r="Q319" i="81"/>
  <c r="S323" i="81"/>
  <c r="M325" i="81"/>
  <c r="N325" i="81"/>
  <c r="O325" i="81"/>
  <c r="P319" i="81"/>
  <c r="O321" i="81"/>
  <c r="P323" i="81"/>
  <c r="N319" i="81"/>
  <c r="N323" i="81"/>
  <c r="K317" i="81"/>
  <c r="L318" i="81" s="1"/>
  <c r="Y354" i="81"/>
  <c r="X323" i="81"/>
  <c r="K321" i="81"/>
  <c r="L322" i="81" s="1"/>
  <c r="L35" i="49"/>
  <c r="U73" i="48"/>
  <c r="U76" i="48" s="1"/>
  <c r="U79" i="48" s="1"/>
  <c r="U82" i="48" s="1"/>
  <c r="U58" i="49"/>
  <c r="U61" i="49" s="1"/>
  <c r="U64" i="49" s="1"/>
  <c r="K23" i="49" l="1"/>
  <c r="K46" i="49" s="1"/>
  <c r="K45" i="49"/>
  <c r="L193" i="81"/>
  <c r="L242" i="81"/>
  <c r="L163" i="81"/>
  <c r="L172" i="81"/>
  <c r="L274" i="81"/>
  <c r="L267" i="81"/>
  <c r="L249" i="81"/>
  <c r="L260" i="81"/>
  <c r="L276" i="81"/>
  <c r="L273" i="81"/>
  <c r="L268" i="81"/>
  <c r="L266" i="81"/>
  <c r="L250" i="81"/>
  <c r="L243" i="81"/>
  <c r="L241" i="81"/>
  <c r="L252" i="81"/>
  <c r="L251" i="81"/>
  <c r="L259" i="81"/>
  <c r="L257" i="81"/>
  <c r="L258" i="81"/>
  <c r="L169" i="81"/>
  <c r="L275" i="81"/>
  <c r="L244" i="81"/>
  <c r="L187" i="81"/>
  <c r="L265" i="81"/>
  <c r="L164" i="81"/>
  <c r="L179" i="81"/>
  <c r="K90" i="81"/>
  <c r="K85" i="81"/>
  <c r="K70" i="81"/>
  <c r="K74" i="81"/>
  <c r="L171" i="81"/>
  <c r="L170" i="81"/>
  <c r="L186" i="81"/>
  <c r="L194" i="81"/>
  <c r="L161" i="81"/>
  <c r="L196" i="81"/>
  <c r="L188" i="81"/>
  <c r="L195" i="81"/>
  <c r="L185" i="81"/>
  <c r="K84" i="81"/>
  <c r="K75" i="81"/>
  <c r="L180" i="81"/>
  <c r="K69" i="81"/>
  <c r="L71" i="81" s="1"/>
  <c r="L177" i="81"/>
  <c r="K79" i="81"/>
  <c r="L178" i="81"/>
  <c r="K80" i="81"/>
  <c r="W77" i="81"/>
  <c r="K72" i="81"/>
  <c r="W78" i="81"/>
  <c r="K73" i="81"/>
  <c r="L349" i="81"/>
  <c r="W46" i="84"/>
  <c r="J40" i="84"/>
  <c r="U44" i="84"/>
  <c r="J44" i="84" s="1"/>
  <c r="W58" i="84"/>
  <c r="U57" i="84"/>
  <c r="J57" i="84" s="1"/>
  <c r="J54" i="84"/>
  <c r="U43" i="84"/>
  <c r="U56" i="84"/>
  <c r="W26" i="84"/>
  <c r="J41" i="84"/>
  <c r="U45" i="84"/>
  <c r="J45" i="84" s="1"/>
  <c r="U23" i="84"/>
  <c r="U24" i="84"/>
  <c r="J21" i="84"/>
  <c r="U25" i="84"/>
  <c r="L46" i="81"/>
  <c r="L96" i="81"/>
  <c r="L337" i="81"/>
  <c r="P335" i="81" s="1"/>
  <c r="L123" i="81"/>
  <c r="L202" i="81"/>
  <c r="Y361" i="81"/>
  <c r="K47" i="81"/>
  <c r="W52" i="81"/>
  <c r="Y359" i="81"/>
  <c r="L204" i="81"/>
  <c r="Y220" i="81"/>
  <c r="K338" i="81"/>
  <c r="W341" i="81"/>
  <c r="W331" i="81"/>
  <c r="K329" i="81"/>
  <c r="L203" i="81"/>
  <c r="X325" i="81"/>
  <c r="K325" i="81" s="1"/>
  <c r="L326" i="81" s="1"/>
  <c r="K323" i="81"/>
  <c r="L324" i="81" s="1"/>
  <c r="Y219" i="81"/>
  <c r="K127" i="81"/>
  <c r="W135" i="81"/>
  <c r="K126" i="81"/>
  <c r="W134" i="81"/>
  <c r="W358" i="81"/>
  <c r="K358" i="81" s="1"/>
  <c r="Y217" i="81"/>
  <c r="Y106" i="81"/>
  <c r="L201" i="81"/>
  <c r="K208" i="81"/>
  <c r="W216" i="81"/>
  <c r="Y360" i="81"/>
  <c r="Y218" i="81"/>
  <c r="K100" i="81"/>
  <c r="W105" i="81"/>
  <c r="W133" i="81"/>
  <c r="K125" i="81"/>
  <c r="K330" i="81"/>
  <c r="W332" i="81"/>
  <c r="W54" i="81"/>
  <c r="K49" i="81"/>
  <c r="Y140" i="81"/>
  <c r="K207" i="81"/>
  <c r="W215" i="81"/>
  <c r="W342" i="81"/>
  <c r="K339" i="81"/>
  <c r="Y137" i="81"/>
  <c r="L121" i="81"/>
  <c r="Y343" i="81"/>
  <c r="W53" i="81"/>
  <c r="K48" i="81"/>
  <c r="L124" i="81"/>
  <c r="K206" i="81"/>
  <c r="W214" i="81"/>
  <c r="Y138" i="81"/>
  <c r="K128" i="81"/>
  <c r="W136" i="81"/>
  <c r="K97" i="81"/>
  <c r="W102" i="81"/>
  <c r="L122" i="81"/>
  <c r="W103" i="81"/>
  <c r="K98" i="81"/>
  <c r="Y139" i="81"/>
  <c r="W55" i="81"/>
  <c r="K50" i="81"/>
  <c r="K205" i="81"/>
  <c r="W213" i="81"/>
  <c r="W104" i="81"/>
  <c r="K99" i="81"/>
  <c r="Y56" i="81"/>
  <c r="W357" i="81"/>
  <c r="K357" i="81" s="1"/>
  <c r="L76" i="81" l="1"/>
  <c r="K78" i="81"/>
  <c r="W83" i="81"/>
  <c r="W82" i="81"/>
  <c r="K77" i="81"/>
  <c r="L81" i="81" s="1"/>
  <c r="T347" i="81"/>
  <c r="O335" i="81"/>
  <c r="J25" i="84"/>
  <c r="U29" i="84"/>
  <c r="J29" i="84" s="1"/>
  <c r="J24" i="84"/>
  <c r="U28" i="84"/>
  <c r="J28" i="84" s="1"/>
  <c r="U27" i="84"/>
  <c r="W30" i="84"/>
  <c r="N335" i="81"/>
  <c r="L340" i="81"/>
  <c r="L131" i="81"/>
  <c r="L132" i="81"/>
  <c r="L101" i="81"/>
  <c r="L51" i="81"/>
  <c r="L130" i="81"/>
  <c r="L212" i="81"/>
  <c r="L209" i="81"/>
  <c r="W362" i="81"/>
  <c r="K362" i="81" s="1"/>
  <c r="Y145" i="81"/>
  <c r="L129" i="81"/>
  <c r="K134" i="81"/>
  <c r="W142" i="81"/>
  <c r="W363" i="81"/>
  <c r="Y61" i="81"/>
  <c r="W345" i="81"/>
  <c r="K345" i="81" s="1"/>
  <c r="K342" i="81"/>
  <c r="K135" i="81"/>
  <c r="W143" i="81"/>
  <c r="W109" i="81"/>
  <c r="K104" i="81"/>
  <c r="K215" i="81"/>
  <c r="W223" i="81"/>
  <c r="K213" i="81"/>
  <c r="W221" i="81"/>
  <c r="Y227" i="81"/>
  <c r="Y148" i="81"/>
  <c r="L211" i="81"/>
  <c r="W59" i="81"/>
  <c r="K54" i="81"/>
  <c r="W334" i="81"/>
  <c r="K334" i="81" s="1"/>
  <c r="K332" i="81"/>
  <c r="W108" i="81"/>
  <c r="K103" i="81"/>
  <c r="K331" i="81"/>
  <c r="W333" i="81"/>
  <c r="K333" i="81" s="1"/>
  <c r="W141" i="81"/>
  <c r="K133" i="81"/>
  <c r="K341" i="81"/>
  <c r="W344" i="81"/>
  <c r="K344" i="81" s="1"/>
  <c r="W110" i="81"/>
  <c r="K105" i="81"/>
  <c r="Y228" i="81"/>
  <c r="L210" i="81"/>
  <c r="Y226" i="81"/>
  <c r="K136" i="81"/>
  <c r="W144" i="81"/>
  <c r="Y146" i="81"/>
  <c r="Y365" i="81"/>
  <c r="K102" i="81"/>
  <c r="W107" i="81"/>
  <c r="K214" i="81"/>
  <c r="W222" i="81"/>
  <c r="W224" i="81"/>
  <c r="K216" i="81"/>
  <c r="Y364" i="81"/>
  <c r="Y147" i="81"/>
  <c r="K52" i="81"/>
  <c r="W57" i="81"/>
  <c r="W60" i="81"/>
  <c r="K55" i="81"/>
  <c r="W58" i="81"/>
  <c r="K53" i="81"/>
  <c r="Y111" i="81"/>
  <c r="Y346" i="81"/>
  <c r="Y225" i="81"/>
  <c r="Y366" i="81"/>
  <c r="K82" i="81" l="1"/>
  <c r="W87" i="81"/>
  <c r="K87" i="81" s="1"/>
  <c r="K83" i="81"/>
  <c r="W88" i="81"/>
  <c r="K88" i="81" s="1"/>
  <c r="K363" i="81"/>
  <c r="L359" i="81"/>
  <c r="L364" i="81"/>
  <c r="T352" i="81"/>
  <c r="N338" i="81"/>
  <c r="P338" i="81"/>
  <c r="O338" i="81"/>
  <c r="L343" i="81"/>
  <c r="L220" i="81"/>
  <c r="L139" i="81"/>
  <c r="L138" i="81"/>
  <c r="L219" i="81"/>
  <c r="L106" i="81"/>
  <c r="L218" i="81"/>
  <c r="L346" i="81"/>
  <c r="L56" i="81"/>
  <c r="L137" i="81"/>
  <c r="W232" i="81"/>
  <c r="K232" i="81" s="1"/>
  <c r="K224" i="81"/>
  <c r="L140" i="81"/>
  <c r="W64" i="81"/>
  <c r="K64" i="81" s="1"/>
  <c r="K59" i="81"/>
  <c r="Y156" i="81"/>
  <c r="Y235" i="81"/>
  <c r="K107" i="81"/>
  <c r="W112" i="81"/>
  <c r="K112" i="81" s="1"/>
  <c r="Y154" i="81"/>
  <c r="K221" i="81"/>
  <c r="W229" i="81"/>
  <c r="K229" i="81" s="1"/>
  <c r="K222" i="81"/>
  <c r="W230" i="81"/>
  <c r="K230" i="81" s="1"/>
  <c r="L217" i="81"/>
  <c r="Y233" i="81"/>
  <c r="K144" i="81"/>
  <c r="W152" i="81"/>
  <c r="K152" i="81" s="1"/>
  <c r="W231" i="81"/>
  <c r="K231" i="81" s="1"/>
  <c r="K223" i="81"/>
  <c r="Y234" i="81"/>
  <c r="W114" i="81"/>
  <c r="K114" i="81" s="1"/>
  <c r="K109" i="81"/>
  <c r="Y116" i="81"/>
  <c r="K143" i="81"/>
  <c r="W151" i="81"/>
  <c r="K151" i="81" s="1"/>
  <c r="W63" i="81"/>
  <c r="K63" i="81" s="1"/>
  <c r="K58" i="81"/>
  <c r="Y66" i="81"/>
  <c r="Y236" i="81"/>
  <c r="W65" i="81"/>
  <c r="K65" i="81" s="1"/>
  <c r="K60" i="81"/>
  <c r="W62" i="81"/>
  <c r="K62" i="81" s="1"/>
  <c r="K57" i="81"/>
  <c r="W115" i="81"/>
  <c r="K115" i="81" s="1"/>
  <c r="K110" i="81"/>
  <c r="Y155" i="81"/>
  <c r="W149" i="81"/>
  <c r="K149" i="81" s="1"/>
  <c r="K141" i="81"/>
  <c r="K142" i="81"/>
  <c r="W150" i="81"/>
  <c r="K150" i="81" s="1"/>
  <c r="Y153" i="81"/>
  <c r="W113" i="81"/>
  <c r="K113" i="81" s="1"/>
  <c r="K108" i="81"/>
  <c r="L91" i="81" l="1"/>
  <c r="L86" i="81"/>
  <c r="T362" i="81"/>
  <c r="T357" i="81"/>
  <c r="P344" i="81"/>
  <c r="O344" i="81"/>
  <c r="N344" i="81"/>
  <c r="N341" i="81"/>
  <c r="P341" i="81"/>
  <c r="O341" i="81"/>
  <c r="L227" i="81"/>
  <c r="L145" i="81"/>
  <c r="L147" i="81"/>
  <c r="L226" i="81"/>
  <c r="L111" i="81"/>
  <c r="L233" i="81"/>
  <c r="L148" i="81"/>
  <c r="L61" i="81"/>
  <c r="L234" i="81"/>
  <c r="L153" i="81"/>
  <c r="L225" i="81"/>
  <c r="L155" i="81"/>
  <c r="L154" i="81"/>
  <c r="L146" i="81"/>
  <c r="L228" i="81"/>
  <c r="L235" i="81"/>
  <c r="L236" i="81"/>
  <c r="L66" i="81"/>
  <c r="L156" i="81"/>
  <c r="L116" i="81"/>
  <c r="R305" i="81"/>
  <c r="R323" i="81"/>
  <c r="R141" i="81"/>
  <c r="R125" i="81"/>
  <c r="R362" i="81"/>
  <c r="R107" i="81"/>
  <c r="R205" i="81"/>
  <c r="R325" i="81"/>
  <c r="R321" i="81" l="1"/>
  <c r="R112" i="81"/>
  <c r="R62" i="81"/>
  <c r="R338" i="81"/>
  <c r="R333" i="81"/>
  <c r="R149" i="81"/>
  <c r="R335" i="81"/>
  <c r="R42" i="81"/>
  <c r="R197" i="81"/>
  <c r="R293" i="81"/>
  <c r="R213" i="81"/>
  <c r="R97" i="81"/>
  <c r="R133" i="81"/>
  <c r="R285" i="81"/>
  <c r="R309" i="81"/>
  <c r="R329" i="81"/>
  <c r="R341" i="81"/>
  <c r="R301" i="81"/>
  <c r="R344" i="81"/>
  <c r="R281" i="81"/>
  <c r="R352" i="81"/>
  <c r="R52" i="81"/>
  <c r="R289" i="81"/>
  <c r="R229" i="81"/>
  <c r="R297" i="81"/>
  <c r="R57" i="81"/>
  <c r="R313" i="81"/>
  <c r="R221" i="81"/>
  <c r="R117" i="81"/>
  <c r="R319" i="81"/>
  <c r="R92" i="81"/>
  <c r="R327" i="81"/>
  <c r="R357" i="81"/>
  <c r="R347" i="81"/>
  <c r="R277" i="81"/>
  <c r="R317" i="81"/>
  <c r="R331" i="81"/>
  <c r="R102" i="81"/>
  <c r="R47" i="81"/>
  <c r="O357" i="81"/>
  <c r="O352" i="81"/>
  <c r="O362" i="81"/>
  <c r="O347" i="81"/>
  <c r="P347" i="81"/>
  <c r="F23" i="77"/>
  <c r="P352" i="81" l="1"/>
  <c r="G23" i="77"/>
  <c r="P357" i="81" l="1"/>
  <c r="H23" i="77"/>
  <c r="G68" i="77"/>
  <c r="P362" i="8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G3" authorId="0" shapeId="0" xr:uid="{F0DEC862-374E-467F-B3A7-558D1BE1B073}">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3" authorId="0" shapeId="0" xr:uid="{29CB5F06-04B6-4FFF-B477-BA855EB2E9CA}">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E4" authorId="0" shapeId="0" xr:uid="{00000000-0006-0000-0600-000001000000}">
      <text>
        <r>
          <rPr>
            <sz val="8"/>
            <color indexed="81"/>
            <rFont val="Tahoma"/>
            <family val="2"/>
          </rPr>
          <t>Comm-IN-A 
indicates an auxillary input, thus not consider with respect the efficiency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R10" authorId="0" shapeId="0" xr:uid="{095C3DAA-BAEF-4B42-A8C1-5F7DD62E1F51}">
      <text>
        <r>
          <rPr>
            <b/>
            <sz val="9"/>
            <color indexed="81"/>
            <rFont val="Tahoma"/>
            <family val="2"/>
          </rPr>
          <t>Rikke Næraa:</t>
        </r>
        <r>
          <rPr>
            <sz val="9"/>
            <color indexed="81"/>
            <rFont val="Tahoma"/>
            <family val="2"/>
          </rPr>
          <t xml:space="preserve">
All  numbers are changed to a integer
 the value is shown in a comment box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F7" authorId="0" shapeId="0" xr:uid="{CFB478CC-0155-4191-9B93-92C704F105C8}">
      <text>
        <r>
          <rPr>
            <sz val="8"/>
            <color indexed="81"/>
            <rFont val="Tahoma"/>
            <family val="2"/>
          </rPr>
          <t>Comm-OUT-A 
indicates an auxillary output, thus not consider with respect the efficiency</t>
        </r>
      </text>
    </comment>
    <comment ref="G135" authorId="0" shapeId="0" xr:uid="{80F4C2C7-5C9B-4A37-AC17-763A8604F205}">
      <text>
        <r>
          <rPr>
            <sz val="8"/>
            <color indexed="81"/>
            <rFont val="Tahoma"/>
            <family val="2"/>
          </rPr>
          <t>Comm-OUT-A 
indicates an auxillary output, thus not consider with respect the efficiency</t>
        </r>
      </text>
    </comment>
    <comment ref="D179" authorId="0" shapeId="0" xr:uid="{FBFF9F64-8EFE-4116-894F-639C1DFAB8E2}">
      <text>
        <r>
          <rPr>
            <sz val="8"/>
            <color indexed="81"/>
            <rFont val="Tahoma"/>
            <family val="2"/>
          </rPr>
          <t>Comm-IN-A 
indicates an auxillary input, thus not consider with respect the efficiency</t>
        </r>
      </text>
    </comment>
    <comment ref="F179" authorId="0" shapeId="0" xr:uid="{31F6E70D-973C-4F0B-B61B-543C45AE9919}">
      <text>
        <r>
          <rPr>
            <sz val="8"/>
            <color indexed="81"/>
            <rFont val="Tahoma"/>
            <family val="2"/>
          </rPr>
          <t>Comm-OUT-A 
indicates an auxillary input, thus not consider with respect the efficiency</t>
        </r>
      </text>
    </comment>
    <comment ref="T179" authorId="0" shapeId="0" xr:uid="{728592F5-3682-47CA-88E9-41BF98D1517D}">
      <text>
        <r>
          <rPr>
            <sz val="8"/>
            <color indexed="81"/>
            <rFont val="Tahoma"/>
            <family val="2"/>
          </rPr>
          <t xml:space="preserve">This attribute is used for Combined Heat and Power Technologies
By defautt is defined like fixed share  </t>
        </r>
        <r>
          <rPr>
            <b/>
            <sz val="8"/>
            <color indexed="81"/>
            <rFont val="Tahoma"/>
            <family val="2"/>
          </rPr>
          <t>FX</t>
        </r>
        <r>
          <rPr>
            <sz val="8"/>
            <color indexed="81"/>
            <rFont val="Tahoma"/>
            <family val="2"/>
          </rPr>
          <t xml:space="preserve">.
If you want upper or lower add
</t>
        </r>
        <r>
          <rPr>
            <b/>
            <sz val="8"/>
            <color indexed="81"/>
            <rFont val="Tahoma"/>
            <family val="2"/>
          </rPr>
          <t>~UP
 ~LO</t>
        </r>
      </text>
    </comment>
    <comment ref="D214" authorId="0" shapeId="0" xr:uid="{42639B11-6EA5-4DA4-B7E9-2346D63C5E55}">
      <text>
        <r>
          <rPr>
            <sz val="8"/>
            <color indexed="81"/>
            <rFont val="Tahoma"/>
            <family val="2"/>
          </rPr>
          <t>Comm-IN-A 
indicates an auxillary input, thus not consider with respect the efficiency</t>
        </r>
      </text>
    </comment>
    <comment ref="F214" authorId="0" shapeId="0" xr:uid="{A0E0163A-1A5F-4796-82DD-64173E715577}">
      <text>
        <r>
          <rPr>
            <sz val="8"/>
            <color indexed="81"/>
            <rFont val="Tahoma"/>
            <family val="2"/>
          </rPr>
          <t>Comm-OUT-A 
indicates an auxillary input, thus not consider with respect the efficiency</t>
        </r>
      </text>
    </comment>
    <comment ref="S214" authorId="0" shapeId="0" xr:uid="{07344189-D3DA-4620-9C7C-5128ED7D4765}">
      <text>
        <r>
          <rPr>
            <sz val="8"/>
            <color indexed="81"/>
            <rFont val="Tahoma"/>
            <family val="2"/>
          </rPr>
          <t xml:space="preserve">This attribute is used for Combined Heat and Power Technologies
By defautt is defined like fixed share  </t>
        </r>
        <r>
          <rPr>
            <b/>
            <sz val="8"/>
            <color indexed="81"/>
            <rFont val="Tahoma"/>
            <family val="2"/>
          </rPr>
          <t>FX</t>
        </r>
        <r>
          <rPr>
            <sz val="8"/>
            <color indexed="81"/>
            <rFont val="Tahoma"/>
            <family val="2"/>
          </rPr>
          <t xml:space="preserve">.
If you want upper or lower add
</t>
        </r>
        <r>
          <rPr>
            <b/>
            <sz val="8"/>
            <color indexed="81"/>
            <rFont val="Tahoma"/>
            <family val="2"/>
          </rPr>
          <t>~UP
 ~LO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D5" authorId="0" shapeId="0" xr:uid="{1EE11BE8-7E42-4751-ABFD-65C9CEAE23F6}">
      <text>
        <r>
          <rPr>
            <sz val="8"/>
            <color indexed="81"/>
            <rFont val="Tahoma"/>
            <family val="2"/>
          </rPr>
          <t>Comm-IN-A 
indicates an auxillary input, thus not consider with respect the efficiency</t>
        </r>
      </text>
    </comment>
    <comment ref="G5" authorId="0" shapeId="0" xr:uid="{16592FD3-384B-48E9-AF7D-B984616A3911}">
      <text>
        <r>
          <rPr>
            <sz val="8"/>
            <color indexed="81"/>
            <rFont val="Tahoma"/>
            <family val="2"/>
          </rPr>
          <t>Comm-OUT-A 
indicates an auxillary output, thus not consider with respect the efficiency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Mikkel Bosack</author>
    <author>Mikkel Bosack Simonsen</author>
  </authors>
  <commentList>
    <comment ref="S9" authorId="0" shapeId="0" xr:uid="{00000000-0006-0000-0D00-000001000000}">
      <text>
        <r>
          <rPr>
            <b/>
            <sz val="9"/>
            <color indexed="81"/>
            <rFont val="Tahoma"/>
            <family val="2"/>
          </rPr>
          <t>Rikke Næraa:</t>
        </r>
        <r>
          <rPr>
            <sz val="9"/>
            <color indexed="81"/>
            <rFont val="Tahoma"/>
            <family val="2"/>
          </rPr>
          <t xml:space="preserve">
All  numbers are changed to a integer
 the value is shown in a comment box
</t>
        </r>
      </text>
    </comment>
    <comment ref="K347" authorId="1" shapeId="0" xr:uid="{AE5E932D-5232-4DA7-8EE7-937989678E16}">
      <text>
        <r>
          <rPr>
            <b/>
            <sz val="9"/>
            <color indexed="81"/>
            <rFont val="Tahoma"/>
            <family val="2"/>
          </rPr>
          <t>Mikkel Bosack:</t>
        </r>
        <r>
          <rPr>
            <sz val="9"/>
            <color indexed="81"/>
            <rFont val="Tahoma"/>
            <family val="2"/>
          </rPr>
          <t xml:space="preserve">
Assumption follows the parthway of other fast pyrolysis plants e.g. That the pyrolysis process is only 77% efficienct the data does thereby assume the main input into the pyrolysis technology is biomass and not both biomass and hydrogen</t>
        </r>
      </text>
    </comment>
    <comment ref="Q347" authorId="2" shapeId="0" xr:uid="{00000000-0006-0000-0D00-000002000000}">
      <text>
        <r>
          <rPr>
            <b/>
            <sz val="9"/>
            <color indexed="81"/>
            <rFont val="Tahoma"/>
            <family val="2"/>
          </rPr>
          <t>Mikkel Bosack Simonsen:</t>
        </r>
        <r>
          <rPr>
            <sz val="9"/>
            <color indexed="81"/>
            <rFont val="Tahoma"/>
            <family val="2"/>
          </rPr>
          <t xml:space="preserve">
Assuming similar to configuration 2</t>
        </r>
      </text>
    </comment>
    <comment ref="S347" authorId="2" shapeId="0" xr:uid="{00000000-0006-0000-0D00-000003000000}">
      <text>
        <r>
          <rPr>
            <b/>
            <sz val="9"/>
            <color indexed="81"/>
            <rFont val="Tahoma"/>
            <family val="2"/>
          </rPr>
          <t>Mikkel Bosack Simonsen:</t>
        </r>
        <r>
          <rPr>
            <sz val="9"/>
            <color indexed="81"/>
            <rFont val="Tahoma"/>
            <family val="2"/>
          </rPr>
          <t xml:space="preserve">
Assuming similar to configuration 2</t>
        </r>
      </text>
    </comment>
    <comment ref="Q352" authorId="2" shapeId="0" xr:uid="{00000000-0006-0000-0D00-000005000000}">
      <text>
        <r>
          <rPr>
            <b/>
            <sz val="9"/>
            <color indexed="81"/>
            <rFont val="Tahoma"/>
            <family val="2"/>
          </rPr>
          <t>Mikkel Bosack Simonsen:</t>
        </r>
        <r>
          <rPr>
            <sz val="9"/>
            <color indexed="81"/>
            <rFont val="Tahoma"/>
            <family val="2"/>
          </rPr>
          <t xml:space="preserve">
Assuming similar to configuration 2</t>
        </r>
      </text>
    </comment>
    <comment ref="S352" authorId="2" shapeId="0" xr:uid="{00000000-0006-0000-0D00-000006000000}">
      <text>
        <r>
          <rPr>
            <b/>
            <sz val="9"/>
            <color indexed="81"/>
            <rFont val="Tahoma"/>
            <family val="2"/>
          </rPr>
          <t>Mikkel Bosack Simonsen:</t>
        </r>
        <r>
          <rPr>
            <sz val="9"/>
            <color indexed="81"/>
            <rFont val="Tahoma"/>
            <family val="2"/>
          </rPr>
          <t xml:space="preserve">
Assuming similar to configuration 2</t>
        </r>
      </text>
    </comment>
    <comment ref="Q357" authorId="2" shapeId="0" xr:uid="{00000000-0006-0000-0D00-000007000000}">
      <text>
        <r>
          <rPr>
            <b/>
            <sz val="9"/>
            <color indexed="81"/>
            <rFont val="Tahoma"/>
            <family val="2"/>
          </rPr>
          <t>Mikkel Bosack Simonsen:</t>
        </r>
        <r>
          <rPr>
            <sz val="9"/>
            <color indexed="81"/>
            <rFont val="Tahoma"/>
            <family val="2"/>
          </rPr>
          <t xml:space="preserve">
Assuming similar to configuration 2</t>
        </r>
      </text>
    </comment>
    <comment ref="S357" authorId="2" shapeId="0" xr:uid="{00000000-0006-0000-0D00-000008000000}">
      <text>
        <r>
          <rPr>
            <b/>
            <sz val="9"/>
            <color indexed="81"/>
            <rFont val="Tahoma"/>
            <family val="2"/>
          </rPr>
          <t>Mikkel Bosack Simonsen:</t>
        </r>
        <r>
          <rPr>
            <sz val="9"/>
            <color indexed="81"/>
            <rFont val="Tahoma"/>
            <family val="2"/>
          </rPr>
          <t xml:space="preserve">
Assuming similar to configuration 2</t>
        </r>
      </text>
    </comment>
    <comment ref="Q362" authorId="2" shapeId="0" xr:uid="{00000000-0006-0000-0D00-000009000000}">
      <text>
        <r>
          <rPr>
            <b/>
            <sz val="9"/>
            <color indexed="81"/>
            <rFont val="Tahoma"/>
            <family val="2"/>
          </rPr>
          <t>Mikkel Bosack Simonsen:</t>
        </r>
        <r>
          <rPr>
            <sz val="9"/>
            <color indexed="81"/>
            <rFont val="Tahoma"/>
            <family val="2"/>
          </rPr>
          <t xml:space="preserve">
Assuming similar to configuration 2</t>
        </r>
      </text>
    </comment>
    <comment ref="S362" authorId="2" shapeId="0" xr:uid="{00000000-0006-0000-0D00-00000A000000}">
      <text>
        <r>
          <rPr>
            <b/>
            <sz val="9"/>
            <color indexed="81"/>
            <rFont val="Tahoma"/>
            <family val="2"/>
          </rPr>
          <t>Mikkel Bosack Simonsen:</t>
        </r>
        <r>
          <rPr>
            <sz val="9"/>
            <color indexed="81"/>
            <rFont val="Tahoma"/>
            <family val="2"/>
          </rPr>
          <t xml:space="preserve">
Assuming similar to configuration 2</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Maurizio Gargiulo</author>
    <author>Iben Moll Rasmussen</author>
  </authors>
  <commentList>
    <comment ref="D54" authorId="0" shapeId="0" xr:uid="{2106AA69-3C39-48AB-8DA4-A750AADD73E4}">
      <text>
        <r>
          <rPr>
            <sz val="8"/>
            <color indexed="81"/>
            <rFont val="Tahoma"/>
            <family val="2"/>
          </rPr>
          <t>Comm-IN-A 
indicates an auxillary input, thus not consider with respect the efficiency</t>
        </r>
      </text>
    </comment>
    <comment ref="F54" authorId="0" shapeId="0" xr:uid="{E45F14E2-9384-46A0-8B32-76F9DBA8ADD8}">
      <text>
        <r>
          <rPr>
            <sz val="8"/>
            <color indexed="81"/>
            <rFont val="Tahoma"/>
            <family val="2"/>
          </rPr>
          <t>Comm-OUT-A 
indicates an auxillary input, thus not consider with respect the efficiency</t>
        </r>
      </text>
    </comment>
    <comment ref="U56" authorId="1" shapeId="0" xr:uid="{967B5C36-8BC2-4C93-BE09-42AE22A236ED}">
      <text>
        <r>
          <rPr>
            <b/>
            <sz val="9"/>
            <color indexed="81"/>
            <rFont val="Tahoma"/>
            <family val="2"/>
          </rPr>
          <t>Iben Moll Rasmussen:</t>
        </r>
        <r>
          <rPr>
            <sz val="9"/>
            <color indexed="81"/>
            <rFont val="Tahoma"/>
            <family val="2"/>
          </rPr>
          <t xml:space="preserve">
What does this mean?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Maurizio Gargiulo</author>
    <author>Iben Moll Rasmussen</author>
  </authors>
  <commentList>
    <comment ref="D5" authorId="0" shapeId="0" xr:uid="{2CC79CBD-61DC-4032-B958-029EE6B25013}">
      <text>
        <r>
          <rPr>
            <sz val="8"/>
            <color indexed="81"/>
            <rFont val="Tahoma"/>
            <family val="2"/>
          </rPr>
          <t>Comm-IN-A 
indicates an auxillary input, thus not consider with respect the efficiency</t>
        </r>
      </text>
    </comment>
    <comment ref="F5" authorId="0" shapeId="0" xr:uid="{2E89A280-510E-4DCC-BB94-8C3056C0362F}">
      <text>
        <r>
          <rPr>
            <sz val="8"/>
            <color indexed="81"/>
            <rFont val="Tahoma"/>
            <family val="2"/>
          </rPr>
          <t>Comm-OUT-A 
indicates an auxillary input, thus not consider with respect the efficiency</t>
        </r>
      </text>
    </comment>
    <comment ref="U7" authorId="1" shapeId="0" xr:uid="{2B769C81-A0D8-4CFE-8152-B784EB407B82}">
      <text>
        <r>
          <rPr>
            <b/>
            <sz val="9"/>
            <color indexed="81"/>
            <rFont val="Tahoma"/>
            <family val="2"/>
          </rPr>
          <t>Iben Moll Rasmussen:</t>
        </r>
        <r>
          <rPr>
            <sz val="9"/>
            <color indexed="81"/>
            <rFont val="Tahoma"/>
            <family val="2"/>
          </rPr>
          <t xml:space="preserve">
What does this mean?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Francesco Lovat</author>
  </authors>
  <commentList>
    <comment ref="D3" authorId="0" shapeId="0" xr:uid="{00000000-0006-0000-1400-000001000000}">
      <text>
        <r>
          <rPr>
            <b/>
            <sz val="9"/>
            <color indexed="81"/>
            <rFont val="Tahoma"/>
            <family val="2"/>
          </rPr>
          <t>Francesco Lovat:</t>
        </r>
        <r>
          <rPr>
            <sz val="9"/>
            <color indexed="81"/>
            <rFont val="Tahoma"/>
            <family val="2"/>
          </rPr>
          <t xml:space="preserve">
There is no I&amp;S industry in DK</t>
        </r>
      </text>
    </comment>
    <comment ref="H3" authorId="0" shapeId="0" xr:uid="{00000000-0006-0000-1400-000002000000}">
      <text>
        <r>
          <rPr>
            <b/>
            <sz val="9"/>
            <color indexed="81"/>
            <rFont val="Tahoma"/>
            <family val="2"/>
          </rPr>
          <t>Francesco Lovat:</t>
        </r>
        <r>
          <rPr>
            <sz val="9"/>
            <color indexed="81"/>
            <rFont val="Tahoma"/>
            <family val="2"/>
          </rPr>
          <t xml:space="preserve">
Not renewable (and scarcity in the future)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<sst xmlns="http://schemas.openxmlformats.org/spreadsheetml/2006/main" count="6171" uniqueCount="1777">
  <si>
    <t>~FI_T</t>
  </si>
  <si>
    <t>~FI_Process</t>
  </si>
  <si>
    <t>TechName</t>
  </si>
  <si>
    <t>Comm-OUT</t>
  </si>
  <si>
    <t>START</t>
  </si>
  <si>
    <t>LIFE</t>
  </si>
  <si>
    <t>INVCOST</t>
  </si>
  <si>
    <t>FIXOM</t>
  </si>
  <si>
    <t>VAROM</t>
  </si>
  <si>
    <t>CAP2ACT</t>
  </si>
  <si>
    <t>Sets</t>
  </si>
  <si>
    <t>TechDesc</t>
  </si>
  <si>
    <t>Tact</t>
  </si>
  <si>
    <t>Tcap</t>
  </si>
  <si>
    <t>Tslvl</t>
  </si>
  <si>
    <t>PrimaryCG</t>
  </si>
  <si>
    <t>Vintage</t>
  </si>
  <si>
    <t>\I: Process Set Membership</t>
  </si>
  <si>
    <t>Technology Name</t>
  </si>
  <si>
    <t>Technology Description</t>
  </si>
  <si>
    <t>Activity Unit</t>
  </si>
  <si>
    <t>Capacity Unit</t>
  </si>
  <si>
    <t>Timeslice Operational Level</t>
  </si>
  <si>
    <t>Operational Commodity Group</t>
  </si>
  <si>
    <t>Vintage Tracking</t>
  </si>
  <si>
    <t>PJ</t>
  </si>
  <si>
    <t>Date</t>
  </si>
  <si>
    <t>Name</t>
  </si>
  <si>
    <t>Sheet Name</t>
  </si>
  <si>
    <t>Cells</t>
  </si>
  <si>
    <t>Comments</t>
  </si>
  <si>
    <t>*TechDesc</t>
  </si>
  <si>
    <t>Comm-IN</t>
  </si>
  <si>
    <t>Comm-OUT-A</t>
  </si>
  <si>
    <t>CURR</t>
  </si>
  <si>
    <t>YEAR</t>
  </si>
  <si>
    <t>INPUT</t>
  </si>
  <si>
    <t>OUTPUT</t>
  </si>
  <si>
    <t>AF</t>
  </si>
  <si>
    <t>ILED</t>
  </si>
  <si>
    <t>*N.</t>
  </si>
  <si>
    <t>*Source</t>
  </si>
  <si>
    <t>*</t>
  </si>
  <si>
    <t>Comm Name In</t>
  </si>
  <si>
    <t>Comm Name Out</t>
  </si>
  <si>
    <t>Auxiliary output</t>
  </si>
  <si>
    <t>Currency unit</t>
  </si>
  <si>
    <t>Input value</t>
  </si>
  <si>
    <t>Output value</t>
  </si>
  <si>
    <t>Lfetime</t>
  </si>
  <si>
    <t>Capital cost</t>
  </si>
  <si>
    <t>FIX O&amp;M</t>
  </si>
  <si>
    <t>Availability factor</t>
  </si>
  <si>
    <t>Caapcity to Activity unit</t>
  </si>
  <si>
    <t>Lead Time between investment decision and actual availability of capacity (equal to construction time)</t>
  </si>
  <si>
    <t>no</t>
  </si>
  <si>
    <t>Source</t>
  </si>
  <si>
    <t>*DEA nameing</t>
  </si>
  <si>
    <t>Technical lifetime (years)</t>
  </si>
  <si>
    <t>Forced outage (%)</t>
  </si>
  <si>
    <t>Construction time (years)</t>
  </si>
  <si>
    <t>PJ/PJ Output</t>
  </si>
  <si>
    <t>years</t>
  </si>
  <si>
    <t>MDKK/MW</t>
  </si>
  <si>
    <t>MDKK/MW/Year</t>
  </si>
  <si>
    <t>DKK/GJ</t>
  </si>
  <si>
    <t>Fraction</t>
  </si>
  <si>
    <t>Construction time</t>
  </si>
  <si>
    <t>SUPWCH</t>
  </si>
  <si>
    <t>MOB2</t>
  </si>
  <si>
    <t>MKr15</t>
  </si>
  <si>
    <t>SUPELC</t>
  </si>
  <si>
    <t>SUPRPS</t>
  </si>
  <si>
    <t>DSB1</t>
  </si>
  <si>
    <t>Technology data for advanced bioenergy fuels, Danish Energy Agency, FORCE Technology
Department for Biomass &amp; Waste</t>
  </si>
  <si>
    <t>GLY</t>
  </si>
  <si>
    <t>LVN</t>
  </si>
  <si>
    <t>SNG1</t>
  </si>
  <si>
    <t>LPG</t>
  </si>
  <si>
    <t>KRB1</t>
  </si>
  <si>
    <t>SUPCRN</t>
  </si>
  <si>
    <t>GSB1</t>
  </si>
  <si>
    <t>https://task39.sites.olt.ubc.ca/files/2013/05/Marine-biofuel-report-final-Oct-2017.pdf</t>
  </si>
  <si>
    <t>SUPSTR</t>
  </si>
  <si>
    <t>ELCC</t>
  </si>
  <si>
    <t>GSB2</t>
  </si>
  <si>
    <t>DSB2</t>
  </si>
  <si>
    <t>kt biochar</t>
  </si>
  <si>
    <t>SNG2</t>
  </si>
  <si>
    <t>kt carbon</t>
  </si>
  <si>
    <t>kt CO2 Sink with 60 % storage efficiency</t>
  </si>
  <si>
    <t>kt CO2 "input"</t>
  </si>
  <si>
    <t>Planned outage (weeks per year)</t>
  </si>
  <si>
    <t>Veg Oil Consumption, MWh/MWh Total Input</t>
  </si>
  <si>
    <t>Biodiesel Output, MWh/MWh Total Input</t>
  </si>
  <si>
    <t>Methanol Consumption, MWh/MWh Total Input</t>
  </si>
  <si>
    <t>Electricity Consumption, MWh/MWh Total Input</t>
  </si>
  <si>
    <t>Natural Gas Consumption, MWh/MWh Total Input</t>
  </si>
  <si>
    <t>Glycerine  Output, MWh/MWh Total Input</t>
  </si>
  <si>
    <t xml:space="preserve">Biodiesel Output, MWH/MWh </t>
  </si>
  <si>
    <t>Glycerine  Output, MWH/MWh Total Input</t>
  </si>
  <si>
    <t>Feedstock Consumption, MWh/MWh Total Inputs</t>
  </si>
  <si>
    <t>HVO Output, MWh/MWh Total Input</t>
  </si>
  <si>
    <t>Hydrogen Consumption, MWh/MWh Total Inputs</t>
  </si>
  <si>
    <t>Electricity Consumption, MWh/MWh Total Inputs</t>
  </si>
  <si>
    <t>Natural Gas Consumption, MWh/MWh Total Inputs</t>
  </si>
  <si>
    <t>Naphta Output, MWh/MWh Total Input</t>
  </si>
  <si>
    <t>Fuel Gas Output, MWh/MWh Total Input</t>
  </si>
  <si>
    <t>LPG Output, MWh/MWh Total Input</t>
  </si>
  <si>
    <t>District Heating Output, MWh/MWh Total input</t>
  </si>
  <si>
    <t>HVO Jet Output, GJ/GJ Total Input</t>
  </si>
  <si>
    <t>Fast Pyrolysis Bio Oil</t>
  </si>
  <si>
    <t>Feedstock Consumption, MWh/MWh Total Input</t>
  </si>
  <si>
    <t>Ethanol Output, MWh/MWh Total Input</t>
  </si>
  <si>
    <t>Electiricity Output, MWh/MWh Total Input</t>
  </si>
  <si>
    <t>Bio Oil Output, MWh/MWh Total Input</t>
  </si>
  <si>
    <t>Gasoline fraction, MWh/MWh Total Input</t>
  </si>
  <si>
    <t>Diesel fraction, MWh/MWh Total Input</t>
  </si>
  <si>
    <t>Liquid Fuel Output, MWh/MWh Total Input</t>
  </si>
  <si>
    <t>Hydrogen Consumption, MWh/MWh Total Input</t>
  </si>
  <si>
    <t>Biochar, Output, MWh/MWh Total Input</t>
  </si>
  <si>
    <t>Gas Output, MWh/MWh Total Input</t>
  </si>
  <si>
    <t>District Heat MWh/MWh Total Input</t>
  </si>
  <si>
    <t>MW</t>
  </si>
  <si>
    <t/>
  </si>
  <si>
    <t>PRE</t>
  </si>
  <si>
    <t>PJ/ktCO2</t>
  </si>
  <si>
    <t>kWh/tCO2</t>
  </si>
  <si>
    <t>Electricity input</t>
  </si>
  <si>
    <t>M€/(ktCO2/a)/a</t>
  </si>
  <si>
    <t>OPEX</t>
  </si>
  <si>
    <t>M€/ktCO2·a</t>
  </si>
  <si>
    <t>CAPEX</t>
  </si>
  <si>
    <t>unit</t>
  </si>
  <si>
    <t>HT DAC</t>
  </si>
  <si>
    <t>PJ heat/PJ elec</t>
  </si>
  <si>
    <t>Heat input</t>
  </si>
  <si>
    <t>LT DAC</t>
  </si>
  <si>
    <t>PJ heat/ktCO2 captured</t>
  </si>
  <si>
    <r>
      <rPr>
        <b/>
        <sz val="16"/>
        <color theme="1"/>
        <rFont val="Calibri"/>
        <family val="2"/>
        <scheme val="minor"/>
      </rPr>
      <t>Source:</t>
    </r>
    <r>
      <rPr>
        <sz val="11"/>
        <color theme="1"/>
        <rFont val="Calibri"/>
        <family val="2"/>
        <scheme val="minor"/>
      </rPr>
      <t xml:space="preserve"> Fasihi et al: Techno-economic assessment of CO2 direct air capture plants</t>
    </r>
  </si>
  <si>
    <t>PJ/ktonne</t>
  </si>
  <si>
    <t>€/ton·year</t>
  </si>
  <si>
    <t>GJ/ktonne</t>
  </si>
  <si>
    <t>tonCO2/year</t>
  </si>
  <si>
    <t>Capacity</t>
  </si>
  <si>
    <t>GJ/tonne</t>
  </si>
  <si>
    <r>
      <rPr>
        <b/>
        <sz val="14"/>
        <rFont val="Arial"/>
        <family val="2"/>
      </rPr>
      <t>Source:</t>
    </r>
    <r>
      <rPr>
        <sz val="14"/>
        <rFont val="Arial"/>
        <family val="2"/>
      </rPr>
      <t xml:space="preserve"> Renewables in Transport 2050</t>
    </r>
  </si>
  <si>
    <t>PJ elc/ ktCO2</t>
  </si>
  <si>
    <t>Efficiency electric boiler</t>
  </si>
  <si>
    <t>GJ/ton  CO2 captured</t>
  </si>
  <si>
    <t>Elec</t>
  </si>
  <si>
    <t>Steam</t>
  </si>
  <si>
    <t>Source: Comparative assessment of CO2 capture technologies for carbon-intensive industrial processes</t>
  </si>
  <si>
    <t>PTLCO2</t>
  </si>
  <si>
    <t>IMPPTLCO2</t>
  </si>
  <si>
    <t xml:space="preserve"> Mkr /kt</t>
  </si>
  <si>
    <t>COST~0</t>
  </si>
  <si>
    <t>COST</t>
  </si>
  <si>
    <t>Year</t>
  </si>
  <si>
    <t>Dummy CO2 for combined DAC and fuel production plants</t>
  </si>
  <si>
    <t>SUPHETD</t>
  </si>
  <si>
    <t>CCXCO2</t>
  </si>
  <si>
    <t>Cost of CCU technologies from Biogas upgrading power plants,Source: Table 4 in Brynolf et al: Electrofuels for the transport sector: A review of production costs</t>
  </si>
  <si>
    <t>BGACO2</t>
  </si>
  <si>
    <t>CCU of CO2 in Biogas Upgrading plants</t>
  </si>
  <si>
    <t>Years</t>
  </si>
  <si>
    <t xml:space="preserve"> Mkr /ktCO2/year</t>
  </si>
  <si>
    <t xml:space="preserve"> Mkr /(ktCO2/year)/year</t>
  </si>
  <si>
    <t xml:space="preserve"> Mkr/(ktCO2/year)</t>
  </si>
  <si>
    <t>ktCO2/(ktCO2/year)</t>
  </si>
  <si>
    <t>ktCO2/kt Input</t>
  </si>
  <si>
    <t>PJ/ktonCO2</t>
  </si>
  <si>
    <t>\I: Units</t>
  </si>
  <si>
    <t>Variable O&amp;M Cost</t>
  </si>
  <si>
    <t>Fixed O&amp;M Cost</t>
  </si>
  <si>
    <t>Investment Cost</t>
  </si>
  <si>
    <t>Capacity to Activity Factor</t>
  </si>
  <si>
    <t>Lifetime of Process</t>
  </si>
  <si>
    <t>Annual Availability Factor</t>
  </si>
  <si>
    <t>Technical Efficiency</t>
  </si>
  <si>
    <t>Fuel input level</t>
  </si>
  <si>
    <t>Output Commodity</t>
  </si>
  <si>
    <t>Auxiliary Input Commodity</t>
  </si>
  <si>
    <t>Input Commodity</t>
  </si>
  <si>
    <t>\I:Technology Name</t>
  </si>
  <si>
    <t>Life</t>
  </si>
  <si>
    <t>AFA</t>
  </si>
  <si>
    <t>EFF</t>
  </si>
  <si>
    <t>Input</t>
  </si>
  <si>
    <t>Comm-IN-A</t>
  </si>
  <si>
    <t>EUR to DKK</t>
  </si>
  <si>
    <t>New specific CAPEX</t>
  </si>
  <si>
    <t>PtL capacity</t>
  </si>
  <si>
    <t>Reducted CAPEX with CO2 concetrated source supply</t>
  </si>
  <si>
    <t>Total CAPEX</t>
  </si>
  <si>
    <t>CAPEX reduction (just 25% of orginal cost)</t>
  </si>
  <si>
    <t>CO2 supply CAPEX</t>
  </si>
  <si>
    <t>Don't be scared if sources are very limited to supply all transport demand. Just focus on domestic aviation, shipping and heavy trucks share.</t>
  </si>
  <si>
    <t>Source: Schmidt et al: Power-to-Liquids: Potentials and Perspectives for the ­ Future Supply of Renewable Aviation</t>
  </si>
  <si>
    <t>ktCO2/PJ</t>
  </si>
  <si>
    <t>tonCO2/GJ PtL</t>
  </si>
  <si>
    <t>tonCO2/MWh PtL</t>
  </si>
  <si>
    <t>Thereof CO2 costs</t>
  </si>
  <si>
    <t>Just the synthesis (77% efficiency from this energy balance). If we account for carbon capture and electrolysis and syngas conversion it drops until 54%</t>
  </si>
  <si>
    <t>Fuel costs FVV</t>
  </si>
  <si>
    <t>Source: Techno-economic and uncertainty analysis of Biomass to Liquid (BTL) systems for transport fuel production</t>
  </si>
  <si>
    <t>M€2014/MW</t>
  </si>
  <si>
    <t>Source: FVV's Kraftstoffstudie II: Renewables in Transport 2050</t>
  </si>
  <si>
    <t>CAPEX in M€2014</t>
  </si>
  <si>
    <t>Output Capacity (MW of PtL)</t>
  </si>
  <si>
    <t>MKr14</t>
  </si>
  <si>
    <t>GSE</t>
  </si>
  <si>
    <t>Methanol to gasoline</t>
  </si>
  <si>
    <r>
      <t xml:space="preserve">Note: added </t>
    </r>
    <r>
      <rPr>
        <b/>
        <sz val="10"/>
        <rFont val="Arial"/>
        <family val="2"/>
      </rPr>
      <t>16%</t>
    </r>
    <r>
      <rPr>
        <sz val="10"/>
        <rFont val="Arial"/>
        <family val="2"/>
      </rPr>
      <t xml:space="preserve"> at the efficiency upon the efficiencies of FFV's publication, according to the reference Schmidt et al</t>
    </r>
  </si>
  <si>
    <t>Schmidt et al: Power-to-Liquids: Potentials and Perspectives for the ­ Future Supply of Renewable Aviation</t>
  </si>
  <si>
    <t>PtL Methanol route (high temp electrolysis) - conc CO2 source</t>
  </si>
  <si>
    <t>HETC</t>
  </si>
  <si>
    <t>Note: the value of the auxiliary heat production comes from the Diagram of Faishi et al. Since methanol synthesis works at similar temperatures than FT synthesis</t>
  </si>
  <si>
    <r>
      <t xml:space="preserve">Note: added </t>
    </r>
    <r>
      <rPr>
        <b/>
        <sz val="10"/>
        <rFont val="Arial"/>
        <family val="2"/>
      </rPr>
      <t>12%</t>
    </r>
    <r>
      <rPr>
        <sz val="10"/>
        <rFont val="Arial"/>
        <family val="2"/>
      </rPr>
      <t xml:space="preserve"> at the efficiency upon the efficiencies of FFV's publication, according to the reference Schmidt et al</t>
    </r>
  </si>
  <si>
    <t>PtL Methanol route (low temp electrolysis) - conc CO2 source</t>
  </si>
  <si>
    <t>FVV's Kraftstoffstudie II: Renewables in Transport 2050</t>
  </si>
  <si>
    <t>PtL Methanol route (High temp electrolysis) - DAC</t>
  </si>
  <si>
    <t>DSE</t>
  </si>
  <si>
    <t>KRE</t>
  </si>
  <si>
    <t>PtL Methanol route (Low temp electrolysis) - DAC</t>
  </si>
  <si>
    <t xml:space="preserve"> Mkr /PJ</t>
  </si>
  <si>
    <t xml:space="preserve"> Mkr/MW/year</t>
  </si>
  <si>
    <t xml:space="preserve"> Mkr/MW PtL</t>
  </si>
  <si>
    <t>PJ/MW</t>
  </si>
  <si>
    <t>PJ heat/PJ PtL</t>
  </si>
  <si>
    <t>kt CO2/PJ PtL</t>
  </si>
  <si>
    <t xml:space="preserve">PJ out PtL/PJ in </t>
  </si>
  <si>
    <t>Fuel Output level</t>
  </si>
  <si>
    <t>Efficiency</t>
  </si>
  <si>
    <t>Auxiliary Output Commodity</t>
  </si>
  <si>
    <t>Share-O~UP~0</t>
  </si>
  <si>
    <t>Share-O~UP</t>
  </si>
  <si>
    <t>Share-O~LO~0</t>
  </si>
  <si>
    <t>Share-O~LO</t>
  </si>
  <si>
    <t>Output</t>
  </si>
  <si>
    <t>Start up (M€ /1,000 t Methanol)</t>
  </si>
  <si>
    <t>M€/PJ</t>
  </si>
  <si>
    <t>ktCO2/PJ CH3OH</t>
  </si>
  <si>
    <t>E, F</t>
  </si>
  <si>
    <t>Variable O&amp;M (M€ /1,000 t Methanol)</t>
  </si>
  <si>
    <t>€/GJ</t>
  </si>
  <si>
    <t>Fixed O&amp;M (M€ /1,000 t Methanol)</t>
  </si>
  <si>
    <t>Variable O&amp;M (€ /MWh)</t>
  </si>
  <si>
    <t>tCO2/GJ CH3OH</t>
  </si>
  <si>
    <t>tCO2</t>
  </si>
  <si>
    <t>GJ/tCH3OH</t>
  </si>
  <si>
    <t xml:space="preserve"> -installation (%)</t>
  </si>
  <si>
    <t>- equipment (%)</t>
  </si>
  <si>
    <t>Oxigen price??? Could be sold and lower the LCOE</t>
  </si>
  <si>
    <t>1, 3, 5, 6</t>
  </si>
  <si>
    <t>F</t>
  </si>
  <si>
    <t>Specific investment (M€ /1,000 t Methanol)</t>
  </si>
  <si>
    <t>Specific density  (kg/l) or (ton/m3)</t>
  </si>
  <si>
    <t>Specific energy content (GJ/ton) methanol)</t>
  </si>
  <si>
    <t>HETD</t>
  </si>
  <si>
    <t xml:space="preserve">Technology specific data                                 </t>
  </si>
  <si>
    <t>Methanol by ETL technology Decent</t>
  </si>
  <si>
    <t>Fixed O&amp;M (M€ /MW Methanol/year)</t>
  </si>
  <si>
    <t>Specific investment (M€ /MW Methanol)</t>
  </si>
  <si>
    <t xml:space="preserve">Financial data                                 </t>
  </si>
  <si>
    <t>2,3</t>
  </si>
  <si>
    <t>E</t>
  </si>
  <si>
    <t>Technology data for advanced bioenergy fuels, Danish Energy Agency, FORCE Technology cent Department for Biomass &amp; Waste</t>
  </si>
  <si>
    <t>MOE</t>
  </si>
  <si>
    <t>D</t>
  </si>
  <si>
    <t>Methanol Output, MWh/MWh Input</t>
  </si>
  <si>
    <t>Outputs</t>
  </si>
  <si>
    <t>C</t>
  </si>
  <si>
    <t>Hydrogen Consumption, t/t Methanol</t>
  </si>
  <si>
    <t>CO2 Consumption, t/t Methanol</t>
  </si>
  <si>
    <t>Inputs</t>
  </si>
  <si>
    <t>4, 5</t>
  </si>
  <si>
    <t>A, A1, B</t>
  </si>
  <si>
    <t>Typical total plant size, MW</t>
  </si>
  <si>
    <t>4, 5, 11</t>
  </si>
  <si>
    <t>A, B</t>
  </si>
  <si>
    <t>Typical total plant size 1,000 t Methanol/year</t>
  </si>
  <si>
    <t>Energy/technical data</t>
  </si>
  <si>
    <t>Upper</t>
  </si>
  <si>
    <t>Lower</t>
  </si>
  <si>
    <t xml:space="preserve"> </t>
  </si>
  <si>
    <t>Methanol by ETL technology Cent</t>
  </si>
  <si>
    <t>Ref</t>
  </si>
  <si>
    <t>Note</t>
  </si>
  <si>
    <t>Uncertainty (2050)</t>
  </si>
  <si>
    <t>Uncertainty (2020)</t>
  </si>
  <si>
    <t>Mkr/PJ methanol</t>
  </si>
  <si>
    <t>Mkr/MW/year</t>
  </si>
  <si>
    <t>Mkr/MW methanol</t>
  </si>
  <si>
    <t>PJ/PJ methanol</t>
  </si>
  <si>
    <t>Power to Methanol</t>
  </si>
  <si>
    <t>Technology</t>
  </si>
  <si>
    <t>Capcity to Activity unit</t>
  </si>
  <si>
    <t>Variable O&amp;M</t>
  </si>
  <si>
    <t>Fixed O&amp;M</t>
  </si>
  <si>
    <t>Methanol by ETL technology</t>
  </si>
  <si>
    <t>SUPCCUBGA1N</t>
  </si>
  <si>
    <t>SUPPTXPTLL1N</t>
  </si>
  <si>
    <t>SUPPTXPTLH1N</t>
  </si>
  <si>
    <t>SUPPTXCCXl1N</t>
  </si>
  <si>
    <t>SUPPTXCCXh1N</t>
  </si>
  <si>
    <t>SUPMOBGSE1N</t>
  </si>
  <si>
    <t>SUPPTXMOEC1N</t>
  </si>
  <si>
    <t>SUPPTXMOED1N</t>
  </si>
  <si>
    <t>IMP</t>
  </si>
  <si>
    <t>"Import technology" - CO2 from air to be used in PTL techs</t>
  </si>
  <si>
    <t>kt</t>
  </si>
  <si>
    <t>kta</t>
  </si>
  <si>
    <t>DAYNITE</t>
  </si>
  <si>
    <t>PJa</t>
  </si>
  <si>
    <t>AMM</t>
  </si>
  <si>
    <t>SUPPTXPTLL2N</t>
  </si>
  <si>
    <t>PtL FT route (Low temp electrolysis)  - DAC</t>
  </si>
  <si>
    <t>SUPPTXCCXL2N</t>
  </si>
  <si>
    <t>PtL FT route (Low temp electrolysis)  - conc CO2 source</t>
  </si>
  <si>
    <t>SUPPTXPTLH2N</t>
  </si>
  <si>
    <t>PtL FT route (High temp electrolysis) - DAC</t>
  </si>
  <si>
    <t>SUPPTXCCXH2N</t>
  </si>
  <si>
    <t>PtL FT route (High temp electrolysis)  - conc CO2 source</t>
  </si>
  <si>
    <t>SUPPTXPTLH3N</t>
  </si>
  <si>
    <t>PtL FT route (High temp electrolysis - TSA)</t>
  </si>
  <si>
    <t>SUPELCAMM01</t>
  </si>
  <si>
    <t>NCAP_ILED</t>
  </si>
  <si>
    <t xml:space="preserve">PJ out/PJ in </t>
  </si>
  <si>
    <t>PJ/PJ out</t>
  </si>
  <si>
    <t>Factor</t>
  </si>
  <si>
    <t>MEUR</t>
  </si>
  <si>
    <t>MEUR/PJ</t>
  </si>
  <si>
    <t>MWe</t>
  </si>
  <si>
    <t>CEH</t>
  </si>
  <si>
    <t>CHPR</t>
  </si>
  <si>
    <t>Ratio of electricity lost to output gained</t>
  </si>
  <si>
    <t>Output to Power Ratio</t>
  </si>
  <si>
    <t xml:space="preserve">PJ out H2/PJ in </t>
  </si>
  <si>
    <t>PJ/PJ H2</t>
  </si>
  <si>
    <t xml:space="preserve"> Mkr /PJ H2/year</t>
  </si>
  <si>
    <t>Coal Gasification Large Central</t>
  </si>
  <si>
    <t>SUPCOA</t>
  </si>
  <si>
    <t>MKr12</t>
  </si>
  <si>
    <t>Bolat and Thiel, 2014</t>
  </si>
  <si>
    <t>Coal Gasification Medium Central</t>
  </si>
  <si>
    <t>Biomass Gasification Small Decentral</t>
  </si>
  <si>
    <t>SUPWCH, SUPWPE, SUPSTR</t>
  </si>
  <si>
    <t>H2GD</t>
  </si>
  <si>
    <t>Biomass Gasification Medium Central</t>
  </si>
  <si>
    <t>SUPKVPR01</t>
  </si>
  <si>
    <t>Kvaerner Process NGA</t>
  </si>
  <si>
    <t>SUPNGA</t>
  </si>
  <si>
    <t>Steam Reforming NGA Large Central</t>
  </si>
  <si>
    <t>Steam Reforming NGA Small Central</t>
  </si>
  <si>
    <t>Steam Reforming NGA Medium Decentral</t>
  </si>
  <si>
    <t>Steam Reforming NGA Small Decentral</t>
  </si>
  <si>
    <t>Steam Reforming Biomass HighP Central</t>
  </si>
  <si>
    <t>Steam Reforming Biomass LowP Central</t>
  </si>
  <si>
    <t>Steam Reforming Ethanol Decentral</t>
  </si>
  <si>
    <t>SUPGSB</t>
  </si>
  <si>
    <t>Alkaline Electrolyzer Large</t>
  </si>
  <si>
    <t>Alkaline Electrolyzer Medium</t>
  </si>
  <si>
    <t>Alkaline Electrolyzer Small</t>
  </si>
  <si>
    <t>Lead Time</t>
  </si>
  <si>
    <t xml:space="preserve"> Mkr/MW H2</t>
  </si>
  <si>
    <t xml:space="preserve"> Mkr/MW H2/year</t>
  </si>
  <si>
    <t xml:space="preserve"> Mkr /PJ H2</t>
  </si>
  <si>
    <t>PEM Electrolyzer Cell Centralized</t>
  </si>
  <si>
    <t>PEM Electrolyzer Cell Decentralized</t>
  </si>
  <si>
    <t>SNG by methanation of biogas</t>
  </si>
  <si>
    <t>SNG from Biogas</t>
  </si>
  <si>
    <t>Auxiliary Input</t>
  </si>
  <si>
    <t>PJ/PJ SNG</t>
  </si>
  <si>
    <t>Mkr/MW SNG</t>
  </si>
  <si>
    <t>Mkr/MW SNG/year</t>
  </si>
  <si>
    <t>Mkr/PJ SNG</t>
  </si>
  <si>
    <t>SUPSNGBGAMC01</t>
  </si>
  <si>
    <t>SNG by methanation of biogas Cent</t>
  </si>
  <si>
    <t>SUPBGA</t>
  </si>
  <si>
    <t>SNE</t>
  </si>
  <si>
    <t>Typical total plant size 1,000 GJ SNG/year</t>
  </si>
  <si>
    <t>1, 7</t>
  </si>
  <si>
    <t>A, A1,  B</t>
  </si>
  <si>
    <t xml:space="preserve"> Inputs</t>
  </si>
  <si>
    <t>Biogas Consumption, MWh/MWh Total Input</t>
  </si>
  <si>
    <t>C, I</t>
  </si>
  <si>
    <t>C, E</t>
  </si>
  <si>
    <t>SNG Output, MWh/MWh Total Input</t>
  </si>
  <si>
    <t>G</t>
  </si>
  <si>
    <t>SUPSNGBGAMD01</t>
  </si>
  <si>
    <t>SNG by methanation of biogas Decent</t>
  </si>
  <si>
    <t>Specific investment (M€ /MW SNG)</t>
  </si>
  <si>
    <t>H</t>
  </si>
  <si>
    <t xml:space="preserve"> - equipment (%)</t>
  </si>
  <si>
    <t>Fixed O&amp;M (M€ /MW/year SNG)</t>
  </si>
  <si>
    <t>Variable O&amp;M (€ /MWh SNG)</t>
  </si>
  <si>
    <t>Start up (€ /GJ SNG)</t>
  </si>
  <si>
    <t>Specific energy content (GJ/ton) SNG)</t>
  </si>
  <si>
    <t>Specific investment (M€ / 1000 GJ SNG)</t>
  </si>
  <si>
    <t>Fixed O&amp;M (€ /GJ SNG)</t>
  </si>
  <si>
    <t>Variable O&amp;M (€ /GJ SNG)</t>
  </si>
  <si>
    <t>CEFF-I</t>
  </si>
  <si>
    <t>Share-I~LO~2010</t>
  </si>
  <si>
    <t>Share-I~LO~2020</t>
  </si>
  <si>
    <t>Share-I~LO~0</t>
  </si>
  <si>
    <t>Starting year</t>
  </si>
  <si>
    <t>Lifetime</t>
  </si>
  <si>
    <t>Limit in input share</t>
  </si>
  <si>
    <t>Units of activity/unit of capacity</t>
  </si>
  <si>
    <t>*Units</t>
  </si>
  <si>
    <t>PJ biogas/PJ input</t>
  </si>
  <si>
    <t>PJ input/PJ biogas</t>
  </si>
  <si>
    <t>PJ/PJ biogas</t>
  </si>
  <si>
    <t>Mkr/MW biogas</t>
  </si>
  <si>
    <t>SUPBGAUPD</t>
  </si>
  <si>
    <t>Biogas upgrading plant</t>
  </si>
  <si>
    <t>SUPSNGBIO</t>
  </si>
  <si>
    <t>SNG plant - SNG production from biomass input</t>
  </si>
  <si>
    <t>SUPSTR, SUPWPE, SUPWCH</t>
  </si>
  <si>
    <t>Costs large plants</t>
  </si>
  <si>
    <t>From technology catalogue, it is the estimated share of the individual fuels</t>
  </si>
  <si>
    <t>https://ens.dk/sites/ens.dk/files/Analyser/technology_data_for_for_renewable_fuels_-_march_2018.pdf</t>
  </si>
  <si>
    <t>Mkr/PJ</t>
  </si>
  <si>
    <t>LHV</t>
  </si>
  <si>
    <t>Input share t</t>
  </si>
  <si>
    <t>GJ/t</t>
  </si>
  <si>
    <t>% af produktion</t>
  </si>
  <si>
    <t>t input</t>
  </si>
  <si>
    <t>Biogas plant - Mono digestion pig slurry</t>
  </si>
  <si>
    <t>SUPMNR</t>
  </si>
  <si>
    <t>BGA</t>
  </si>
  <si>
    <t>Slurry</t>
  </si>
  <si>
    <t>SUPDLI</t>
  </si>
  <si>
    <t>Deep litter</t>
  </si>
  <si>
    <t>SUPWST</t>
  </si>
  <si>
    <t>Manure, stable</t>
  </si>
  <si>
    <t>Straw</t>
  </si>
  <si>
    <t>I waste</t>
  </si>
  <si>
    <t>H watse</t>
  </si>
  <si>
    <t>energy crops</t>
  </si>
  <si>
    <t>other</t>
  </si>
  <si>
    <t>Biogas plant - Co digestion straw</t>
  </si>
  <si>
    <t>Biogas plant - Co digestion biowaste</t>
  </si>
  <si>
    <t>Biogas plant - Co digestion grass</t>
  </si>
  <si>
    <t>SUPGRS</t>
  </si>
  <si>
    <t>*="SUP"&amp;G42&amp;"BIO1N"</t>
  </si>
  <si>
    <t>Biogas plant - Pure biomass input</t>
  </si>
  <si>
    <r>
      <rPr>
        <b/>
        <sz val="14"/>
        <color theme="1"/>
        <rFont val="Calibri"/>
        <family val="2"/>
        <scheme val="minor"/>
      </rPr>
      <t>Source:</t>
    </r>
    <r>
      <rPr>
        <sz val="14"/>
        <color theme="1"/>
        <rFont val="Calibri"/>
        <family val="2"/>
        <scheme val="minor"/>
      </rPr>
      <t xml:space="preserve"> Techonolgy Catalogue for energy plants</t>
    </r>
  </si>
  <si>
    <r>
      <rPr>
        <b/>
        <sz val="16"/>
        <color theme="1"/>
        <rFont val="Calibri"/>
        <family val="2"/>
        <scheme val="minor"/>
      </rPr>
      <t>Source:</t>
    </r>
    <r>
      <rPr>
        <sz val="11"/>
        <color theme="1"/>
        <rFont val="Calibri"/>
        <family val="2"/>
        <scheme val="minor"/>
      </rPr>
      <t xml:space="preserve"> The Potential for electrofuels Production in sweden Utilizing Fossil and Biogenic cO2 Point sources</t>
    </r>
  </si>
  <si>
    <t>Waste water treatmentor 22% production.</t>
  </si>
  <si>
    <t>Farm plants: 22%</t>
  </si>
  <si>
    <t>Year 2014: Biogas centralized plants account for more than half of the gas production today</t>
  </si>
  <si>
    <r>
      <t xml:space="preserve">Total BGA production in 2015: </t>
    </r>
    <r>
      <rPr>
        <b/>
        <sz val="14"/>
        <color theme="1"/>
        <rFont val="Calibri"/>
        <family val="2"/>
        <scheme val="minor"/>
      </rPr>
      <t>6.34 PJ</t>
    </r>
  </si>
  <si>
    <t>Source: Technology catalogue 2017. DEA</t>
  </si>
  <si>
    <r>
      <rPr>
        <b/>
        <sz val="16"/>
        <color theme="1"/>
        <rFont val="Calibri"/>
        <family val="2"/>
        <scheme val="minor"/>
      </rPr>
      <t>Source:</t>
    </r>
    <r>
      <rPr>
        <b/>
        <sz val="11"/>
        <color theme="1"/>
        <rFont val="Calibri"/>
        <family val="2"/>
        <scheme val="minor"/>
      </rPr>
      <t xml:space="preserve"> http://task37.ieabioenergy.com/country-reports.html?file=files/daten-redaktion/download/publications/country-reports/2017/Denmark_Task%2037%20Country%20Report_Sep_2017.pdf</t>
    </r>
  </si>
  <si>
    <t>Source: Capturing CO2 from biogas plants</t>
  </si>
  <si>
    <t>Recoverable kg CO2/GJ</t>
  </si>
  <si>
    <t>Recovery ratio</t>
  </si>
  <si>
    <t>kg CO2/GJ BGA</t>
  </si>
  <si>
    <t>kton CO2/PJ BGA</t>
  </si>
  <si>
    <t>tons CO2/yr</t>
  </si>
  <si>
    <t>Methanation through chemical absorption process (SYS-I)</t>
  </si>
  <si>
    <t>MWh elec/yr</t>
  </si>
  <si>
    <t>GJ/year</t>
  </si>
  <si>
    <t>Operation hours</t>
  </si>
  <si>
    <t>GJ BGA /hr</t>
  </si>
  <si>
    <t>Nm3 BGA /hr</t>
  </si>
  <si>
    <t>Source: Aalborg Portland Cement plany energy</t>
  </si>
  <si>
    <t>Source: https://ens.dk/en/our-responsibilities/bioenergy/biogas-denmark</t>
  </si>
  <si>
    <t>PJ/year</t>
  </si>
  <si>
    <r>
      <t xml:space="preserve">Total from Biogas production </t>
    </r>
    <r>
      <rPr>
        <b/>
        <u/>
        <sz val="16"/>
        <color theme="1"/>
        <rFont val="Calibri"/>
        <family val="2"/>
        <scheme val="minor"/>
      </rPr>
      <t xml:space="preserve">for electricity and heat </t>
    </r>
    <r>
      <rPr>
        <sz val="16"/>
        <color theme="1"/>
        <rFont val="Calibri"/>
        <family val="2"/>
        <scheme val="minor"/>
      </rPr>
      <t xml:space="preserve">(2020) = </t>
    </r>
    <r>
      <rPr>
        <b/>
        <sz val="16"/>
        <color theme="1"/>
        <rFont val="Calibri"/>
        <family val="2"/>
        <scheme val="minor"/>
      </rPr>
      <t>6.5 PJ</t>
    </r>
  </si>
  <si>
    <r>
      <t xml:space="preserve">Total from Biogas production </t>
    </r>
    <r>
      <rPr>
        <b/>
        <u/>
        <sz val="16"/>
        <color theme="1"/>
        <rFont val="Calibri"/>
        <family val="2"/>
        <scheme val="minor"/>
      </rPr>
      <t xml:space="preserve">for upgrading to SNG </t>
    </r>
    <r>
      <rPr>
        <sz val="16"/>
        <color theme="1"/>
        <rFont val="Calibri"/>
        <family val="2"/>
        <scheme val="minor"/>
      </rPr>
      <t xml:space="preserve">(2020) = </t>
    </r>
    <r>
      <rPr>
        <b/>
        <sz val="16"/>
        <color theme="1"/>
        <rFont val="Calibri"/>
        <family val="2"/>
        <scheme val="minor"/>
      </rPr>
      <t>8  PJ</t>
    </r>
  </si>
  <si>
    <t>Sønderjysk Biogas (largest single upgrading plant in the world): 5000 Nm3/hr</t>
  </si>
  <si>
    <t>Rybjerg Biogas in Roslev</t>
  </si>
  <si>
    <t>Hemmet Bioenergy</t>
  </si>
  <si>
    <t>Grøngas Vrå, North Jutland: capacity of 3000 Nm3/hr</t>
  </si>
  <si>
    <t>X</t>
  </si>
  <si>
    <t>Puregas Solutions (4 plants in total)</t>
  </si>
  <si>
    <t>Kalundborg Plant: Capacity of 8 million Nm3/year</t>
  </si>
  <si>
    <t>Bigadan Plant</t>
  </si>
  <si>
    <r>
      <rPr>
        <b/>
        <sz val="16"/>
        <color theme="1"/>
        <rFont val="Calibri"/>
        <family val="2"/>
        <scheme val="minor"/>
      </rPr>
      <t>Source:</t>
    </r>
    <r>
      <rPr>
        <sz val="11"/>
        <color theme="1"/>
        <rFont val="Calibri"/>
        <family val="2"/>
        <scheme val="minor"/>
      </rPr>
      <t xml:space="preserve"> http://task37.ieabioenergy.com/country-reports.html?file=files/daten-redaktion/download/publications/country-reports/2017/Denmark_Task%2037%20Country%20Report_Sep_2017.pdf</t>
    </r>
  </si>
  <si>
    <t>Prodcution of 281 GWh/year in 2015  see reference in figure</t>
  </si>
  <si>
    <t>WWT treatment in DK</t>
  </si>
  <si>
    <t>Biogenic point sources --&gt;</t>
  </si>
  <si>
    <r>
      <t xml:space="preserve">Multiply all the inputs on WtE plant in DK times </t>
    </r>
    <r>
      <rPr>
        <b/>
        <sz val="11"/>
        <color theme="1"/>
        <rFont val="Calibri"/>
        <family val="2"/>
        <scheme val="minor"/>
      </rPr>
      <t>37 kgCO2 /GJ input</t>
    </r>
  </si>
  <si>
    <t>Waste-to-Energy in whole DK</t>
  </si>
  <si>
    <t>Look for ammonia in TIMES</t>
  </si>
  <si>
    <t>Ammonia Industry</t>
  </si>
  <si>
    <t>Aalborg Portland: ENVIRONMENTAL REPORT 2017: Environment and Health &amp; Safety</t>
  </si>
  <si>
    <t xml:space="preserve">Aalborg Portland </t>
  </si>
  <si>
    <t>Capacity unit</t>
  </si>
  <si>
    <t>Emissions
(kt CO2/year)</t>
  </si>
  <si>
    <t>Waste water
treatment (WWT)</t>
  </si>
  <si>
    <t>Coal-fired
power plant</t>
  </si>
  <si>
    <t>Biogas CHP power plants</t>
  </si>
  <si>
    <t>Waste-to-energy</t>
  </si>
  <si>
    <t>Biogas upgrading</t>
  </si>
  <si>
    <t>Iron &amp; Steel</t>
  </si>
  <si>
    <t>Cement Industry</t>
  </si>
  <si>
    <t>Company Name</t>
  </si>
  <si>
    <t>GJ/ 1000Nm3</t>
  </si>
  <si>
    <t>Natural gas grid
(LHV)</t>
  </si>
  <si>
    <t>Fraction of CH4 in BGA</t>
  </si>
  <si>
    <t>LHV CH4
(GJ/1000Nm3)</t>
  </si>
  <si>
    <t>Stationary/point CO2 sources in Denmark</t>
  </si>
  <si>
    <t>Efficiency inc. Heat</t>
  </si>
  <si>
    <t>Efficiency H2/products</t>
  </si>
  <si>
    <t>Hydrogen</t>
  </si>
  <si>
    <t>Naphtha</t>
  </si>
  <si>
    <t>Diesel</t>
  </si>
  <si>
    <t>JetFuel</t>
  </si>
  <si>
    <t>Share</t>
  </si>
  <si>
    <t>kWh</t>
  </si>
  <si>
    <r>
      <rPr>
        <b/>
        <sz val="22"/>
        <color theme="1"/>
        <rFont val="Calibri"/>
        <family val="2"/>
        <scheme val="minor"/>
      </rPr>
      <t>Source</t>
    </r>
    <r>
      <rPr>
        <sz val="11"/>
        <color theme="1"/>
        <rFont val="Calibri"/>
        <family val="2"/>
        <scheme val="minor"/>
      </rPr>
      <t>: Life cycle evaluation of hydrogen and other potential fuels for aircrafts</t>
    </r>
  </si>
  <si>
    <t>GJ/ton</t>
  </si>
  <si>
    <t>SNG</t>
  </si>
  <si>
    <t>FT diesel</t>
  </si>
  <si>
    <t>Liquified ammonia</t>
  </si>
  <si>
    <t>Liquified hydrogen</t>
  </si>
  <si>
    <r>
      <rPr>
        <b/>
        <sz val="11"/>
        <color theme="1"/>
        <rFont val="Calibri"/>
        <family val="2"/>
        <scheme val="minor"/>
      </rPr>
      <t>Source</t>
    </r>
    <r>
      <rPr>
        <sz val="11"/>
        <color theme="1"/>
        <rFont val="Calibri"/>
        <family val="2"/>
        <scheme val="minor"/>
      </rPr>
      <t>: Electrofuels in aviation. Energies 2018</t>
    </r>
  </si>
  <si>
    <t>31.7/28.9</t>
  </si>
  <si>
    <r>
      <t>DME (CH</t>
    </r>
    <r>
      <rPr>
        <vertAlign val="subscript"/>
        <sz val="11"/>
        <color theme="1"/>
        <rFont val="Calibri"/>
        <family val="2"/>
        <scheme val="minor"/>
      </rPr>
      <t>3</t>
    </r>
    <r>
      <rPr>
        <sz val="11"/>
        <color theme="1"/>
        <rFont val="Calibri"/>
        <family val="2"/>
        <scheme val="minor"/>
      </rPr>
      <t>-O-CH</t>
    </r>
    <r>
      <rPr>
        <vertAlign val="subscript"/>
        <sz val="11"/>
        <color theme="1"/>
        <rFont val="Calibri"/>
        <family val="2"/>
        <scheme val="minor"/>
      </rPr>
      <t>3</t>
    </r>
    <r>
      <rPr>
        <sz val="11"/>
        <color theme="1"/>
        <rFont val="Calibri"/>
        <family val="2"/>
        <scheme val="minor"/>
      </rPr>
      <t>)</t>
    </r>
  </si>
  <si>
    <r>
      <t xml:space="preserve">Source: </t>
    </r>
    <r>
      <rPr>
        <sz val="10"/>
        <color theme="1"/>
        <rFont val="Calibri"/>
        <family val="2"/>
        <scheme val="minor"/>
      </rPr>
      <t>figures around</t>
    </r>
  </si>
  <si>
    <t>19.9/20.1</t>
  </si>
  <si>
    <r>
      <t>Methanol (CH</t>
    </r>
    <r>
      <rPr>
        <vertAlign val="subscript"/>
        <sz val="11"/>
        <color theme="1"/>
        <rFont val="Calibri"/>
        <family val="2"/>
        <scheme val="minor"/>
      </rPr>
      <t>3</t>
    </r>
    <r>
      <rPr>
        <sz val="11"/>
        <color theme="1"/>
        <rFont val="Calibri"/>
        <family val="2"/>
        <scheme val="minor"/>
      </rPr>
      <t>OH)</t>
    </r>
  </si>
  <si>
    <t>Waste</t>
  </si>
  <si>
    <t>Energy crops (50% water content)</t>
  </si>
  <si>
    <t>Wood pellets (7% water content)</t>
  </si>
  <si>
    <t>Wood chips (soft wood, 45% water content)</t>
  </si>
  <si>
    <t>Straw (15% water content)</t>
  </si>
  <si>
    <t>Jet Petroleum 1</t>
  </si>
  <si>
    <r>
      <t>Bioethanol (C</t>
    </r>
    <r>
      <rPr>
        <vertAlign val="subscript"/>
        <sz val="11"/>
        <color theme="1"/>
        <rFont val="Calibri"/>
        <family val="2"/>
        <scheme val="minor"/>
      </rPr>
      <t>2</t>
    </r>
    <r>
      <rPr>
        <sz val="11"/>
        <color theme="1"/>
        <rFont val="Calibri"/>
        <family val="2"/>
        <scheme val="minor"/>
      </rPr>
      <t>H</t>
    </r>
    <r>
      <rPr>
        <vertAlign val="subscript"/>
        <sz val="11"/>
        <color theme="1"/>
        <rFont val="Calibri"/>
        <family val="2"/>
        <scheme val="minor"/>
      </rPr>
      <t>5</t>
    </r>
    <r>
      <rPr>
        <sz val="11"/>
        <color theme="1"/>
        <rFont val="Calibri"/>
        <family val="2"/>
        <scheme val="minor"/>
      </rPr>
      <t>OH)</t>
    </r>
  </si>
  <si>
    <r>
      <t>43.8/</t>
    </r>
    <r>
      <rPr>
        <sz val="11"/>
        <color theme="5"/>
        <rFont val="Calibri"/>
        <family val="2"/>
        <scheme val="minor"/>
      </rPr>
      <t>44.4</t>
    </r>
  </si>
  <si>
    <t>Gasoline</t>
  </si>
  <si>
    <t>Biodiesel</t>
  </si>
  <si>
    <r>
      <t>42.7/</t>
    </r>
    <r>
      <rPr>
        <sz val="11"/>
        <color theme="5"/>
        <rFont val="Calibri"/>
        <family val="2"/>
        <scheme val="minor"/>
      </rPr>
      <t>43.2</t>
    </r>
  </si>
  <si>
    <t>Fuel oil</t>
  </si>
  <si>
    <r>
      <rPr>
        <b/>
        <sz val="11"/>
        <color theme="1"/>
        <rFont val="Calibri"/>
        <family val="2"/>
        <scheme val="minor"/>
      </rPr>
      <t xml:space="preserve">Source: </t>
    </r>
    <r>
      <rPr>
        <sz val="11"/>
        <color theme="1"/>
        <rFont val="Calibri"/>
        <family val="2"/>
        <scheme val="minor"/>
      </rPr>
      <t>D.F. Dominković et. al. The future of transportation in sustainable energy systems: Opportunities</t>
    </r>
  </si>
  <si>
    <t>Coal (Elværkskul: used in power plants)</t>
  </si>
  <si>
    <t>Natural gas grid * (LHV)</t>
  </si>
  <si>
    <t>Crude oil (in tons)</t>
  </si>
  <si>
    <t>GJ/barrel</t>
  </si>
  <si>
    <t>Crude oil</t>
  </si>
  <si>
    <t>Samfundsøkonomiske beregningsforudsætninger for energipriser og emissioner, oktober 2018</t>
  </si>
  <si>
    <t>Source:</t>
  </si>
  <si>
    <t>Fuel</t>
  </si>
  <si>
    <t>Bolat, P., Thiel, C. (2014) Hydrogen supply chain architecture for bottom-up energy systems models. Part 2: Techno economic inputs for hydrogen production pathways. International Journal of Hydrogen Energy</t>
  </si>
  <si>
    <t>Sgobbi et al. (2016) How far away is hydrogen? Its role in the medium and long term decarbonizationof the European energy system. International Journal of Hydrogen Energy.</t>
  </si>
  <si>
    <t xml:space="preserve">Source: </t>
  </si>
  <si>
    <t>g/km</t>
  </si>
  <si>
    <t>Partikler</t>
  </si>
  <si>
    <t>Nox</t>
  </si>
  <si>
    <t>SO2</t>
  </si>
  <si>
    <t>N2O</t>
  </si>
  <si>
    <t>CH4</t>
  </si>
  <si>
    <t>CO2</t>
  </si>
  <si>
    <t>Emissioner</t>
  </si>
  <si>
    <t>Table 5-13 and Table 6-19 for 2020+ vehicle</t>
  </si>
  <si>
    <t>34, JEC - Joint Research Centre-EUCAR-CONCAWE collaboration, Tank to Wheels Report, version 4.0, July 2013</t>
  </si>
  <si>
    <t>MJ/km</t>
  </si>
  <si>
    <t>Energy consumption FCEV 2015</t>
  </si>
  <si>
    <t>Table 5-7 and 6-8</t>
  </si>
  <si>
    <t>DKK</t>
  </si>
  <si>
    <t>Batteri, kapacitet</t>
  </si>
  <si>
    <t>Same as BEV</t>
  </si>
  <si>
    <t>Batteri, pris</t>
  </si>
  <si>
    <t>Batteri</t>
  </si>
  <si>
    <t>Reformer, kapacitet</t>
  </si>
  <si>
    <t>Reformer, pris</t>
  </si>
  <si>
    <t>Reformer, omk.</t>
  </si>
  <si>
    <t>Brændselscelle,kapacitet</t>
  </si>
  <si>
    <t>Wtw tal er benyttet som 2020-tal, 2015 = fordobling, 2035 = halvering</t>
  </si>
  <si>
    <t>5, Concawe (2011): Well-to-wheels analysis of future automotive fuels and power-trains in the European Context. November 2011.</t>
  </si>
  <si>
    <t>Brændselscelle</t>
  </si>
  <si>
    <t>Brændselscelle, omk.</t>
  </si>
  <si>
    <t>i 2015 er WtW basis bilen medtaget til full cost, dvs. ej fratrukket komponenter til konventionel benzin drivlinie. Der er regnet med en halvering af omk til tank i 2035</t>
  </si>
  <si>
    <t>WtW bil uden FC</t>
  </si>
  <si>
    <t>Total bil</t>
  </si>
  <si>
    <t>Same as for MeOH</t>
  </si>
  <si>
    <t>%</t>
  </si>
  <si>
    <t>Forbedringer i virkningsgrad</t>
  </si>
  <si>
    <t>DKK/km</t>
  </si>
  <si>
    <t>Faste og variable d&amp;v Benzinbil</t>
  </si>
  <si>
    <t>Appendix B, calculated as percentage of gasoline car</t>
  </si>
  <si>
    <t>EPI</t>
  </si>
  <si>
    <t>% af benzin</t>
  </si>
  <si>
    <t>Faste og variable d&amp;v</t>
  </si>
  <si>
    <t>DKK/GJ mek</t>
  </si>
  <si>
    <t>18000 km/år*middel energiforbr an hjul</t>
  </si>
  <si>
    <t>GJ mek/år</t>
  </si>
  <si>
    <t>Ydelse per år</t>
  </si>
  <si>
    <t>km/år</t>
  </si>
  <si>
    <t>Kørsel pr år</t>
  </si>
  <si>
    <t>Table 6-20</t>
  </si>
  <si>
    <t>Improvement i vehicle performance not related to drivetrain</t>
  </si>
  <si>
    <t>kg</t>
  </si>
  <si>
    <t>Curb weight, reference PISI</t>
  </si>
  <si>
    <t>Tables 5-2 and 6-2, no REEV FC in 2015, so curb weight in 2015 is FCEV</t>
  </si>
  <si>
    <t>Curb weight, FCEV</t>
  </si>
  <si>
    <t>MJ mech/km</t>
  </si>
  <si>
    <t>Mean energy cons at wheel, reference PISI</t>
  </si>
  <si>
    <t>Middel energiforbrug an hjul</t>
  </si>
  <si>
    <t>Enhed</t>
  </si>
  <si>
    <t>Evt. ekstra fakta eller mellem-regninger</t>
  </si>
  <si>
    <t>kg/GJ drivmiddel</t>
  </si>
  <si>
    <t>CO2 emissioner beregnes i køretøjsark</t>
  </si>
  <si>
    <t>Sekundært drivmiddel</t>
  </si>
  <si>
    <t>Primært drivmiddel</t>
  </si>
  <si>
    <t>Miljø data</t>
  </si>
  <si>
    <t>heraf drift, øvrige variable</t>
  </si>
  <si>
    <t>heraf drift, faste</t>
  </si>
  <si>
    <t>heraf investeringer</t>
  </si>
  <si>
    <t>Samlede omk (ex brændstof)</t>
  </si>
  <si>
    <t>Investering, anlæg</t>
  </si>
  <si>
    <t>Økonomi data</t>
  </si>
  <si>
    <t>6, Nyt fra Danmarks Statistik, Motorparken 2010.</t>
  </si>
  <si>
    <t>År</t>
  </si>
  <si>
    <t>Levetid</t>
  </si>
  <si>
    <t>Table 6-19 for 2020+ vehicle</t>
  </si>
  <si>
    <t>MJd/km</t>
  </si>
  <si>
    <t>Middel energiforbrug an køretøj, sekundær</t>
  </si>
  <si>
    <t>Middel energiforbrug an køretøj, primær</t>
  </si>
  <si>
    <t>from BEV</t>
  </si>
  <si>
    <t>GJ mek/GJ drivmiddel</t>
  </si>
  <si>
    <t>Virkningsgrad sekundær</t>
  </si>
  <si>
    <t>Expected to be 20% higher than for MeOH due to reformer loss</t>
  </si>
  <si>
    <t>Virkningsgrad primær</t>
  </si>
  <si>
    <t>Energi/tekniske data</t>
  </si>
  <si>
    <t>Prisår</t>
  </si>
  <si>
    <t>Fakta-ark</t>
  </si>
  <si>
    <t>Eksempler på Best Available Technology:</t>
  </si>
  <si>
    <t>Der mangler væsentlig udvikling for at gøre brændselsceller kommercielt tilgængelige</t>
  </si>
  <si>
    <t>Brændselsceller har en høj energieffektivitet sammenlignet med andre og ingen emission direkte fra køretøjet hvis der anvendes brint som brændstof.</t>
  </si>
  <si>
    <t>Fordele og ulemper (herunder miljø)</t>
  </si>
  <si>
    <t>Teknologien er ikke kommercielt færdigudviklet, hverken mht. brændselsceller eller lagringssystemer for brint i bilen, men findes dog tilgængelig på markedet.</t>
  </si>
  <si>
    <t>til electricitet ved hjælp af en elektro-kemisk proces. Den producerede el anvendes i elmotorer til fremdrivning af bilen.</t>
  </si>
  <si>
    <t>Eldrevet bil, hvor elproduktionen sker om bord i bilen ved hjælp af brændselsceller. Brændselscellerne omformer ren brint eller brintholdige brændstoffer</t>
  </si>
  <si>
    <t>Kort teknologi-beskrivelse:</t>
  </si>
  <si>
    <t>Beskrivelse</t>
  </si>
  <si>
    <t>Brændselscelle, brinthybrid elmotor</t>
  </si>
  <si>
    <t>AD model</t>
  </si>
  <si>
    <t>Technology specific data</t>
  </si>
  <si>
    <t>Startup (€ /l Methanol)</t>
  </si>
  <si>
    <t>Variable O&amp;M (€ /GJ Methanol)</t>
  </si>
  <si>
    <t>Variable O&amp;M (€ /l Methanol)</t>
  </si>
  <si>
    <t>Fixed O&amp;M (M€ /MW Methanol)</t>
  </si>
  <si>
    <t>Fixed O&amp;M (€ /l Methanol)</t>
  </si>
  <si>
    <t>-installation (%)</t>
  </si>
  <si>
    <t>1, 3, 5,
6</t>
  </si>
  <si>
    <t>Specific investment (M€ / MW Methanol)</t>
  </si>
  <si>
    <t>Specific investment (€ /l Methanol)</t>
  </si>
  <si>
    <t>Financial data</t>
  </si>
  <si>
    <t>DKK/Euro</t>
  </si>
  <si>
    <t>2 - 3</t>
  </si>
  <si>
    <t>Co-products  Output, MWh/MWh Total output</t>
  </si>
  <si>
    <t>Methanol Output, MWh/MWh Total</t>
  </si>
  <si>
    <t>MJ/l</t>
  </si>
  <si>
    <t>Electricity Consumption, MWh/MWh Methanol</t>
  </si>
  <si>
    <t>Energy density of methanoel</t>
  </si>
  <si>
    <t>Feedstock Consumption, MWh/MWh Methanol</t>
  </si>
  <si>
    <t>3, 5, 6</t>
  </si>
  <si>
    <t>Mio. L per year</t>
  </si>
  <si>
    <t>From paper the amount of L / year is estimated</t>
  </si>
  <si>
    <t>Bio Methanol</t>
  </si>
  <si>
    <t>”Miljøeffekter af metanlækage på biogasanlæg”, Agrotek, 2015</t>
  </si>
  <si>
    <t>"Biomasse til biogasanlæg i Danmark - på kort og langt sigt", Agrotech, November 2013</t>
  </si>
  <si>
    <t>”Anvendelse af biogas til el- og varmeproduktion, analyser for Biogas Taskforce”, Ea Energianalyse, 2014</t>
  </si>
  <si>
    <t>"Udvikling og effektivisering af biogasproduktionen I Danmark – Delrapport 1 og 2”, Danish Energy Agency Biogas Taskforce 2015.</t>
  </si>
  <si>
    <t>References:</t>
  </si>
  <si>
    <t>The cost of auxiliary electricity consumption is calculated using the following electricity prices in €/MWh: 2015: 63, 2020: 69, 2030: 101, 2050: 117. These prices include production costs and transport tariffs, but not any taxes or subsidies for renewable energy.</t>
  </si>
  <si>
    <t>K</t>
  </si>
  <si>
    <t>Corresponding to 2% of the produced biogas, wit lower value 0.8% and upper value 4.2%. This will vary and can be reduced.</t>
  </si>
  <si>
    <t>J</t>
  </si>
  <si>
    <t>Learning curve effects have been assumed 2015-2020: 5% reductions, 2020-2030: 5% reductions, 2030-2050: 5% reductions</t>
  </si>
  <si>
    <t>I</t>
  </si>
  <si>
    <t>Learning curve effects have been assumed 2015-2020: 10% reductions, 2020-2030: 10% reductions, 2030-2050: 10% reductions</t>
  </si>
  <si>
    <t>A calorific value of methane of 35.9 MJ/Nm3 is used. The input material composition and the output is assumed constant after 2020.</t>
  </si>
  <si>
    <t>For compatibility with the template the energy of the biogas output is assumed to be 100%. (For most of the input material a calorific value is not relevant)</t>
  </si>
  <si>
    <t>Other</t>
  </si>
  <si>
    <t>Energy crops</t>
  </si>
  <si>
    <t>Household waste</t>
  </si>
  <si>
    <t>Industrial organic waste</t>
  </si>
  <si>
    <t>Deep bed material</t>
  </si>
  <si>
    <t>Manure (pig and cattle)</t>
  </si>
  <si>
    <t>Price per ton (€), incl transport</t>
  </si>
  <si>
    <t>Share, 2020</t>
  </si>
  <si>
    <t>Share, 2015</t>
  </si>
  <si>
    <t>Biomass</t>
  </si>
  <si>
    <t>All O&amp;M considered fixed, assuming 8760 hours operation per year. Does not include costs for biomass purchase and transport. Data for biomass included in biogas plant, basic configuration, 2015, is inluded below. Source: Reference [5].</t>
  </si>
  <si>
    <t>The investment includes a straw fired boiler for process heat.</t>
  </si>
  <si>
    <t>Values are assumed valid for a range 200,000 - 400,000 tons per year</t>
  </si>
  <si>
    <t>B</t>
  </si>
  <si>
    <t>The production, investment- and operation costs are based on a plant with a yearly input of 365,000 tons and a mix of available feedstock sources as described in [9] and [8], but excluding straw, energy crops, garden waste and aquatic biomass. The available feedstock composition for 2015 is obtained by interpolation of 2012 and 2020 potentials. The feedstock composition after 2020 is assumed constant.
The output of a specific plant will vary depending on the actual feedstock composition.</t>
  </si>
  <si>
    <t>A</t>
  </si>
  <si>
    <t>Notes:</t>
  </si>
  <si>
    <t>12</t>
  </si>
  <si>
    <t>Methane emission (Nm3 CH4/ton input/year)</t>
  </si>
  <si>
    <t>Technology Specific data</t>
  </si>
  <si>
    <t>- of which heat (€/(ton input/year))</t>
  </si>
  <si>
    <t>- of which electricity (€/(ton input/year))</t>
  </si>
  <si>
    <t>8/5</t>
  </si>
  <si>
    <t>A D I</t>
  </si>
  <si>
    <t>- of which O&amp;M, excl el. and heat (€/(ton input/year))</t>
  </si>
  <si>
    <t xml:space="preserve">  Total O&amp;M (€/(ton input/year))</t>
  </si>
  <si>
    <t>Total O&amp;M (€/MW/year)</t>
  </si>
  <si>
    <t>-</t>
  </si>
  <si>
    <t xml:space="preserve"> - of which installation</t>
  </si>
  <si>
    <t xml:space="preserve"> - of which equipment</t>
  </si>
  <si>
    <t xml:space="preserve"> 8/5</t>
  </si>
  <si>
    <t>A H C</t>
  </si>
  <si>
    <t>Specific investment (mio €/MW output)</t>
  </si>
  <si>
    <t>Planned outage (days per year)</t>
  </si>
  <si>
    <t xml:space="preserve">LHV, wet (MJ/kg) </t>
  </si>
  <si>
    <t>Biogas production, (MJ/S heating value)</t>
  </si>
  <si>
    <t xml:space="preserve">LHV, dry (MJ/kg) </t>
  </si>
  <si>
    <t>9</t>
  </si>
  <si>
    <t>Biogas (GJ/ton input)</t>
  </si>
  <si>
    <t>https://www.ecn.nl/phyllis2/Browse/Standard/ECN-Phyllis</t>
  </si>
  <si>
    <t>Based entirely on Pig Manure</t>
  </si>
  <si>
    <t>Biogas (%)</t>
  </si>
  <si>
    <t>- Outputs</t>
  </si>
  <si>
    <t>Source: Hamelin et al., 2014</t>
  </si>
  <si>
    <t>Water content</t>
  </si>
  <si>
    <t>Aux. process heat (kWh/ton input))</t>
  </si>
  <si>
    <t>kg/t</t>
  </si>
  <si>
    <t>NH4-N</t>
  </si>
  <si>
    <t>5/8/9</t>
  </si>
  <si>
    <t>Aux. process heat (% of output energy)</t>
  </si>
  <si>
    <t>g/t</t>
  </si>
  <si>
    <t>Zn</t>
  </si>
  <si>
    <t>Aux. electricity (kWh/ton input)</t>
  </si>
  <si>
    <t>Cu</t>
  </si>
  <si>
    <t>Aux. electricity (% of output energy)</t>
  </si>
  <si>
    <t>A B</t>
  </si>
  <si>
    <t>Biomass (tons/year)</t>
  </si>
  <si>
    <t>VS</t>
  </si>
  <si>
    <t>- Inputs</t>
  </si>
  <si>
    <t>DM</t>
  </si>
  <si>
    <t>Typical total plant size (MW output)</t>
  </si>
  <si>
    <t>P</t>
  </si>
  <si>
    <t>Typical capacity (tons/year input)</t>
  </si>
  <si>
    <t>N</t>
  </si>
  <si>
    <t>t/pig</t>
  </si>
  <si>
    <t>Mass</t>
  </si>
  <si>
    <t>Value</t>
  </si>
  <si>
    <t>Unit</t>
  </si>
  <si>
    <t>Biogas plant, basic configuration</t>
  </si>
  <si>
    <t>Pig slurry composition (ex-housing)</t>
  </si>
  <si>
    <t xml:space="preserve">Technology </t>
  </si>
  <si>
    <t>Learning curve effects have not been considered. Will depend on actrual deployment of technology.</t>
  </si>
  <si>
    <t>The value will vary with the quality of the input. Assumed average value used corresponding to 320 Nm3 CH4 / ton VS, TS 42%, vs/ts 90%. [8].</t>
  </si>
  <si>
    <t xml:space="preserve">All O&amp;M considered fixed, assuming 8760 hours operation per year. Does not include fuel for process heat, electricity, biomass purchase and transport, see e.g. [5] and [8]. </t>
  </si>
  <si>
    <t>Investment in straw preparation equipment (57 Eur/ton/year) and proportional share of basic plant included. Biogas processing time is 25 days</t>
  </si>
  <si>
    <t>The energy content of residual organic material has not been evaluated due to lack of sources.</t>
  </si>
  <si>
    <t>For compatibility with the template the energy of the biogas output is assumed to be 100%. (For the input material a calorific value is not relevant)</t>
  </si>
  <si>
    <t>Values are assumed valid for adding a smaller part of straw to a total plant. Maximum share not assessed.</t>
  </si>
  <si>
    <t>The data sheet shows the expected energy output and values for the input of industrial organic waste specifically. The values refer to a virtual part of a total plant processing the straw. A plant including increased share of straw may be composed by adding a basic plant part and straw processing part.</t>
  </si>
  <si>
    <t>Methane emission (Nm3 CH4 input/year)</t>
  </si>
  <si>
    <t>AFG</t>
  </si>
  <si>
    <t>Total O&amp;M (€/ton straw input/year)</t>
  </si>
  <si>
    <t>AEG</t>
  </si>
  <si>
    <t>Investment (€/ton straw input/year)</t>
  </si>
  <si>
    <t>Investment (€/MW)</t>
  </si>
  <si>
    <t>Additional process heat (% of additional output)</t>
  </si>
  <si>
    <t>Residual organic material</t>
  </si>
  <si>
    <t>Auxilliary electricity input (% of additional output)</t>
  </si>
  <si>
    <t>A C</t>
  </si>
  <si>
    <t>Biogas (GJ/ton straw input)</t>
  </si>
  <si>
    <t>Total O&amp;M (M€/MW/year)</t>
  </si>
  <si>
    <t>Investment (M€/MW)</t>
  </si>
  <si>
    <t>Capacity (MW)</t>
  </si>
  <si>
    <t>Auxilliary process heat (kWh/ton straw input)</t>
  </si>
  <si>
    <t>New plant</t>
  </si>
  <si>
    <t>original part</t>
  </si>
  <si>
    <t>Straw part</t>
  </si>
  <si>
    <t>Revised costs of plant</t>
  </si>
  <si>
    <t>Auxilliary electricity input (kWh/ton straw)</t>
  </si>
  <si>
    <t>Straw input (tons per year)</t>
  </si>
  <si>
    <t>Straw input (% of additional output)</t>
  </si>
  <si>
    <t>LHV (MJ/kg) dry</t>
  </si>
  <si>
    <t>Biogas from additional straw (MW output)</t>
  </si>
  <si>
    <t>Based on Danish Wheat straw</t>
  </si>
  <si>
    <t>Biogas plant, additional straw input in the feedstock mix</t>
  </si>
  <si>
    <t>Fatty biomasses may be converted with high efficiences (&gt;70 %) whereas for example the conversion of protein rich biomasses is closer to 50 %.</t>
  </si>
  <si>
    <t xml:space="preserve">The conversion efficiency  depends on the specific types of industrial waste used at the biogas plants. </t>
  </si>
  <si>
    <t>L</t>
  </si>
  <si>
    <t>Calculated with a constant production 8760 hours per year</t>
  </si>
  <si>
    <t>All O&amp;M considered fixed, assuming 8760 hours operation per year. Does not include fuel for process heat, electricity, biomass purchase and transport, see e.g. [5] and [8]. O&amp;M costs for straw processing equipment, 10 Eur/ton/year, and proportional share of basic plant included.</t>
  </si>
  <si>
    <t>The data sheet shows the expected energy output and values for the input of industrial organic waste specifically. The values refer to a virtual part of a total plant processing the industrial organic waste. A plant including including increased share of industrial organic waste may be composed by adding a basic plant part and an ind. org. waste processing part.</t>
  </si>
  <si>
    <t>AFH</t>
  </si>
  <si>
    <t>Total O&amp;M (€/ton waste input/year)</t>
  </si>
  <si>
    <t>AEH</t>
  </si>
  <si>
    <t>Investment (€/ton waste input / year)</t>
  </si>
  <si>
    <t>Investment (€/MW output)</t>
  </si>
  <si>
    <t>5/9</t>
  </si>
  <si>
    <t>ACG</t>
  </si>
  <si>
    <t>Biogas (GJ/ton ind. org. waste  input)</t>
  </si>
  <si>
    <t>Biogas (% of total input)</t>
  </si>
  <si>
    <t>Aux. process heat (kWh/ton waste input))</t>
  </si>
  <si>
    <t>5</t>
  </si>
  <si>
    <t>Aux. process heat (% of additional output)</t>
  </si>
  <si>
    <t>Aux. electricity (kWh/ton waste input)</t>
  </si>
  <si>
    <t>Aux. electricity (% of additional output)</t>
  </si>
  <si>
    <t>Ind. organic waste input (tons per year)</t>
  </si>
  <si>
    <t>125-200%</t>
  </si>
  <si>
    <t>Ind. organic waste input (% of additional output)</t>
  </si>
  <si>
    <t>Biogas from additional ind. organic waste (MW output)</t>
  </si>
  <si>
    <t>Based on average of waste materials</t>
  </si>
  <si>
    <t>Biogas plant, additional industrial organic waste in the feedstock mix</t>
  </si>
  <si>
    <t>”Introduktion til produktion af biometan fra biogas”, Biometan Regioner, 2013.</t>
  </si>
  <si>
    <t>”Anvendelse af biogas til el- og varmeproduktion”, Ea Energianalyse, 2014.</t>
  </si>
  <si>
    <t xml:space="preserve">“Biogas upgrading technologies – developments and innovations. Task 37 – Energy from biogas and landfill gas”, Petersson &amp; Wellinger, IEA Bioenergy, 2009. </t>
  </si>
  <si>
    <t xml:space="preserve">“Biogas upgrading – Review of commercial technologies”, SGC Rapport 2013:270, SGC, 2013. </t>
  </si>
  <si>
    <t>“Biogas upgrading – Technical review, Energiforsk report 2016:275, Energiforsk AB, 2016.</t>
  </si>
  <si>
    <t>This can lead to a 50% reduction of the electricity consumption, which is already achievable today with the amine scrubbing technology.</t>
  </si>
  <si>
    <t>Assuming that, by 2030, one or more of the newer and currently less developled technologies (e.g. cryogenic and membrane technologies) will take over.</t>
  </si>
  <si>
    <t>Assuming that, by 2030, methane slip can be reduced to levels seen today for amin scrubbing technology. Methane slip is assumed to be the same as waste gas assuming that the plant is not equipped with a regenerative thermal oxidation (RTO) plant. If the  the off-gas from the upgrading plant is treated with a regenerative thermal oxidation (RTO) plant the methane slip can be eliminated.</t>
  </si>
  <si>
    <t xml:space="preserve">I </t>
  </si>
  <si>
    <t>O&amp;M costs are estimated to 2.5% of investment per year, in accodance with [2]</t>
  </si>
  <si>
    <t>CO2 removal, %</t>
  </si>
  <si>
    <t>Minimum load (% of full load)</t>
  </si>
  <si>
    <t>Methane slip / emission (%)</t>
  </si>
  <si>
    <t>2/4/7</t>
  </si>
  <si>
    <t>- of which electricity (€/GJ input)</t>
  </si>
  <si>
    <t>Variable O&amp;M ((€/GJ input)</t>
  </si>
  <si>
    <t>- of which fixed O&amp;M costs grid injection, excl. el.  (€/MJ/s input / year)</t>
  </si>
  <si>
    <t>- of which fixed O&amp;M costs upgrading and methane reduction, excl. el.  (€/MJ/s input / year)</t>
  </si>
  <si>
    <t>Fixed O&amp;M  (€/MJ/s input / year)</t>
  </si>
  <si>
    <t>Specific investment, grid injection at 40bar  (€/MJ/s input)</t>
  </si>
  <si>
    <t>1/2/5/7</t>
  </si>
  <si>
    <t>C D</t>
  </si>
  <si>
    <t>Specific investment, upgrading and methane reduction (€/MJ/s input)</t>
  </si>
  <si>
    <t>Forced outage (weeks per year)</t>
  </si>
  <si>
    <t>Waste heat (% of biogas input)</t>
  </si>
  <si>
    <t>Waste gas (% of biogas input)</t>
  </si>
  <si>
    <t>Biomethane (% of biogas input)</t>
  </si>
  <si>
    <t>2/4</t>
  </si>
  <si>
    <t>Heat (% of biogas input)</t>
  </si>
  <si>
    <t>A F</t>
  </si>
  <si>
    <t>Auxilliary electricity for compression (% of biogas input)</t>
  </si>
  <si>
    <t>1/2/4/7</t>
  </si>
  <si>
    <t>A D J</t>
  </si>
  <si>
    <t>Auxilliary electricity for upgrading (% of biogas input)</t>
  </si>
  <si>
    <t>Biogas (% of biogas input)</t>
  </si>
  <si>
    <t>Capacity (Nm3 biomethane/h)</t>
  </si>
  <si>
    <t>1/4</t>
  </si>
  <si>
    <t>Typical total size (Nm3 biogas/h)</t>
  </si>
  <si>
    <t>A G</t>
  </si>
  <si>
    <t>Typical total size (MJ output/s)</t>
  </si>
  <si>
    <t>Efficiencies are expected to improve gradually from presently demonstrated levels, to cold gas efficiencies of 85% in 2050. It is assumed that a total efficiency of 90% can be obtained in 2050.</t>
  </si>
  <si>
    <t>The values in [9] have been used. Variable O&amp;M for a Staged down draft gasifier (sh. 85) have been subtracted O&amp;M of a  gas engine (sh. 06).</t>
  </si>
  <si>
    <t>The values in [9] have been used (sh. 85) but adjusted to keep overall yearly O&amp;M costs at 3% of investment</t>
  </si>
  <si>
    <t>Fixed bed gasifiers are usually integrated with an internal combustion gas engine gen-set. Sources are for total project including gas engine and the engine part has been deducted at 1.33 M€/Mwe and 42% efficiency.
It is assumed that the accumulated production capacity will increase by 40 % between 2015 and 2020, double between 2020 and 2030 and between 2030 and 2050. A learning curve progress rate of 90 % is assumed this yields a 5 % decrease in investment costs between 2015 and 2020, 10 % reduction between 2020 and 2030 and between 2030 and 2050. Similar progress ratios have been used for O&amp;M costs.</t>
  </si>
  <si>
    <r>
      <t>Producer gas primarily consists of the components N</t>
    </r>
    <r>
      <rPr>
        <vertAlign val="subscript"/>
        <sz val="9"/>
        <rFont val="Arial"/>
        <family val="2"/>
      </rPr>
      <t>2</t>
    </r>
    <r>
      <rPr>
        <sz val="9"/>
        <rFont val="Arial"/>
        <family val="2"/>
      </rPr>
      <t>, H</t>
    </r>
    <r>
      <rPr>
        <vertAlign val="subscript"/>
        <sz val="9"/>
        <rFont val="Arial"/>
        <family val="2"/>
      </rPr>
      <t>2</t>
    </r>
    <r>
      <rPr>
        <sz val="9"/>
        <rFont val="Arial"/>
        <family val="2"/>
      </rPr>
      <t>, CO, CO</t>
    </r>
    <r>
      <rPr>
        <vertAlign val="subscript"/>
        <sz val="9"/>
        <rFont val="Arial"/>
        <family val="2"/>
      </rPr>
      <t>2</t>
    </r>
    <r>
      <rPr>
        <sz val="9"/>
        <rFont val="Arial"/>
        <family val="2"/>
      </rPr>
      <t>, CH</t>
    </r>
    <r>
      <rPr>
        <vertAlign val="subscript"/>
        <sz val="9"/>
        <rFont val="Arial"/>
        <family val="2"/>
      </rPr>
      <t>4</t>
    </r>
    <r>
      <rPr>
        <sz val="9"/>
        <rFont val="Arial"/>
        <family val="2"/>
      </rPr>
      <t>, and water. Calorific value 5 - 6 MJ/Nm</t>
    </r>
    <r>
      <rPr>
        <vertAlign val="superscript"/>
        <sz val="9"/>
        <rFont val="Arial"/>
        <family val="2"/>
      </rPr>
      <t>3</t>
    </r>
    <r>
      <rPr>
        <sz val="9"/>
        <rFont val="Arial"/>
        <family val="2"/>
      </rPr>
      <t>. For some references ([3], [4]) the electric efficincy has been used to calculate gasifier efficiencies, assuming an engine efficiency of 42%.</t>
    </r>
  </si>
  <si>
    <t>With flue gas condensation, considering lower heating value of biomass fuel.</t>
  </si>
  <si>
    <t>The stated capacity is the upper range, down scaling is possible.</t>
  </si>
  <si>
    <t>1,3,4,5</t>
  </si>
  <si>
    <r>
      <t>Variable O&amp;M (€/MWh</t>
    </r>
    <r>
      <rPr>
        <vertAlign val="subscript"/>
        <sz val="9"/>
        <rFont val="Arial"/>
        <family val="2"/>
      </rPr>
      <t>th</t>
    </r>
    <r>
      <rPr>
        <sz val="9"/>
        <rFont val="Arial"/>
        <family val="2"/>
      </rPr>
      <t>)</t>
    </r>
  </si>
  <si>
    <r>
      <t>Fixed O&amp;M (€/MW</t>
    </r>
    <r>
      <rPr>
        <vertAlign val="subscript"/>
        <sz val="9"/>
        <rFont val="Arial"/>
        <family val="2"/>
      </rPr>
      <t>th</t>
    </r>
    <r>
      <rPr>
        <sz val="9"/>
        <rFont val="Arial"/>
        <family val="2"/>
      </rPr>
      <t>/year)</t>
    </r>
  </si>
  <si>
    <t>DKK/GJ/year</t>
  </si>
  <si>
    <t>DKK/MW/year</t>
  </si>
  <si>
    <r>
      <t>Specific investment (M€/MW</t>
    </r>
    <r>
      <rPr>
        <vertAlign val="subscript"/>
        <sz val="9"/>
        <rFont val="Arial"/>
        <family val="2"/>
      </rPr>
      <t>th</t>
    </r>
    <r>
      <rPr>
        <sz val="9"/>
        <rFont val="Arial"/>
        <family val="2"/>
      </rPr>
      <t>)</t>
    </r>
  </si>
  <si>
    <t>1,2,8</t>
  </si>
  <si>
    <t>1.5</t>
  </si>
  <si>
    <t>Unplanned outage (%)</t>
  </si>
  <si>
    <t>3,4,5,8,11</t>
  </si>
  <si>
    <t>Heat (% of input)</t>
  </si>
  <si>
    <t>Producer gas (% of fuel input)</t>
  </si>
  <si>
    <t>- Output</t>
  </si>
  <si>
    <t>Electricity (% of input capacity)</t>
  </si>
  <si>
    <t>Biomass (% of input capacity)</t>
  </si>
  <si>
    <t>- Input</t>
  </si>
  <si>
    <r>
      <t>Typical fuel input capacity, one unit (MW</t>
    </r>
    <r>
      <rPr>
        <vertAlign val="subscript"/>
        <sz val="9"/>
        <rFont val="Arial"/>
        <family val="2"/>
      </rPr>
      <t>th</t>
    </r>
    <r>
      <rPr>
        <sz val="9"/>
        <rFont val="Arial"/>
        <family val="2"/>
      </rPr>
      <t>)</t>
    </r>
  </si>
  <si>
    <t>Ref.</t>
  </si>
  <si>
    <t>Gasifier, biomass, producer gas, small - medium scale</t>
  </si>
  <si>
    <t>Heat at normal district heating temprature set 80/50 deg. Additional low temperature heat for heat pumps is possible. For uncertainty values, a higher heat output can be expected at low gas output and vice versa.</t>
  </si>
  <si>
    <t>Efficiencies are expected to improve gradually from presently demonstrated level, to values corresponding to various studies for large plants in 2030, and gradual increase to 2050. It is assumed that a total efficiency of 90% can be obtained.</t>
  </si>
  <si>
    <t>Assumed that the total O&amp;M costs splits in 1/3 variable, 2/3 fixed costs, 8000 h/year</t>
  </si>
  <si>
    <t>For 2015, values reflect the 20 MWgas Swedish GoBiGas Phase 1 demonstration project. A proportionality factor of 0.7 is assumed to apply when going from 2015 to 2020 based on the anticipated upscaling from 20 MWgas to 100 MWgas [21]. For 2030, the figure is an average of a value from theoretical studies [17] multiplied by 1.4 and a value from feasibility studies [19] multiplied by 1.15. From 2030 to 2050 simply a reduction of 10% has been assumed to reflect a learning curve.</t>
  </si>
  <si>
    <t>2015 data for NOX and N2O origin from [23]. Other values are assumed to be in the same magnitude as a biomass fired PF power plant (pellets)</t>
  </si>
  <si>
    <t>Assumed to be in the same magnitude as a coal fired power plant</t>
  </si>
  <si>
    <t>Generally the plants' electricity generation is assumed to balance the consumption</t>
  </si>
  <si>
    <t>With flue gas condensation</t>
  </si>
  <si>
    <t>23, 29</t>
  </si>
  <si>
    <r>
      <t>N</t>
    </r>
    <r>
      <rPr>
        <vertAlign val="subscript"/>
        <sz val="9"/>
        <rFont val="Arial"/>
        <family val="2"/>
      </rPr>
      <t>2</t>
    </r>
    <r>
      <rPr>
        <sz val="9"/>
        <rFont val="Arial"/>
        <family val="2"/>
      </rPr>
      <t>O (g per GJ fuel)</t>
    </r>
  </si>
  <si>
    <r>
      <t>CH</t>
    </r>
    <r>
      <rPr>
        <vertAlign val="subscript"/>
        <sz val="9"/>
        <rFont val="Arial"/>
        <family val="2"/>
      </rPr>
      <t>4</t>
    </r>
    <r>
      <rPr>
        <sz val="9"/>
        <rFont val="Arial"/>
        <family val="2"/>
      </rPr>
      <t xml:space="preserve"> (g per GJ fuel)</t>
    </r>
  </si>
  <si>
    <r>
      <t>NO</t>
    </r>
    <r>
      <rPr>
        <vertAlign val="subscript"/>
        <sz val="9"/>
        <rFont val="Arial"/>
        <family val="2"/>
      </rPr>
      <t>X</t>
    </r>
    <r>
      <rPr>
        <sz val="9"/>
        <rFont val="Arial"/>
        <family val="2"/>
      </rPr>
      <t xml:space="preserve"> (g per GJ fuel) </t>
    </r>
  </si>
  <si>
    <t>Environment</t>
  </si>
  <si>
    <t>Cold start-up time (hours)</t>
  </si>
  <si>
    <t>Warm start-up time (hours)</t>
  </si>
  <si>
    <t>12/21;12/21+13/17/19</t>
  </si>
  <si>
    <t>Fixed O&amp;M (€/MWth/year)</t>
  </si>
  <si>
    <t>12+21;12+19+13;15/17</t>
  </si>
  <si>
    <t>21;19;13/17/19;</t>
  </si>
  <si>
    <t>Bio SNG (% of fuel input)</t>
  </si>
  <si>
    <t>12;13</t>
  </si>
  <si>
    <t>Gasifier, biomass, bio-SNG, medium - large scale</t>
  </si>
  <si>
    <t xml:space="preserve"> CFB (Circulating fluid bed) gasifiers , biomass, bio-SNG, medium - large scale</t>
  </si>
  <si>
    <t>An asterisk in the reference indicate high uncertainty or "guesstimate", where more certain data where not available</t>
  </si>
  <si>
    <t>Lasse Røngaard Clausen and Peter Vang Hendriksen, DTU, Personal communication.</t>
  </si>
  <si>
    <t>[18]</t>
  </si>
  <si>
    <t>"Development of Water Electrolysis in the European Union", 2014, E4tech with Element Energy Ltd. for the Fuel Cells and Hydrogen Joint Undertaking</t>
  </si>
  <si>
    <t>[17]</t>
  </si>
  <si>
    <t>"Technology Roadmap - Hydrogen and Fuel Cells", 2015, International Energy Agency*</t>
  </si>
  <si>
    <t>[14]</t>
  </si>
  <si>
    <t>Mýrdal J.S.G., Hendriksen P.V., Graves C., Jensen S.H. and Nielsen E.R., DTU Energy, Technical University of Denmark, October 2016. “Predicting the price of solid oxide electrolysers (SOECs)“</t>
  </si>
  <si>
    <t>[13]</t>
  </si>
  <si>
    <t>S. L. Ebbehøj, Integration of CO2 air capture and solid oxide electrolysis for methane production,  2015, DTU Energy, Technical University of Denmark.</t>
  </si>
  <si>
    <t>[10]</t>
  </si>
  <si>
    <t>"Capital cost scaling methodology - quality guidelines for energy systems studies" (National Energy Technology Laboratory, US, 2013)</t>
  </si>
  <si>
    <t>[9]</t>
  </si>
  <si>
    <t>Claus Friis Pedersen, Haldor Topsøe A/S, Personal communication.</t>
  </si>
  <si>
    <t>[8]</t>
  </si>
  <si>
    <t>TECHNOLOGY DATA FOR HIGH TEMPERATURE SOLID OXIDE ELECTROLYSER CELLS, ALKALI AND PEM ELECTROLYSERS, Aalborg University, 2013, Brian Vad Mathiesen et al.</t>
  </si>
  <si>
    <t>[7]</t>
  </si>
  <si>
    <t>Thijssen, J. Natural Gas-Fueled Distributed Generation Solid Oxide Fuel Cell Systems, US Department of Energy, National Energy Technology Laboratory, and RDS 2009.</t>
  </si>
  <si>
    <t>[6]</t>
  </si>
  <si>
    <t>Thijssen, J. The Impact of Scale-Up and Production Volume on SOFC Manufacturing cost, National Energy Technology Laboratory and the US Department of Energy (DOE) 2007</t>
  </si>
  <si>
    <t>[5]</t>
  </si>
  <si>
    <t>Fuel Cell and Hydrogen Joint Undertaking: “Multi – Annual Work Plan 2014-2020”, adopted 2014-06-30</t>
  </si>
  <si>
    <t>[4]</t>
  </si>
  <si>
    <t>SOEC Roadmap Co- electrolysis, version 0.5, 2012 http://www.hydrogennet.dk/fileadmin/user_upload/PDF-filer/Partnerskabet/Strategier/SOEC-roadmap-co_electrolysis_Final1.pdf</t>
  </si>
  <si>
    <t>[3]</t>
  </si>
  <si>
    <t>SOEC Roadmap Steam electrolysis, version 0.5, 2012 http://www.hydrogennet.dk/fileadmin/user_upload/PDF-filer/Partnerskabet/Strategier/SOEC-roadmap_steam_electrolysis_Final1.pdf</t>
  </si>
  <si>
    <t>[2]</t>
  </si>
  <si>
    <t>Partnerskabet for brint og brændselsceller, Elektrolyse i Danmark, 2009</t>
  </si>
  <si>
    <t>[1]</t>
  </si>
  <si>
    <t>The O&amp;M cost is composed of 5%, 2% and 1.64% of the turnkey price per year for a plant size of 1 MW, 15 MW and 50 MW respectively [13], in addition to the cost of exchanging stacks over the technical lifetime of the plant.</t>
  </si>
  <si>
    <t xml:space="preserve">The O&amp;M is assumed to be 3% of the turnkey price per year. Included in this number is the replacement cost of SOEC stacks which is less than 1% of the turnkey price per year of the assumed lifetime of the system. A O&amp;M cost of 2% and 5% is assumed for lower and upper uncertainty, respectively. </t>
  </si>
  <si>
    <t>The expenses not included in the equipment price are included in the installation cost, that is: land, contingency, contractors, legal fees, construction, engineering, yard improvements, buildings, electrics, piping, instrumentation and installation and grid connection.</t>
  </si>
  <si>
    <t>From the turnkey price the following expenses are included in the equipment cost: SOEC stack, heat exchangers, blower, pump, piping, electronics and delivery.</t>
  </si>
  <si>
    <r>
      <t xml:space="preserve">The SOEC stack costs predicted here are based on the detailed cost assessments of SOFC modules reported in references [4,5]. It has been documented that SOEC’s can run at much higher power density compared to SOFC’s. Here it is assumed that the SOEC stacks can be operated at four times the power density used for SOFC in the reference material [4,5] and a production volume between 5 and 10 MW/year in 2020, that increases 25 times to between 100 and 250 MW/year in 2050. This gives a SOEC stack cost of </t>
    </r>
    <r>
      <rPr>
        <b/>
        <sz val="9"/>
        <rFont val="Arial"/>
        <family val="2"/>
      </rPr>
      <t>376</t>
    </r>
    <r>
      <rPr>
        <sz val="9"/>
        <rFont val="Arial"/>
        <family val="2"/>
      </rPr>
      <t xml:space="preserve"> €/kW in 2020, </t>
    </r>
    <r>
      <rPr>
        <b/>
        <sz val="9"/>
        <rFont val="Arial"/>
        <family val="2"/>
      </rPr>
      <t>43</t>
    </r>
    <r>
      <rPr>
        <sz val="9"/>
        <rFont val="Arial"/>
        <family val="2"/>
      </rPr>
      <t xml:space="preserve"> €/kW in 2030 and </t>
    </r>
    <r>
      <rPr>
        <b/>
        <sz val="9"/>
        <rFont val="Arial"/>
        <family val="2"/>
      </rPr>
      <t>36</t>
    </r>
    <r>
      <rPr>
        <sz val="9"/>
        <rFont val="Arial"/>
        <family val="2"/>
      </rPr>
      <t xml:space="preserve"> €/kW in 2050, where the dominating price reduction factor, between 2020 and 2050, comes from mass production of the stacks.</t>
    </r>
  </si>
  <si>
    <t>The turnkey price is made from estimates of the following cost factors; SOEC stack, heat exchangers, blower, pump, piping, electronics, delivery, land, contingency, contractors, legal fees, construction, engineering, yard improvements, buildings, electrics, piping, instrumentation and installation and grid connection (as described in ref 13), using the same assumptions that are detailed in reference [9]. Additionally, estimates from [10] and [17] are considered as well. The cost associated with grid connection is assumed to be 0.05 k€/kW [6]. Due to the uncertainties related to overcoming the technical challenges in the short to medium term, and the uncertainty regarding the market and related economy of scale effects, the central price estimate for 2030 is higher than described in ref 13, namely, 1.0 million EUR/MW, which is in lign with the projection from ref 17.</t>
  </si>
  <si>
    <t>For 250kW module construction time (stack production, mounting) is approximately 6 months (Sunfire: Danilo Schimanke, date: 22/01-2015).</t>
  </si>
  <si>
    <t>Increasing temperature may be necessary during operation in order to circumvent decreasing production rate due to degradation. In general the preferred operation temperature is expected to go down as technology improves towards 2050.</t>
  </si>
  <si>
    <t xml:space="preserve">Most of the ohmic heat created in the stack will be consumed by the electrolysis reaction, which is endothermic. By running the SOEC stack very close to thermo-neutral voltage only little heat can be extracted. The value for 2015 is predicted after communication with Haldor Topose. </t>
  </si>
  <si>
    <t>If the supplied water to the SOEC is in the form of steam at 150°C the electrical efficiency of electrolysis is increased by approximately ~17% (relative). This is relevant since waste heat at this temperature would be available, e.g. if the electrolysis is run together with a methanation or a methanol plant.</t>
  </si>
  <si>
    <t>It is assumed that the best operating strategy is to maintain efficiency throughout the lifetime and to compensate the small resistance increase occurring over the lifetime of the stack by reducing the production rate. The drop in production capacity can be reduced by allowing operation at increased temperature towards the end of life of the stacks.</t>
  </si>
  <si>
    <t>A plant operating in thermoneutral mode is assumed. Heat input for vaporizing the water is assumed and electricity for the remaining input [7]. The heat supplied to an unpressurized stack should be &gt;100C. For a stack pressurized at 5 bar the heat should be supplied at &gt;150C.</t>
  </si>
  <si>
    <t>Start-up time (minutes)</t>
  </si>
  <si>
    <t>Ramp down time, linear to full load (minutes)</t>
  </si>
  <si>
    <t>Ramp up time, linear to full load (minutes)</t>
  </si>
  <si>
    <t>Stack lifetime (years)</t>
  </si>
  <si>
    <t>1, 2</t>
  </si>
  <si>
    <t>D, E</t>
  </si>
  <si>
    <t>Operating temperature (degC)</t>
  </si>
  <si>
    <t>Variable O&amp;M (€-2015 per MWh input)</t>
  </si>
  <si>
    <t>10, 13</t>
  </si>
  <si>
    <t>K, L</t>
  </si>
  <si>
    <t>NA</t>
  </si>
  <si>
    <t>Fixed O&amp;M (€-2015 per MW input per year)</t>
  </si>
  <si>
    <t xml:space="preserve"> - hereof installation (%)</t>
  </si>
  <si>
    <t>H, I</t>
  </si>
  <si>
    <t xml:space="preserve"> - hereof equipment (%)</t>
  </si>
  <si>
    <t>4, 5, 6, 7, 11,13,14</t>
  </si>
  <si>
    <t>Specific investment (M€-2015 per MW input)</t>
  </si>
  <si>
    <t>DTU conservative estimate</t>
  </si>
  <si>
    <t>B) Heat output (% total size)</t>
  </si>
  <si>
    <t>1, *</t>
  </si>
  <si>
    <t>A) Hydrogen output (% total size)</t>
  </si>
  <si>
    <t>7, 18</t>
  </si>
  <si>
    <t>B) Heat input (% total size)</t>
  </si>
  <si>
    <t>A) Electricity input (% total size)</t>
  </si>
  <si>
    <t>Typical total plant size (MW input)</t>
  </si>
  <si>
    <t>SOEC (Solid Oxide Electrolyzer Cell)</t>
  </si>
  <si>
    <t>Back to Index</t>
  </si>
  <si>
    <t>Operating temperature</t>
  </si>
  <si>
    <t>Variable O&amp;M (€-2015 per MWel)</t>
  </si>
  <si>
    <t xml:space="preserve"> G, B</t>
  </si>
  <si>
    <t>Fixed O&amp;M (€-2015 per MWe a year)</t>
  </si>
  <si>
    <t>Specific investment (M€-2015 per MWe)</t>
  </si>
  <si>
    <t>14, 15</t>
  </si>
  <si>
    <t>B, C, K</t>
  </si>
  <si>
    <t>A) Hydrogen output (% total size) (LHV)</t>
  </si>
  <si>
    <t>4, 5, 6, 7, 8</t>
  </si>
  <si>
    <t>Typical total plant size (MWe)</t>
  </si>
  <si>
    <t>LT PEM EC (Low Temperature Proton Exchange Membrane Electrolyser Cell )</t>
  </si>
  <si>
    <t xml:space="preserve">[11] Iowa State University. 2017. Biodiesel Profitability. http://www.extension.iastate.edu/agdm/energy/xls/d1-15biodieselprofitability.xlsx </t>
  </si>
  <si>
    <t xml:space="preserve">[10] Berghout, Niels. (2008). Technological learning in the German biodiesel industry: An experience curve approach to quantify reductions in production costs, energy use and greenhouse gas emissions. http://task39.sites.olt.ubc.ca/files/2013/05/Technological-learning-in-the-German-Biodiesel-Industry.pdf </t>
  </si>
  <si>
    <t xml:space="preserve">[9]     IRENA. 2013. Road Transport: The Cost of Renewable Solutions. http://www.irena.org/-/media/Files/IRENA/Agency/Publication/2013/Road_Transport.ashx </t>
  </si>
  <si>
    <t xml:space="preserve">[8]     Cargill. 2017. Cargill to build state of- the-art biodiesel plant in Wichita, Kansas. https://www.cargill.com/2017/cargill-to-build-state-of-the-art-biodiesel-plant-in-wichita-ks </t>
  </si>
  <si>
    <t xml:space="preserve">[7]     Chen, R., Qin, Z., Han, J., Wang, M., Taheripour, F., Tyner, W., O'Connor, D., Duffield, J. 2018. Life cycle energy and greenhouse gas emission effects of biodiesel in the United States with induced land use change impacts. Bioresource Technology, Volume 251, 2018, Pages 249-258, ISSN 0960-8524, https://doi.org/10.1016/j.biortech.2017.12.031.   </t>
  </si>
  <si>
    <t>[6]     IEA Bioenergy Task 39. Newsletter #39. Denmark Feature. http://task39.sites.olt.ubc.ca/files/2015/06/IEA-Bioenergy-Task-39-Newsletter-Issue-39-May-2015-final.pdf</t>
  </si>
  <si>
    <t xml:space="preserve">[5]     Energy Statistics 2015. https://ens.dk/sites/ens.dk/files/Statistik/energy_statistics_2015.pdf  </t>
  </si>
  <si>
    <t xml:space="preserve">[4]     US Energy Information Administration. 2015. International Energy Statistics. Biofuels Production. http://www.eia.gov/cfapps/ipdbproject/IEDIndex3.cfm?tid=79&amp;pid=79&amp;aid=1 </t>
  </si>
  <si>
    <t xml:space="preserve">[3]     Desmet Ballestra. 2015. Biodiesel. http://www.desmetballestra.com/images/PDF-Brochures-2014/Biodiesel2015.pdf </t>
  </si>
  <si>
    <t xml:space="preserve">[2]     International Institute for Sustainable Development. 2012. Biofuels – At What Cost? Mandating ethanol and biodiesel consumption in Germany. https://www.iisd.org/gsi/sites/default/files/bf_awc_germany.pdf </t>
  </si>
  <si>
    <r>
      <t>[1]</t>
    </r>
    <r>
      <rPr>
        <sz val="8"/>
        <color theme="1"/>
        <rFont val="Times New Roman"/>
        <family val="1"/>
      </rPr>
      <t xml:space="preserve">     </t>
    </r>
    <r>
      <rPr>
        <sz val="8"/>
        <color theme="1"/>
        <rFont val="Calibri"/>
        <family val="2"/>
        <scheme val="minor"/>
      </rPr>
      <t>Personal Communication. 2018. T Jensen, Emmelev A/S</t>
    </r>
  </si>
  <si>
    <t>References</t>
  </si>
  <si>
    <t>L. M €/k tonne is million euro per 1,000 tonnes</t>
  </si>
  <si>
    <t>K. Operating cost is +/- 10% of mean.</t>
  </si>
  <si>
    <t>J. Range of capital cost is +/- 25% of mean.</t>
  </si>
  <si>
    <t>I. The uncertainty is one standard deviation from the average from the NBB survey.</t>
  </si>
  <si>
    <t>H. Best plants operate at greater than 95% of capacity.</t>
  </si>
  <si>
    <t>G. Estimated from Iowa State biodiesel profitability file.</t>
  </si>
  <si>
    <t>F. Total output excludes the heat loss.</t>
  </si>
  <si>
    <t>E. 2050 values are based on industry best plant in 2015. 2020 and 2030 values interpolated between 2015 and 2050 values.</t>
  </si>
  <si>
    <t xml:space="preserve">D. O&amp;M costs, costs for main raw materials are not included </t>
  </si>
  <si>
    <t xml:space="preserve">C. The total capital cost include total installed cost (total direct costs) and all indirect costs such as engineering, construction, contractor’s fee, contingency and working capital. </t>
  </si>
  <si>
    <t xml:space="preserve">B. Energy input from supporting chemicals of minor amounts is not considered. </t>
  </si>
  <si>
    <t>A1. This value is the hourly rating and has been calculated as if the unit produces 100,000 t/year and was in operations 8,000 h/year.</t>
  </si>
  <si>
    <t xml:space="preserve">A. The plant size is assumed based on the plants sizes of existing vegetable oil based bio-diesel plants in EU. </t>
  </si>
  <si>
    <t>D, K, L</t>
  </si>
  <si>
    <t>Variable O&amp;M (M € /1,000 t biodiesel)</t>
  </si>
  <si>
    <t>Fixed O&amp;M (M € /1,000 t biodiesel)</t>
  </si>
  <si>
    <t>25</t>
  </si>
  <si>
    <t>- installation (%)</t>
  </si>
  <si>
    <t>75</t>
  </si>
  <si>
    <t>C, J</t>
  </si>
  <si>
    <t>Specific investment (M € /1,000 t biodiesel/year)</t>
  </si>
  <si>
    <t>Specific energy content (GJ/ton) biodiesel)</t>
  </si>
  <si>
    <t>Start-up (M € /MW)</t>
  </si>
  <si>
    <t>Fixed O&amp;M (M€ /MW/year)</t>
  </si>
  <si>
    <t>C, J, L</t>
  </si>
  <si>
    <t>Specific investment (M€ /MW)</t>
  </si>
  <si>
    <t>E,I</t>
  </si>
  <si>
    <t>B,E,I</t>
  </si>
  <si>
    <t>A1</t>
  </si>
  <si>
    <t>Typical total plant size MW biodiesel</t>
  </si>
  <si>
    <t>Typical total plant size 1,000 t biodiesel/year</t>
  </si>
  <si>
    <t>Vegetable Oil FAME</t>
  </si>
  <si>
    <t>Typical total plant size MW biodiesel/year</t>
  </si>
  <si>
    <t>UCO and Animal Fat FAME</t>
  </si>
  <si>
    <t xml:space="preserve">[13] Sub Group on Advanced Biofuels. 2017. Cost of Biofuel. http://platformduurzamebiobrandstoffen.nl/wp-content/uploads/2017/07/2017_SGAB_Cost-of-Biofuels.pdf </t>
  </si>
  <si>
    <t xml:space="preserve">[12] Neste Renewable Diesel Handbook. https://www.neste.com/sites/default/files/attachments/neste_renewable_diesel_handbook.pdf </t>
  </si>
  <si>
    <t xml:space="preserve">[11] Diamond Green Diesel. Press release. 2016. https://www.prnewswire.com/news-releases/diamond-green-diesel-to-be-expanded-to-275-million-gallons-annually-300248085.html </t>
  </si>
  <si>
    <t xml:space="preserve">[10] Miller, P., Kumar, A. 2014. Techno-economic assessment of hydrogenation-derived renewable diesel production from canola and camelina, In Sustainable Energy Technologies and Assessments, Volume 6, 2014, Pages 105-115, ISSN 2213-1388, https://doi.org/10.1016/j.seta.2014.01.008 </t>
  </si>
  <si>
    <t>[9]     Tao, L., Milbrandt, A., Zhang, Y. and Wang, W. 2017. Techno-economic and resource analysis of hydroprocessed renewable jet fuel. Biotechnology for Biofuels 2017 10:261. https://doi.org/10.1186/s13068-017-0945-3</t>
  </si>
  <si>
    <t>[8]     Rogelio Sotelo-Boyás, Fernando Trejo-Zárraga and Felipe de Jesús Hernández-Loyo (2012). Hydroconversion of Triglycerides into Green Liquid Fuels, Hydrogenation, Prof. Iyad Karamé (Ed.), InTech, DOI: 10.5772/48710. Available from: https://www.intechopen.com/books/hydrogenation/hydroconversion-of-triglycerides-into-green-liquid-fuels</t>
  </si>
  <si>
    <t xml:space="preserve">[7]     Iowa State University. 2017. Biodiesel Profitability. http://www.extension.iastate.edu/agdm/energy/xls/d1-15biodieselprofitability.xlsx </t>
  </si>
  <si>
    <t>[6]     US Energy Information Administration. New York Harbour ULSD Price. https://www.eia.gov/dnav/pet/pet_pri_spt_s1_d.htm</t>
  </si>
  <si>
    <t xml:space="preserve">[5]     Neste Financial Statements. https://www.neste.com/en/corporate-info/investors/financials </t>
  </si>
  <si>
    <t xml:space="preserve">[4]     de Jong, S., Hoefnagels, R., Faaij, A., Slade, R., Mawhood, R. and Junginger, M. 2015. The feasibility of short-term production strategies for renewable jet fuels – a comprehensive techno-economic comparison. Biofuels, Bioprod. Bioref., 9: 778–800. https://www.doi.org/10.1002/bbb.1613   </t>
  </si>
  <si>
    <t>[3]     Kalnes, T et al. 2012. Green diesel production by hydrorefining renewable feedstocks. https://www.uop.com/wp-content/uploads/2012/12/UOP-Hydrorefining-Green-Diesel-Tech-Paper.pdf</t>
  </si>
  <si>
    <t>[2]     US EPA. 2017. EPA Approval for REG Geismar. https://www.epa.gov/sites/production/files/2017-05/documents/reg-geismar-deter-ltr-2017-04-13.pdf</t>
  </si>
  <si>
    <t>[1]     Neste. 2013. North American Tallow Pathway Description. https://www.arb.ca.gov/fuels/lcfs/2a2b/apps/nes-na-tallow-rpt-011414.pdf</t>
  </si>
  <si>
    <r>
      <t>L.</t>
    </r>
    <r>
      <rPr>
        <sz val="7"/>
        <color rgb="FF000000"/>
        <rFont val="Times New Roman"/>
        <family val="1"/>
      </rPr>
      <t xml:space="preserve">     </t>
    </r>
    <r>
      <rPr>
        <sz val="8"/>
        <color rgb="FF000000"/>
        <rFont val="Arial"/>
        <family val="2"/>
      </rPr>
      <t xml:space="preserve"> M €/k tonne is million euro per 1,000 tonnes</t>
    </r>
  </si>
  <si>
    <r>
      <t>K.</t>
    </r>
    <r>
      <rPr>
        <sz val="7"/>
        <color rgb="FF000000"/>
        <rFont val="Times New Roman"/>
        <family val="1"/>
      </rPr>
      <t xml:space="preserve">     </t>
    </r>
    <r>
      <rPr>
        <sz val="8"/>
        <color rgb="FF000000"/>
        <rFont val="Arial"/>
        <family val="2"/>
      </rPr>
      <t>Operating cost uncertainty is +/- 10% of mean.</t>
    </r>
  </si>
  <si>
    <r>
      <t>J.</t>
    </r>
    <r>
      <rPr>
        <sz val="7"/>
        <color rgb="FF000000"/>
        <rFont val="Times New Roman"/>
        <family val="1"/>
      </rPr>
      <t xml:space="preserve">     </t>
    </r>
    <r>
      <rPr>
        <sz val="8"/>
        <color rgb="FF000000"/>
        <rFont val="Arial"/>
        <family val="2"/>
      </rPr>
      <t>Range of capital cost is +/- 25% of mean.</t>
    </r>
  </si>
  <si>
    <r>
      <t>I.</t>
    </r>
    <r>
      <rPr>
        <sz val="7"/>
        <color rgb="FF000000"/>
        <rFont val="Times New Roman"/>
        <family val="1"/>
      </rPr>
      <t xml:space="preserve">      </t>
    </r>
    <r>
      <rPr>
        <sz val="8"/>
        <color rgb="FF000000"/>
        <rFont val="Arial"/>
        <family val="2"/>
      </rPr>
      <t>Best plants operate at greater than 95% of capacity.</t>
    </r>
  </si>
  <si>
    <r>
      <t>H.</t>
    </r>
    <r>
      <rPr>
        <sz val="7"/>
        <color rgb="FF000000"/>
        <rFont val="Times New Roman"/>
        <family val="1"/>
      </rPr>
      <t xml:space="preserve">     </t>
    </r>
    <r>
      <rPr>
        <sz val="8"/>
        <color rgb="FF000000"/>
        <rFont val="Arial"/>
        <family val="2"/>
      </rPr>
      <t>Total output excludes the heat loss.</t>
    </r>
  </si>
  <si>
    <r>
      <t>G.</t>
    </r>
    <r>
      <rPr>
        <sz val="7"/>
        <color rgb="FF000000"/>
        <rFont val="Times New Roman"/>
        <family val="1"/>
      </rPr>
      <t xml:space="preserve">    </t>
    </r>
    <r>
      <rPr>
        <sz val="8"/>
        <color rgb="FF000000"/>
        <rFont val="Arial"/>
        <family val="2"/>
      </rPr>
      <t>There is limited potential for process improvements.</t>
    </r>
  </si>
  <si>
    <r>
      <t>F.</t>
    </r>
    <r>
      <rPr>
        <sz val="7"/>
        <color rgb="FF000000"/>
        <rFont val="Times New Roman"/>
        <family val="1"/>
      </rPr>
      <t xml:space="preserve">     </t>
    </r>
    <r>
      <rPr>
        <sz val="8"/>
        <color rgb="FF000000"/>
        <rFont val="Arial"/>
        <family val="2"/>
      </rPr>
      <t>O&amp;M costs, costs for main raw materials are not included.</t>
    </r>
  </si>
  <si>
    <r>
      <t>E.</t>
    </r>
    <r>
      <rPr>
        <sz val="7"/>
        <color rgb="FF000000"/>
        <rFont val="Times New Roman"/>
        <family val="1"/>
      </rPr>
      <t xml:space="preserve">     </t>
    </r>
    <r>
      <rPr>
        <sz val="8"/>
        <color rgb="FF000000"/>
        <rFont val="Arial"/>
        <family val="2"/>
      </rPr>
      <t xml:space="preserve">The total capital cost include total installed cost (total direct costs) and all indirect costs such as engineering, construction, contractor’s fee, contingency and working capital. </t>
    </r>
  </si>
  <si>
    <r>
      <t>D.</t>
    </r>
    <r>
      <rPr>
        <sz val="7"/>
        <color rgb="FF000000"/>
        <rFont val="Times New Roman"/>
        <family val="1"/>
      </rPr>
      <t xml:space="preserve">     </t>
    </r>
    <r>
      <rPr>
        <sz val="8"/>
        <color rgb="FF000000"/>
        <rFont val="Arial"/>
        <family val="2"/>
      </rPr>
      <t>Hydrogen consumption is also a function of the feedstock to a small degree.</t>
    </r>
  </si>
  <si>
    <r>
      <t>C.</t>
    </r>
    <r>
      <rPr>
        <sz val="7"/>
        <color rgb="FF000000"/>
        <rFont val="Times New Roman"/>
        <family val="1"/>
      </rPr>
      <t xml:space="preserve">     </t>
    </r>
    <r>
      <rPr>
        <sz val="8"/>
        <color rgb="FF000000"/>
        <rFont val="Arial"/>
        <family val="2"/>
      </rPr>
      <t>Performance is typical based on public data and confidential data reviewed by (S&amp;T)</t>
    </r>
    <r>
      <rPr>
        <vertAlign val="superscript"/>
        <sz val="8"/>
        <color rgb="FF000000"/>
        <rFont val="Arial"/>
        <family val="2"/>
      </rPr>
      <t>2</t>
    </r>
    <r>
      <rPr>
        <sz val="8"/>
        <color rgb="FF000000"/>
        <rFont val="Arial"/>
        <family val="2"/>
      </rPr>
      <t xml:space="preserve"> Consultants Inc.</t>
    </r>
  </si>
  <si>
    <r>
      <t>B.</t>
    </r>
    <r>
      <rPr>
        <sz val="7"/>
        <color rgb="FF000000"/>
        <rFont val="Times New Roman"/>
        <family val="1"/>
      </rPr>
      <t xml:space="preserve">     </t>
    </r>
    <r>
      <rPr>
        <sz val="8"/>
        <color rgb="FF000000"/>
        <rFont val="Arial"/>
        <family val="2"/>
      </rPr>
      <t xml:space="preserve">The plant size uncertainty represents the current range in the market. </t>
    </r>
  </si>
  <si>
    <t>A1. This value is the hourly rating and has been calculated as if the unit produces at capacity and was in operations 8,000 h/year.</t>
  </si>
  <si>
    <r>
      <t>A.</t>
    </r>
    <r>
      <rPr>
        <sz val="7"/>
        <color rgb="FF000000"/>
        <rFont val="Times New Roman"/>
        <family val="1"/>
      </rPr>
      <t xml:space="preserve">     </t>
    </r>
    <r>
      <rPr>
        <sz val="8"/>
        <color rgb="FF000000"/>
        <rFont val="Arial"/>
        <family val="2"/>
      </rPr>
      <t xml:space="preserve">The plant size is assumed based on the plants sizes of existing HVO plants. </t>
    </r>
  </si>
  <si>
    <t>Startup (M € /1,000 t HVO)</t>
  </si>
  <si>
    <t>F, K, L</t>
  </si>
  <si>
    <t>Variable O&amp;M (M € /1,000 t HVO)</t>
  </si>
  <si>
    <t>Fixed O&amp;M (M € /1,000 t HVO)</t>
  </si>
  <si>
    <t>10, 12</t>
  </si>
  <si>
    <t>E, J, L</t>
  </si>
  <si>
    <t>Specific investment (M € /1,000 t HVO)</t>
  </si>
  <si>
    <t xml:space="preserve">Specific energy content (GJ/ton) </t>
  </si>
  <si>
    <t>Startup (M € /MW)</t>
  </si>
  <si>
    <t>C, H</t>
  </si>
  <si>
    <t>3,4,11</t>
  </si>
  <si>
    <t>C, D</t>
  </si>
  <si>
    <t>Typical total plant size MW HVO</t>
  </si>
  <si>
    <t>Typical total plant size 1,000 t HVO/year</t>
  </si>
  <si>
    <t>HVO / renwable diesel</t>
  </si>
  <si>
    <t xml:space="preserve">[7]     de Jong, S., Hoefnagels, R., Faaij, A., Slade, R., Mawhood, R. and Junginger, M. 2015. The feasibility of short-term production strategies for renewable jet fuels – a comprehensive techno-economic comparison. Biofuels, Bioprod. Bioref., 9: 778–800. https://www.doi.org/10.1002/bbb.1613   </t>
  </si>
  <si>
    <t xml:space="preserve">[6]     Stratton et al. 2010. Life Cycle Greenhouse Gas Emissions from Alternative Jet Fuels. http://web.mit.edu/aeroastro/partner/reports/proj28/partner-proj28-2010-001.pdf </t>
  </si>
  <si>
    <t xml:space="preserve">[5]     Starck, L., Pidol, L., Jeuland, N., Chapus, T., Bogers, P., Bauldreay, J. 2016. Production of Hydroprocessed Esters and Fatty Acids (HEFA) - Optimization of Process Yield. Oil Gas Sci. Technol. - Rev. IFP Energies nouvelles. Volume 71, Number 1, January-February 2016. https://doi.org/10.2516/ogst/2014007 </t>
  </si>
  <si>
    <t xml:space="preserve">[4]     Tao, L., Milbrandt, A., Zhang, Y., and Wang, W. 2017. Techno‑economic and resource analysis of hydroprocessed renewable jet fuel. Biotechnology for Biofuels. 10:261. https://doi.org/10.1186/s13068-017-0945-3 </t>
  </si>
  <si>
    <t xml:space="preserve">[3]     de Jong, S., Antonissen, K., Hoefnagels, R., Lonza, L., Wang, M., Faaij, A., and Junginger, M. 2017. Life-cycle analysis of greenhouse gas emissions from renewable jet fuel production. Biotechnology for Biofuels201710:64. https://doi.org/10.1186/s13068-017-0739-7 </t>
  </si>
  <si>
    <t xml:space="preserve">[2]     Antonissen, K. 2016. Greenhouse gas performance of renewable jet fuel: a comparison of conversion pathways. https://dspace.library.uu.nl/bitstream/handle/1874/347665/MSc%20Thesis%20K.Y%20Antonissen%2c%20May%202016%20%281%29.pdf?sequence=2&amp;isAllowed=y </t>
  </si>
  <si>
    <t xml:space="preserve">[1]     AltAir. 2017. The Department of Energy: Wet and Gaseous Feedstocks: Barriers and Opportunities. https://energy.gov/sites/prod/files/2017/07/f35/BETO_2017WTE-Workshop_BryanSherbacow-AltAir.pdf </t>
  </si>
  <si>
    <r>
      <t>L.</t>
    </r>
    <r>
      <rPr>
        <sz val="7"/>
        <color rgb="FF000000"/>
        <rFont val="Times New Roman"/>
        <family val="1"/>
      </rPr>
      <t xml:space="preserve">     </t>
    </r>
    <r>
      <rPr>
        <sz val="8"/>
        <color rgb="FF000000"/>
        <rFont val="Arial"/>
        <family val="2"/>
      </rPr>
      <t>M €/k tonne is million euro per 1,000 tonnes.</t>
    </r>
  </si>
  <si>
    <r>
      <t>C.</t>
    </r>
    <r>
      <rPr>
        <sz val="7"/>
        <color rgb="FF000000"/>
        <rFont val="Times New Roman"/>
        <family val="1"/>
      </rPr>
      <t xml:space="preserve">     </t>
    </r>
    <r>
      <rPr>
        <sz val="8"/>
        <color rgb="FF000000"/>
        <rFont val="Arial"/>
        <family val="2"/>
      </rPr>
      <t>Performance is typical based similar performance to HVO diesel but with less primary product and more co-products.</t>
    </r>
  </si>
  <si>
    <r>
      <t>A.</t>
    </r>
    <r>
      <rPr>
        <sz val="7"/>
        <color rgb="FF000000"/>
        <rFont val="Times New Roman"/>
        <family val="1"/>
      </rPr>
      <t xml:space="preserve">     </t>
    </r>
    <r>
      <rPr>
        <sz val="8"/>
        <color rgb="FF000000"/>
        <rFont val="Arial"/>
        <family val="2"/>
      </rPr>
      <t>The plant size is assumed based on the plants sizes of existing HVO plants. Jet production is 80% of HVO diesel production with the other 20% representing increased co-products.</t>
    </r>
  </si>
  <si>
    <t xml:space="preserve"> -equipment (%)</t>
  </si>
  <si>
    <t>A, E, J, L</t>
  </si>
  <si>
    <t>Specific investment (M € /1000 t HVO Jet)</t>
  </si>
  <si>
    <t>Start-up (M € /1,000 t HVO Jet)</t>
  </si>
  <si>
    <t>Specific investment (M€ /MW HVO Jet)</t>
  </si>
  <si>
    <t>C, G</t>
  </si>
  <si>
    <t>C,D, G</t>
  </si>
  <si>
    <t>HVO Jet Fuel</t>
  </si>
  <si>
    <t xml:space="preserve">[13] Ringneck Energy prospectus. 2016. http://ringneckenergy.com/wp-content/uploads/2016/12/2015_PPM_w_Exhibits.pdf </t>
  </si>
  <si>
    <r>
      <t>[12]</t>
    </r>
    <r>
      <rPr>
        <sz val="8"/>
        <color rgb="FF000000"/>
        <rFont val="Times New Roman"/>
        <family val="1"/>
      </rPr>
      <t xml:space="preserve"> </t>
    </r>
    <r>
      <rPr>
        <sz val="8"/>
        <color rgb="FF000000"/>
        <rFont val="Calibri"/>
        <family val="2"/>
      </rPr>
      <t>Biofuel Journal. 2017. Third Quarter. Construction begins. Page 40-42.</t>
    </r>
  </si>
  <si>
    <t xml:space="preserve">[11] Capital Journal. Oct. 10, 2017.  Ringneck Energy pouring cement, building foundations for ethanol plant near Onida. http://www.capjournal.com/news/ringneck-energy-pouring-cement-building-foundations-for-ethanol-plant-near/article_4ee23aac-adec-11e7-80fb-a7814e744ba7.html  </t>
  </si>
  <si>
    <t xml:space="preserve">[10] Iowa State University. 2017. Ethanol Profitability. http://www.extension.iastate.edu/agdm/energy/xls/d1-10ethanolprofitability.xlsx </t>
  </si>
  <si>
    <t xml:space="preserve">[9]     ePure. 2017. 2016 Industry Statistics.  http://epure.org/media/1610/2016-industry-statistics.pdf </t>
  </si>
  <si>
    <t>[8]     ePure. 2014. State of the Industry Report 2014. http://epure.org/media/1137/state-of-the-industry-report-2014.pdf</t>
  </si>
  <si>
    <t>[7]     US Energy Information Administration. 2015. International Energy Statistics.  Biofuels Production. http://www.eia.gov/cfapps/ipdbproject/IEDIndex3.cfm?tid=79&amp;pid=79&amp;aid=1</t>
  </si>
  <si>
    <t xml:space="preserve">[6]     IEA Bioenergy Task 39. 2009. Potential for Improving Carbon/Energy Balance of Bioethanol. http://task39.sites.olt.ubc.ca/files/2013/05/IEA_Bioenergy_Task-39_Improving_carbon_and_energy_balance.pdf </t>
  </si>
  <si>
    <t xml:space="preserve">[5]     Hettinga, W., Junginger, H., Dekker S., Hoogwijk, M., McAloon, A., Hicks, K. 2009. Understanding the reductions in US corn ethanol production costs: An experience curve approach. Energy Policy 37(2009)190–203. http://naldc.nal.usda.gov/download/22550/PDF </t>
  </si>
  <si>
    <r>
      <t>[4]</t>
    </r>
    <r>
      <rPr>
        <sz val="8"/>
        <color rgb="FF000000"/>
        <rFont val="Times New Roman"/>
        <family val="1"/>
      </rPr>
      <t xml:space="preserve">     </t>
    </r>
    <r>
      <rPr>
        <sz val="8"/>
        <color rgb="FF000000"/>
        <rFont val="Calibri"/>
        <family val="2"/>
      </rPr>
      <t>Biograce Version 4d without the extra 30% processing energy factor.</t>
    </r>
  </si>
  <si>
    <t xml:space="preserve">[3]     ePure. 2017. Fuel Blends. http://epure.org/about-ethanol/fuel-market/fuel-blends/ </t>
  </si>
  <si>
    <t xml:space="preserve">[2]     Energy Statistics 2015. https://ens.dk/sites/ens.dk/files/Statistik/energy_statistics_2015.pdf </t>
  </si>
  <si>
    <r>
      <t>[1]</t>
    </r>
    <r>
      <rPr>
        <sz val="8"/>
        <color rgb="FF000000"/>
        <rFont val="Times New Roman"/>
        <family val="1"/>
      </rPr>
      <t xml:space="preserve">     </t>
    </r>
    <r>
      <rPr>
        <sz val="8"/>
        <color rgb="FF000000"/>
        <rFont val="Calibri"/>
        <family val="2"/>
      </rPr>
      <t>(S&amp;T)</t>
    </r>
    <r>
      <rPr>
        <vertAlign val="superscript"/>
        <sz val="8"/>
        <color rgb="FF000000"/>
        <rFont val="Calibri"/>
        <family val="2"/>
      </rPr>
      <t>2</t>
    </r>
    <r>
      <rPr>
        <sz val="8"/>
        <color rgb="FF000000"/>
        <rFont val="Calibri"/>
        <family val="2"/>
      </rPr>
      <t xml:space="preserve"> Consultants Inc. Database of actual plant performance.</t>
    </r>
  </si>
  <si>
    <r>
      <t>J.</t>
    </r>
    <r>
      <rPr>
        <sz val="7"/>
        <color rgb="FF000000"/>
        <rFont val="Times New Roman"/>
        <family val="1"/>
      </rPr>
      <t xml:space="preserve">     </t>
    </r>
    <r>
      <rPr>
        <sz val="8"/>
        <color rgb="FF000000"/>
        <rFont val="Arial"/>
        <family val="2"/>
      </rPr>
      <t>M €/k tonne is million euro per 1,000 tonnes</t>
    </r>
  </si>
  <si>
    <r>
      <t>I.</t>
    </r>
    <r>
      <rPr>
        <sz val="7"/>
        <color rgb="FF000000"/>
        <rFont val="Times New Roman"/>
        <family val="1"/>
      </rPr>
      <t xml:space="preserve">      </t>
    </r>
    <r>
      <rPr>
        <sz val="8"/>
        <color rgb="FF000000"/>
        <rFont val="Arial"/>
        <family val="2"/>
      </rPr>
      <t>Capital costs can be site specific and process technology supplier dependent. The costs provided for in the table are from a technology developer with a reputation for low capital costs.</t>
    </r>
  </si>
  <si>
    <r>
      <t>H.</t>
    </r>
    <r>
      <rPr>
        <sz val="7"/>
        <color rgb="FF000000"/>
        <rFont val="Times New Roman"/>
        <family val="1"/>
      </rPr>
      <t xml:space="preserve">     </t>
    </r>
    <r>
      <rPr>
        <sz val="8"/>
        <color rgb="FF000000"/>
        <rFont val="Arial"/>
        <family val="2"/>
      </rPr>
      <t>Start-up costs are included on variable costs.</t>
    </r>
  </si>
  <si>
    <r>
      <t>G.</t>
    </r>
    <r>
      <rPr>
        <sz val="7"/>
        <color rgb="FF000000"/>
        <rFont val="Times New Roman"/>
        <family val="1"/>
      </rPr>
      <t xml:space="preserve">    </t>
    </r>
    <r>
      <rPr>
        <sz val="8"/>
        <color rgb="FF000000"/>
        <rFont val="Arial"/>
        <family val="2"/>
      </rPr>
      <t xml:space="preserve">Variable costs are reduced from improved energy efficiency. </t>
    </r>
  </si>
  <si>
    <r>
      <t>F.</t>
    </r>
    <r>
      <rPr>
        <sz val="7"/>
        <color rgb="FF000000"/>
        <rFont val="Times New Roman"/>
        <family val="1"/>
      </rPr>
      <t xml:space="preserve">     </t>
    </r>
    <r>
      <rPr>
        <sz val="8"/>
        <color rgb="FF000000"/>
        <rFont val="Arial"/>
        <family val="2"/>
      </rPr>
      <t>Change over time is a function of increased ethanol yield, which also results in lower DDG yield as the mass must be conserved.</t>
    </r>
  </si>
  <si>
    <r>
      <t>E.</t>
    </r>
    <r>
      <rPr>
        <sz val="7"/>
        <color rgb="FF000000"/>
        <rFont val="Times New Roman"/>
        <family val="1"/>
      </rPr>
      <t xml:space="preserve">     </t>
    </r>
    <r>
      <rPr>
        <sz val="8"/>
        <color rgb="FF000000"/>
        <rFont val="Arial"/>
        <family val="2"/>
      </rPr>
      <t>Output excludes the low quality waste heat.</t>
    </r>
  </si>
  <si>
    <r>
      <t>D.</t>
    </r>
    <r>
      <rPr>
        <sz val="7"/>
        <color rgb="FF000000"/>
        <rFont val="Times New Roman"/>
        <family val="1"/>
      </rPr>
      <t xml:space="preserve">     </t>
    </r>
    <r>
      <rPr>
        <sz val="8"/>
        <color rgb="FF000000"/>
        <rFont val="Arial"/>
        <family val="2"/>
      </rPr>
      <t>The upper and lower values are representative of the range between individual plants.</t>
    </r>
  </si>
  <si>
    <r>
      <t>C.</t>
    </r>
    <r>
      <rPr>
        <sz val="7"/>
        <color rgb="FF000000"/>
        <rFont val="Times New Roman"/>
        <family val="1"/>
      </rPr>
      <t xml:space="preserve">     </t>
    </r>
    <r>
      <rPr>
        <sz val="8"/>
        <color rgb="FF000000"/>
        <rFont val="Arial"/>
        <family val="2"/>
      </rPr>
      <t>The feedstock starch content impacts the yield. Ethanol yields in the United States have been slowly increasing from a combination of improved conversion efficiency and higher starch content of the feedstock.</t>
    </r>
  </si>
  <si>
    <r>
      <t>A.</t>
    </r>
    <r>
      <rPr>
        <sz val="7"/>
        <color rgb="FF000000"/>
        <rFont val="Times New Roman"/>
        <family val="1"/>
      </rPr>
      <t xml:space="preserve">     </t>
    </r>
    <r>
      <rPr>
        <sz val="8"/>
        <color rgb="FF000000"/>
        <rFont val="Arial"/>
        <family val="2"/>
      </rPr>
      <t xml:space="preserve">The plant size is assumed based on the plants sizes of existing ethanol plants. </t>
    </r>
  </si>
  <si>
    <t>Start-up (M€ /1,000 t Ethanol)</t>
  </si>
  <si>
    <t>G, B, J</t>
  </si>
  <si>
    <t>Variable O&amp;M (M€ /1,000 t Ethanol)</t>
  </si>
  <si>
    <t>Fixed O&amp;M (M€ /1,000 t Ethanol)</t>
  </si>
  <si>
    <t>I, J</t>
  </si>
  <si>
    <t>Specific investment (M€ /1,000 t Ethanol)</t>
  </si>
  <si>
    <t>Specific investment (M€ /MW Ethanol)</t>
  </si>
  <si>
    <t>DDG  Output, MWh/MWh Total Input</t>
  </si>
  <si>
    <t>Ethanol Output, MWh/MWh Total Inputs</t>
  </si>
  <si>
    <t>Ethanol/year, MW</t>
  </si>
  <si>
    <t>Ethanol/year, 1,000 tonnes/year</t>
  </si>
  <si>
    <t>1st Generation Ethanol</t>
  </si>
  <si>
    <t>[12] Environment Canada. 1999. Bunker C Fuel Oil. www.etc-cte.ec.gc.ca/databases/oilproperties/pdf/web_bunker_c_fuel_oil.pdf</t>
  </si>
  <si>
    <t xml:space="preserve">[11] BTG. Pyrolysis oil properties. https://www.btg-btl.com/en/applications/oilproperties </t>
  </si>
  <si>
    <t xml:space="preserve">[10] Ensyn. 2016. Scale-up &amp; Optimization BETO Workshop. https://www.energy.gov/sites/prod/files/2016/10/f33/Graham_0.pdf </t>
  </si>
  <si>
    <t xml:space="preserve">[9]     BE-Sustainable. 2014. Empyro BV breaks ground of its biomass to liquid pyrolysis plant. http://www.besustainablemagazine.com/cms2/empyro-bv-breaks-ground-of-its-biomass-to-liquid-pyrolysis-plant/ </t>
  </si>
  <si>
    <t xml:space="preserve">[8]     Shemfe, M.,Sai Gu, S., Ranganathan, P. 2015. Techno-economic performance analysis of biofuel production and miniature electric power generation from biomass fast pyrolysis and bio-oil upgrading, Fuel, Volume 143, 2015, Pages 361-372, https://doi.org/10.1016/j.fuel.2014.11.078. </t>
  </si>
  <si>
    <t xml:space="preserve">[7]     Hu, W., Dang, Q., Rover, M., Brown, R., Wright, M. 2015. Comparative techno-economic analysis of advanced biofuels, biochemicals, and hydrocarbon chemicals via the fast pyrolysis platform. Biofuels, 7:1, 57-67. http://dx.doi.org/10.1080/17597269.2015.1118780 </t>
  </si>
  <si>
    <t xml:space="preserve">[6]     Mark M. Wright, Justinus A. Satrio, and Robert C. Brown 2010. Techno-Economic Analysis of Biomass Fast Pyrolysis to Transportation Fuels https://www.nrel.gov/docs/fy11osti/46586.pdf </t>
  </si>
  <si>
    <t xml:space="preserve">[5]     BTG. November 2017 Newsletter. https://www.btg-btl.com/nieuwsbrieven/2017/november/en  </t>
  </si>
  <si>
    <t xml:space="preserve">[4]     Bridgwater, A., Meier, D. Radlein, D. 1999. An overview of fast pyrolysis of biomass. Organic Geochemistry, Volume 30, Issue 12, Pages 1479-1493, https://doi.org/10.1016/S0146-6380(99)00120-5. </t>
  </si>
  <si>
    <t xml:space="preserve">[3]     Mahajan. M. 2018. Biomass-A Massive opportunity in disguise. https://ec.europa.eu/energy/sites/ener/files/documents/32_dharmesh_mahajan-honeywell.pdf </t>
  </si>
  <si>
    <t xml:space="preserve">[2]     BTG Bioliquids. Empyro project. https://www.btg-btl.com/en/company/projects/empyro </t>
  </si>
  <si>
    <t xml:space="preserve">[1]     Muggen, G. 2015. Looking back at the first half year of commercial scale pyrolysis oil production at Empyro. tcbiomass Chicago November 4th 2015. http://www.gastechnology.org/tcbiomass/tcb2015/Muggen_Gerhard-Presentation-tcbiomass2015.pdf </t>
  </si>
  <si>
    <r>
      <t>G.</t>
    </r>
    <r>
      <rPr>
        <sz val="7"/>
        <color rgb="FF000000"/>
        <rFont val="Times New Roman"/>
        <family val="1"/>
      </rPr>
      <t xml:space="preserve">    </t>
    </r>
    <r>
      <rPr>
        <sz val="8"/>
        <color rgb="FF000000"/>
        <rFont val="Arial"/>
        <family val="2"/>
      </rPr>
      <t>M €/k tonne is million euro per 1,000 tonnes</t>
    </r>
  </si>
  <si>
    <r>
      <t>F.</t>
    </r>
    <r>
      <rPr>
        <sz val="7"/>
        <color rgb="FF000000"/>
        <rFont val="Times New Roman"/>
        <family val="1"/>
      </rPr>
      <t xml:space="preserve">     </t>
    </r>
    <r>
      <rPr>
        <sz val="8"/>
        <color rgb="FF000000"/>
        <rFont val="Arial"/>
        <family val="2"/>
      </rPr>
      <t>N</t>
    </r>
    <r>
      <rPr>
        <vertAlign val="superscript"/>
        <sz val="8"/>
        <color rgb="FF000000"/>
        <rFont val="Arial"/>
        <family val="2"/>
      </rPr>
      <t>th</t>
    </r>
    <r>
      <rPr>
        <sz val="8"/>
        <color rgb="FF000000"/>
        <rFont val="Arial"/>
        <family val="2"/>
      </rPr>
      <t xml:space="preserve"> plant estimates.</t>
    </r>
  </si>
  <si>
    <r>
      <t>E.</t>
    </r>
    <r>
      <rPr>
        <sz val="7"/>
        <color rgb="FF000000"/>
        <rFont val="Times New Roman"/>
        <family val="1"/>
      </rPr>
      <t xml:space="preserve">     </t>
    </r>
    <r>
      <rPr>
        <sz val="8"/>
        <color rgb="FF000000"/>
        <rFont val="Arial"/>
        <family val="2"/>
      </rPr>
      <t>These are based on the commercial demonstration plant results.</t>
    </r>
  </si>
  <si>
    <r>
      <t>D.</t>
    </r>
    <r>
      <rPr>
        <sz val="7"/>
        <color rgb="FF000000"/>
        <rFont val="Times New Roman"/>
        <family val="1"/>
      </rPr>
      <t xml:space="preserve">     </t>
    </r>
    <r>
      <rPr>
        <sz val="8"/>
        <color rgb="FF000000"/>
        <rFont val="Arial"/>
        <family val="2"/>
      </rPr>
      <t>Capital costs for n</t>
    </r>
    <r>
      <rPr>
        <vertAlign val="superscript"/>
        <sz val="8"/>
        <color rgb="FF000000"/>
        <rFont val="Arial"/>
        <family val="2"/>
      </rPr>
      <t>th</t>
    </r>
    <r>
      <rPr>
        <sz val="8"/>
        <color rgb="FF000000"/>
        <rFont val="Arial"/>
        <family val="2"/>
      </rPr>
      <t xml:space="preserve"> plant are used for 2050 and earlier costs are estimates.</t>
    </r>
  </si>
  <si>
    <r>
      <t>C.</t>
    </r>
    <r>
      <rPr>
        <sz val="7"/>
        <color rgb="FF000000"/>
        <rFont val="Times New Roman"/>
        <family val="1"/>
      </rPr>
      <t xml:space="preserve">     </t>
    </r>
    <r>
      <rPr>
        <sz val="8"/>
        <color rgb="FF000000"/>
        <rFont val="Arial"/>
        <family val="2"/>
      </rPr>
      <t>This is twice the time normally found in process operations.</t>
    </r>
  </si>
  <si>
    <r>
      <t>B.</t>
    </r>
    <r>
      <rPr>
        <sz val="7"/>
        <color rgb="FF000000"/>
        <rFont val="Times New Roman"/>
        <family val="1"/>
      </rPr>
      <t xml:space="preserve">     </t>
    </r>
    <r>
      <rPr>
        <sz val="8"/>
        <color rgb="FF000000"/>
        <rFont val="Arial"/>
        <family val="2"/>
      </rPr>
      <t>The plant size range is typical of the range found in the literature. It is highly uncertain given that the commercial demonstration plants in operation are much smaller.</t>
    </r>
  </si>
  <si>
    <r>
      <t>A.</t>
    </r>
    <r>
      <rPr>
        <sz val="7"/>
        <color rgb="FF000000"/>
        <rFont val="Times New Roman"/>
        <family val="1"/>
      </rPr>
      <t xml:space="preserve">     </t>
    </r>
    <r>
      <rPr>
        <sz val="8"/>
        <color rgb="FF000000"/>
        <rFont val="Arial"/>
        <family val="2"/>
      </rPr>
      <t>The plant size range is likely limited by the feedstock availability.</t>
    </r>
  </si>
  <si>
    <t>n.a.</t>
  </si>
  <si>
    <t>Start up  (M€ /1,000 t Bio Oil)</t>
  </si>
  <si>
    <t>F, G</t>
  </si>
  <si>
    <t>Variable O&amp;M (M€ /1,000 t Bio Oil)</t>
  </si>
  <si>
    <t>Fixed O&amp;M (M€ /1,000 t Bio Oil)</t>
  </si>
  <si>
    <t>6, 8</t>
  </si>
  <si>
    <t>D, G</t>
  </si>
  <si>
    <t>Specific investment (M€ /1,000 t Bio Oil)</t>
  </si>
  <si>
    <t>Specific energy content (GJ/ton) bio-oil)</t>
  </si>
  <si>
    <t>Variable O&amp;M (€ /MWh Bio Oil)</t>
  </si>
  <si>
    <t>Fixed O&amp;M (M€ /MW/year Bio Oil)</t>
  </si>
  <si>
    <t>Specific investment (M€ /MW Bio Oil)</t>
  </si>
  <si>
    <t>Power, Output, MWh/MWh Total Input</t>
  </si>
  <si>
    <t>Steam, Output, MWh/MWh Total Input</t>
  </si>
  <si>
    <t>1, 6</t>
  </si>
  <si>
    <t>Typical total plant size. MW</t>
  </si>
  <si>
    <t>Typical total plant size 1,000 t Bio Oil/year</t>
  </si>
  <si>
    <t xml:space="preserve">[16] Sub Group on Advanced Biofuels. 2017. Cost of Biofuel. http://platformduurzamebiobrandstoffen.nl/wp-content/uploads/2017/07/2017_SGAB_Cost-of-Biofuels.pdf  </t>
  </si>
  <si>
    <t xml:space="preserve">[15] Irena. 2016. Innovation Outlook. Advanced Liquid Biofuels. http://www.irena.org/DocumentDownloads/Publications/IRENA_Innovation_Outlook_Advanced_Liquid_Biofuels_2016.pdf </t>
  </si>
  <si>
    <t xml:space="preserve">[14] de Jong, S., Hoefnagels, R., Faaij, A., Slade, R., Mawhood, R. and Junginger, M. 2015. The feasibility of short-term production strategies for renewable jet fuels – a comprehensive techno-economic comparison. Biofuels, Bioprod. Bioref., 9: 778–800. https://www.doi.org/10.1002/bbb.1613   </t>
  </si>
  <si>
    <t xml:space="preserve">[13] Lee R Lynd, Xiaoyu Liang, Mary J Biddy, Andrew Allee, Hao Cai, Thomas Foust, Michael E Himmel, Mark S Laser, Michael Wang, Charles E Wyman. 2017. Cellulosic ethanol: status and innovation, In Current Opinion in Biotechnology, Volume 45, 2017, Pages 202-211, ISSN 0958-1669, https://doi.org/10.1016/j.copbio.2017.03.008 </t>
  </si>
  <si>
    <t>[12] Brian Foody. 2016. Scaling Up Cellulosic Biofuels, Ideas &amp; Experience. Presented at Scaling Up, Ottawa, Ontario, Nov 15, 2016.</t>
  </si>
  <si>
    <t xml:space="preserve">[11] IEA Bioenergy Task 39. Cellulosic Ethanol Plants. http://demoplants.bioenergy2020.eu/ </t>
  </si>
  <si>
    <t xml:space="preserve">[10] Clariant. 2017. Clariant to Build Flagship Sunliquid® Cellulosic Ethanol Plant in Romania. https://www.clariant.com/en/Corporate/News/2017/10/Clariant-to-build-flagship-sunliquid-cellulosic-ethanol-plant-in-Romania </t>
  </si>
  <si>
    <t xml:space="preserve">[9]     Clariant. 2017. Clariant And Enviral Announce First License Agreement on Sunliquid® Cellulosic Ethanol Technology. https://www.clariant.com/en/Corporate/News/2017/09/Clariant-and-Enviral-announce-first-license-agreement-on-sunliquid-cellulosic-ethanol-technology </t>
  </si>
  <si>
    <t xml:space="preserve">[8]     DuPont to sell cellulosic ethanol plant in blow to biofuel. Nov 2017. https://www.reuters.com/article/us-dowdupont-ethanol/dupont-to-sell-cellulosic-ethanol-plant-in-blow-to-biofuel-idUSKBN1D22T5 </t>
  </si>
  <si>
    <t xml:space="preserve">[7]     Beta Renewables. Oct 2017. The Alessandria court admitted the Gruppo Mossi Ghisolfi companies to the “concordato preventivo”. http://www.betarenewables.com/en/media-relations/news-detail/32 </t>
  </si>
  <si>
    <t xml:space="preserve">[6]     Merritt, M. 2017. Real Progress in Cellulosic Biofuel. Biofuels, Bioprod. Bioref., 11: 943-944. https://doi.org/10.1002/bbb.1837 </t>
  </si>
  <si>
    <t>[5]     Van der Meij, R. 2017. A venture capitalist’s view on investment in lingo-cellulosic ethanol. Presented at 6TH International Conference on Lignocellulosic Ethanol. Brussels, Sept 2017. https://ec.europa.eu/energy/en/events/6th-international-conference-ethanol-lignocellulosics.</t>
  </si>
  <si>
    <t>[4]     Thakrar, A. 2017. PROJECT LIBERTY: Lessons learned in commercializing cellulosic biofuels. Presented at 6TH International Conference on Lignocellulosic Ethanol. Brussels, Sept 2017. https://ec.europa.eu/energy/en/events/6th-international-conference-ethanol-lignocellulosics.</t>
  </si>
  <si>
    <t xml:space="preserve">[3]     POET-DSM achieves cellulosic biofuel breakthrough. Nov 2017. http://poetdsm.com/pr/poet-dsm-achieves-cellulosic-biofuel-breakthrough </t>
  </si>
  <si>
    <t xml:space="preserve">[2]     Kacelle. 2014. Bringing cellulosic ethanol to industrial production at Kalundborg, Denmark. https://biorefiningalliance.com/wp-content/uploads/2014/12/KACELLE-PUBLISHABLE-SUMMARY-web.pdf </t>
  </si>
  <si>
    <t xml:space="preserve">[1]     Tao, L., Schell, D., Davis, R., Tan, E., Elander, R. and Bratis, A. 2014. NREL 2012 Achievement of Ethanol Cost Targets: Biochemical Ethanol Fermentation via Dilute-Acid Pretreatment and Enzymatic Hydrolysis of Corn Stover. NREL/TP-5100-61563. https://www.nrel.gov/docs/fy14osti/61563.pdf </t>
  </si>
  <si>
    <r>
      <t>F.</t>
    </r>
    <r>
      <rPr>
        <sz val="7"/>
        <color rgb="FF000000"/>
        <rFont val="Times New Roman"/>
        <family val="1"/>
      </rPr>
      <t xml:space="preserve">     </t>
    </r>
    <r>
      <rPr>
        <sz val="8"/>
        <color rgb="FF000000"/>
        <rFont val="Arial"/>
        <family val="2"/>
      </rPr>
      <t>O&amp;M costs are based on the n</t>
    </r>
    <r>
      <rPr>
        <vertAlign val="superscript"/>
        <sz val="8"/>
        <color rgb="FF000000"/>
        <rFont val="Arial"/>
        <family val="2"/>
      </rPr>
      <t>th</t>
    </r>
    <r>
      <rPr>
        <sz val="8"/>
        <color rgb="FF000000"/>
        <rFont val="Arial"/>
        <family val="2"/>
      </rPr>
      <t xml:space="preserve"> plant. There are no public estimates for the costs from current plants. It has been estimated that they are twice the values for the nth plants. This may be optimistic unless the on line performance can be improved.</t>
    </r>
  </si>
  <si>
    <r>
      <t>E.</t>
    </r>
    <r>
      <rPr>
        <sz val="7"/>
        <color rgb="FF000000"/>
        <rFont val="Times New Roman"/>
        <family val="1"/>
      </rPr>
      <t xml:space="preserve">     </t>
    </r>
    <r>
      <rPr>
        <sz val="8"/>
        <color rgb="FF000000"/>
        <rFont val="Arial"/>
        <family val="2"/>
      </rPr>
      <t>Start-up costs are included in the operating costs.</t>
    </r>
  </si>
  <si>
    <r>
      <t>D.</t>
    </r>
    <r>
      <rPr>
        <sz val="7"/>
        <color rgb="FF000000"/>
        <rFont val="Times New Roman"/>
        <family val="1"/>
      </rPr>
      <t xml:space="preserve">     </t>
    </r>
    <r>
      <rPr>
        <sz val="8"/>
        <color rgb="FF000000"/>
        <rFont val="Arial"/>
        <family val="2"/>
      </rPr>
      <t>There is a wide range of reported capital costs for the existing plants and a wide range in the cost of future plants.</t>
    </r>
  </si>
  <si>
    <r>
      <t>C.</t>
    </r>
    <r>
      <rPr>
        <sz val="7"/>
        <color rgb="FF000000"/>
        <rFont val="Times New Roman"/>
        <family val="1"/>
      </rPr>
      <t xml:space="preserve">     </t>
    </r>
    <r>
      <rPr>
        <sz val="8"/>
        <color rgb="FF000000"/>
        <rFont val="Arial"/>
        <family val="2"/>
      </rPr>
      <t>Not all process developers are attempting to maximize ethanol output; this can result in higher feedstock consumption but lower chemical use. Co-product production is higher if the ethanol yield is low.</t>
    </r>
  </si>
  <si>
    <r>
      <t>A.</t>
    </r>
    <r>
      <rPr>
        <sz val="7"/>
        <color rgb="FF000000"/>
        <rFont val="Times New Roman"/>
        <family val="1"/>
      </rPr>
      <t xml:space="preserve">     </t>
    </r>
    <r>
      <rPr>
        <sz val="8"/>
        <color rgb="FF000000"/>
        <rFont val="Arial"/>
        <family val="2"/>
      </rPr>
      <t>The plant size is assumed based on the plants sizes of existing ethanol plants.</t>
    </r>
  </si>
  <si>
    <t>1, 10, 11</t>
  </si>
  <si>
    <t>Variable O&amp;M (€ /MW Ethanol)</t>
  </si>
  <si>
    <t>Fixed O&amp;M (M€ /MW/year Ethanol)</t>
  </si>
  <si>
    <t>Typical total plant size 1,000 tonnes/year</t>
  </si>
  <si>
    <t>Cellulosic Ethanol</t>
  </si>
  <si>
    <t>[8]     Sub Group on Advanced Biofuels. 2017. Cost of Biofuel. http://platformduurzamebiobrandstoffen.nl/wp-content/uploads/2017/07/2017_SGAB_Cost-of-Biofuels.pdf</t>
  </si>
  <si>
    <t>[7]     NREL. 2011. Technoeconomic comparison of biofuels: ethanol, methanol, and gasoline from gasification of woody residues. https://www.nrel.gov/docs/fy12osti/52636.pdf</t>
  </si>
  <si>
    <t>[6]     Värmlands Metanol AB. 2016. Metanol från skog - ett miljövänligt drivmedel. http://www.varmlandsmetanol.se/dokument/Folder%20VM%20sept%202016.pdf</t>
  </si>
  <si>
    <t>[5]     Värmlands Metanol AB. http://www.varmlandsmetanol.se/Om%20Projektet.htm</t>
  </si>
  <si>
    <t>[4]     IEA Bioenergy Task 39. 2016. IEA-Bioenergy-Task-39-Newsletter-Issue-42-April-2016. http://task39.sites.olt.ubc.ca/files/2012/01/IEA-Bioenergy-Task-39-Newsletter-Issue-42-April-2016.pdf</t>
  </si>
  <si>
    <t>[3]     Clausen, L. 2014. Integrated torrefaction vs. external torrefaction – A thermodynamic analysis for the case of a thermochemical biorefinery. Energy, Volume 77, Pages 597-607. https://doi.org/10.1016/j.energy.2014.09.042.</t>
  </si>
  <si>
    <t>[2]     Danish Technology Institute. 2011. GreenSynFuels. EUDP project journal number: 64010-0011. http://serenergy.com/wp-content/uploads/2015/11/GreenSynFuels_report_final.pdf</t>
  </si>
  <si>
    <t>[1]     Andersson, J.,Lundgren, J., and Marklund, M. 2014. Methanol production via pressurized entrained flow biomass gasification – Techno-economic comparison of integrated vs. stand-alone production, In Biomass and Bioenergy, Volume 64, 2014, Pages 256-268, ISSN 0961-9534, https://doi.org/10.1016/j.biombioe.2014.03.063</t>
  </si>
  <si>
    <r>
      <t>F.</t>
    </r>
    <r>
      <rPr>
        <sz val="7"/>
        <color rgb="FF000000"/>
        <rFont val="Times New Roman"/>
        <family val="1"/>
      </rPr>
      <t xml:space="preserve">     </t>
    </r>
    <r>
      <rPr>
        <sz val="8"/>
        <color rgb="FF000000"/>
        <rFont val="Arial"/>
        <family val="2"/>
      </rPr>
      <t>M €/k tonne is million euro per 1,000 tonnes</t>
    </r>
  </si>
  <si>
    <r>
      <t>E.</t>
    </r>
    <r>
      <rPr>
        <sz val="7"/>
        <color rgb="FF000000"/>
        <rFont val="Times New Roman"/>
        <family val="1"/>
      </rPr>
      <t xml:space="preserve">     </t>
    </r>
    <r>
      <rPr>
        <sz val="8"/>
        <color rgb="FF000000"/>
        <rFont val="Arial"/>
        <family val="2"/>
      </rPr>
      <t>Assumed a 25/75 split on fixed to variable operating costs.</t>
    </r>
  </si>
  <si>
    <r>
      <t>D.</t>
    </r>
    <r>
      <rPr>
        <sz val="7"/>
        <color rgb="FF000000"/>
        <rFont val="Times New Roman"/>
        <family val="1"/>
      </rPr>
      <t xml:space="preserve">     </t>
    </r>
    <r>
      <rPr>
        <sz val="8"/>
        <color rgb="FF000000"/>
        <rFont val="Arial"/>
        <family val="2"/>
      </rPr>
      <t>Plants that produce their own power will have much lower heat available to district heat.</t>
    </r>
  </si>
  <si>
    <r>
      <t>C.</t>
    </r>
    <r>
      <rPr>
        <sz val="7"/>
        <color rgb="FF000000"/>
        <rFont val="Times New Roman"/>
        <family val="1"/>
      </rPr>
      <t xml:space="preserve">     </t>
    </r>
    <r>
      <rPr>
        <sz val="8"/>
        <color rgb="FF000000"/>
        <rFont val="Arial"/>
        <family val="2"/>
      </rPr>
      <t>Some plants may produce their own power and have no power imports.</t>
    </r>
  </si>
  <si>
    <r>
      <t>B.</t>
    </r>
    <r>
      <rPr>
        <sz val="7"/>
        <color rgb="FF000000"/>
        <rFont val="Times New Roman"/>
        <family val="1"/>
      </rPr>
      <t xml:space="preserve">     </t>
    </r>
    <r>
      <rPr>
        <sz val="8"/>
        <color rgb="FF000000"/>
        <rFont val="Arial"/>
        <family val="2"/>
      </rPr>
      <t>Feedstock availability is likely to determine the maximum plant size.</t>
    </r>
  </si>
  <si>
    <t xml:space="preserve">A1. This value is the hourly rating and has been calculated as if the unit produces at capacity and was in operations 8,000 h/year. </t>
  </si>
  <si>
    <r>
      <t>A.</t>
    </r>
    <r>
      <rPr>
        <sz val="7"/>
        <color rgb="FF000000"/>
        <rFont val="Times New Roman"/>
        <family val="1"/>
      </rPr>
      <t xml:space="preserve">     </t>
    </r>
    <r>
      <rPr>
        <sz val="8"/>
        <color rgb="FF000000"/>
        <rFont val="Arial"/>
        <family val="2"/>
      </rPr>
      <t>The plant size range is assumed based on the proposed Värmlands plant and the NREL n</t>
    </r>
    <r>
      <rPr>
        <vertAlign val="superscript"/>
        <sz val="8"/>
        <color rgb="FF000000"/>
        <rFont val="Arial"/>
        <family val="2"/>
      </rPr>
      <t>th</t>
    </r>
    <r>
      <rPr>
        <sz val="8"/>
        <color rgb="FF000000"/>
        <rFont val="Arial"/>
        <family val="2"/>
      </rPr>
      <t xml:space="preserve"> plant.</t>
    </r>
  </si>
  <si>
    <t>Start up (M€ /1,000 t Methanoll)</t>
  </si>
  <si>
    <t>E,,F</t>
  </si>
  <si>
    <t>Variable O&amp;M (€ /MWh methanol)</t>
  </si>
  <si>
    <t>Fixed O&amp;M (M€ /MW/year Methanol)</t>
  </si>
  <si>
    <t>2.5</t>
  </si>
  <si>
    <t>Electricity Output, MWh/MWh Total Input</t>
  </si>
  <si>
    <t>District heat  Output, MWh/MWh Total Input</t>
  </si>
  <si>
    <t>Methanol Output, MWh/MWh Total Input</t>
  </si>
  <si>
    <t xml:space="preserve">[13] CRI. 2017. Commercial Scale Plants. http://carbonrecycling.is/comercial-scale/ </t>
  </si>
  <si>
    <t>[12] enea Consulting. 2016. The Potential of Power to Gas. Technology review and economic potential assessment. http://www.enea-consulting.com/wp-content/uploads/2016/01/ENEA-Consulting-The-potential-of-power-to-gas.pdf</t>
  </si>
  <si>
    <t>[11] M. Pérez-Fortes and E. Tzimas; Techno-economic and environmental evaluation of carbon dioxide utilisation for fuel production. Synthesis of methanol and formic acid; EUR 27629 EN; https://dx.doi.org/10.2790/981669</t>
  </si>
  <si>
    <t>[10] Haldor Topsøe. 2017. Gasoline synthesis (TIGAS). https://www.topsoe.com/processes/gasoline-synthesis/gasoline-synthesis-tigas</t>
  </si>
  <si>
    <t>[9]     Danish Technology Institute. 2011. GreenSynFuels. EUDP project journal number: 64010-0011. http://serenergy.com/wp-content/uploads/2015/11/GreenSynFuels_report_final.pdf</t>
  </si>
  <si>
    <t xml:space="preserve">[8]     Manuel Götz, Jonathan Lefebvre, Friedemann Mörs, Amy McDaniel Koch, Frank Graf, Siegfried Bajohr, Rainer Reimert, Thomas Kolb, Renewable Power-to-Gas: A technological and economic review, In Renewable Energy, Volume 85, 2016, Pages 1371-1390, ISSN 0960-1481, https://doi.org/10.1016/j.renene.2015.07.066 </t>
  </si>
  <si>
    <t xml:space="preserve">[7]     Hovsapian, R. 2017. Role of Electrolyzers in Grid Services. US DOE. https://energy.gov/sites/prod/files/2017/06/f34/fcto_may_2017_h2_scale_wkshp_hovsapian.pdf </t>
  </si>
  <si>
    <t xml:space="preserve">[6]     Methanol Institute. http://www.methanol.org/the-methanol-industry/ </t>
  </si>
  <si>
    <t xml:space="preserve">[5]     Atsonios K, et al., Investigation of technical and economic aspects for methanol production through CO2 hydrogenation, International Journal of Hydrogen Energy (2016), http://dx.doi.org/10.1016/j.ijhydene.2015.12.074 </t>
  </si>
  <si>
    <t xml:space="preserve">[4]     MefCO2 Project Brochure. 2017. http://www.mefco2.eu/pdf/MefCO2_Brochure_00.pdf </t>
  </si>
  <si>
    <t>[3]     Stefansson, B. 2017. CO2 to Renewable Methanol: experiences and perspectives for the steel industry. https://www.co2-cato.org/cato-download/4123/20170512_143353_20-11.00-Stefansson-public.pdf</t>
  </si>
  <si>
    <t>[2]     Stefansson, B. 2015. Power and CO2 emissions to methanol. https://eu-ems.com/event_images/presentations/Benedikt%20Stefansson%20presentation.pdf</t>
  </si>
  <si>
    <t>[1]     Next generation of methanol fuel cell vehicles sees the light of day. 2017. http://serenergy.com/next-generation-of-methanol-fuel-cell-vehicles-sees-the-light-of-day/</t>
  </si>
  <si>
    <r>
      <t>H.</t>
    </r>
    <r>
      <rPr>
        <sz val="7"/>
        <color rgb="FF000000"/>
        <rFont val="Times New Roman"/>
        <family val="1"/>
      </rPr>
      <t xml:space="preserve">     </t>
    </r>
    <r>
      <rPr>
        <sz val="8"/>
        <color rgb="FF000000"/>
        <rFont val="Arial"/>
        <family val="2"/>
      </rPr>
      <t>M €/k tonne is million euro per 1,000 tonnes</t>
    </r>
  </si>
  <si>
    <r>
      <t>G.</t>
    </r>
    <r>
      <rPr>
        <sz val="7"/>
        <color rgb="FF000000"/>
        <rFont val="Times New Roman"/>
        <family val="1"/>
      </rPr>
      <t xml:space="preserve">    </t>
    </r>
    <r>
      <rPr>
        <sz val="8"/>
        <color rgb="FF000000"/>
        <rFont val="Arial"/>
        <family val="2"/>
      </rPr>
      <t>There is a wide range of capital costs in the literature.</t>
    </r>
  </si>
  <si>
    <r>
      <t>F.</t>
    </r>
    <r>
      <rPr>
        <sz val="7"/>
        <color rgb="FF000000"/>
        <rFont val="Times New Roman"/>
        <family val="1"/>
      </rPr>
      <t xml:space="preserve">     </t>
    </r>
    <r>
      <rPr>
        <sz val="8"/>
        <color rgb="FF000000"/>
        <rFont val="Arial"/>
        <family val="2"/>
      </rPr>
      <t>The methanol synthesis step does not lend itself to intermittent operation. The concept of intermittent power to methanol is not practical without intermediate storage for hydrogen that would allow the methanol plant to operate continuously. This would have a significant capital cost impact.</t>
    </r>
  </si>
  <si>
    <r>
      <t>E.</t>
    </r>
    <r>
      <rPr>
        <sz val="7"/>
        <color rgb="FF000000"/>
        <rFont val="Times New Roman"/>
        <family val="1"/>
      </rPr>
      <t xml:space="preserve">     </t>
    </r>
    <r>
      <rPr>
        <sz val="8"/>
        <color rgb="FF000000"/>
        <rFont val="Arial"/>
        <family val="2"/>
      </rPr>
      <t>Waste heat is of low quality.</t>
    </r>
  </si>
  <si>
    <r>
      <t>D.</t>
    </r>
    <r>
      <rPr>
        <sz val="7"/>
        <color rgb="FF000000"/>
        <rFont val="Times New Roman"/>
        <family val="1"/>
      </rPr>
      <t xml:space="preserve">     </t>
    </r>
    <r>
      <rPr>
        <sz val="8"/>
        <color rgb="FF000000"/>
        <rFont val="Arial"/>
        <family val="2"/>
      </rPr>
      <t>Methanol is the only output.</t>
    </r>
  </si>
  <si>
    <r>
      <t>C.</t>
    </r>
    <r>
      <rPr>
        <sz val="7"/>
        <color rgb="FF000000"/>
        <rFont val="Times New Roman"/>
        <family val="1"/>
      </rPr>
      <t xml:space="preserve">     </t>
    </r>
    <r>
      <rPr>
        <sz val="8"/>
        <color rgb="FF000000"/>
        <rFont val="Arial"/>
        <family val="2"/>
      </rPr>
      <t xml:space="preserve">Power use improvement depends on improved efficiency for electrolyzers. </t>
    </r>
  </si>
  <si>
    <r>
      <t>B.</t>
    </r>
    <r>
      <rPr>
        <sz val="7"/>
        <color rgb="FF000000"/>
        <rFont val="Times New Roman"/>
        <family val="1"/>
      </rPr>
      <t xml:space="preserve">     </t>
    </r>
    <r>
      <rPr>
        <sz val="8"/>
        <color rgb="FF000000"/>
        <rFont val="Arial"/>
        <family val="2"/>
      </rPr>
      <t>CO</t>
    </r>
    <r>
      <rPr>
        <vertAlign val="subscript"/>
        <sz val="8"/>
        <color rgb="FF000000"/>
        <rFont val="Arial"/>
        <family val="2"/>
      </rPr>
      <t>2</t>
    </r>
    <r>
      <rPr>
        <sz val="8"/>
        <color rgb="FF000000"/>
        <rFont val="Arial"/>
        <family val="2"/>
      </rPr>
      <t xml:space="preserve"> availability is likely to determine the maximum plant size.</t>
    </r>
  </si>
  <si>
    <r>
      <t>A.</t>
    </r>
    <r>
      <rPr>
        <sz val="7"/>
        <color rgb="FF000000"/>
        <rFont val="Times New Roman"/>
        <family val="1"/>
      </rPr>
      <t xml:space="preserve">     </t>
    </r>
    <r>
      <rPr>
        <sz val="8"/>
        <color rgb="FF000000"/>
        <rFont val="Arial"/>
        <family val="2"/>
      </rPr>
      <t xml:space="preserve">The plant size range is based on the CRI plants and other analysis in the literature. </t>
    </r>
  </si>
  <si>
    <r>
      <t>[8]</t>
    </r>
    <r>
      <rPr>
        <sz val="8"/>
        <color theme="1"/>
        <rFont val="Times New Roman"/>
        <family val="1"/>
      </rPr>
      <t xml:space="preserve">     </t>
    </r>
    <r>
      <rPr>
        <sz val="8"/>
        <color theme="1"/>
        <rFont val="Calibri"/>
        <family val="2"/>
      </rPr>
      <t>Udvikling og effektivisering af biogasproduktionen I Danmark – Delrapport 1 og 2, Danish Energy Agency Biogas Taskforce 2015.</t>
    </r>
  </si>
  <si>
    <r>
      <t>[7]</t>
    </r>
    <r>
      <rPr>
        <sz val="8"/>
        <color theme="1"/>
        <rFont val="Times New Roman"/>
        <family val="1"/>
      </rPr>
      <t xml:space="preserve">     </t>
    </r>
    <r>
      <rPr>
        <sz val="8"/>
        <color theme="1"/>
        <rFont val="Calibri"/>
        <family val="2"/>
      </rPr>
      <t>Hansen, J., Holstebroe, M., Jensen, M., Rass-Hansen, J., Heiredal-Clausen, T. 2016. SOEC Enabled Biogas Upgrading.</t>
    </r>
    <r>
      <rPr>
        <sz val="8"/>
        <color rgb="FF808080"/>
        <rFont val="Calibri"/>
        <family val="2"/>
      </rPr>
      <t xml:space="preserve"> </t>
    </r>
    <r>
      <rPr>
        <sz val="8"/>
        <color theme="1"/>
        <rFont val="Calibri"/>
        <family val="2"/>
      </rPr>
      <t>12th European SOFC &amp; SOE Forum.</t>
    </r>
  </si>
  <si>
    <t xml:space="preserve">[6]     Hitachi Zosen Corporation and Hitachi Zosen Inova to Build First Joint Power-To-Gas Plant. Dec 2017. http://www.hz-inova.com/cms/en/home?p=6276 </t>
  </si>
  <si>
    <t xml:space="preserve">[5]     Combination of Power-to-Gas with Biogas Plant. Vienna University of Technology. https://www.tuwien.ac.at/fileadmin/t/tuwien/fotos/pa/download/2015/HM2015/Flyer_Power_to_Bio--Gas_EN.pdf </t>
  </si>
  <si>
    <t xml:space="preserve">[4]     Rauch, R., Hrbek, J. and Hofbauer, H. 2014. Biomass gasification for synthesis gas production and applications of the syngas. WIREs Energy Environ, 3: 343–362. https://doi.org/10.1002/wene.97  </t>
  </si>
  <si>
    <t xml:space="preserve">[3]     gwf gas + energy. 2014. Das e-gas-Projekt am Biogasanlagen-standort in Werlte. https://www.di-verlag.de/media/content/gwf-GE/gwf_Gas_5_14/gwf-GE_05_2014_FB_Kurt.pdf?xaf26a=7841c984ef837209544e </t>
  </si>
  <si>
    <t xml:space="preserve">[2]     Swiss Federal Office of Energy SFOE. 2017. Direct Methanation of Biogas. https://www.aramis.admin.ch/Default.aspx?DocumentID=45656&amp;Load=true </t>
  </si>
  <si>
    <t xml:space="preserve">[1]     Manuel Götz, Jonathan Lefebvre, Friedemann Mörs, Amy McDaniel Koch, Frank Graf, Siegfried Bajohr, Rainer Reimert, Thomas Kolb, Renewable Power-to-Gas: A technological and economic review, In Renewable Energy, Volume 85, 2016, Pages 1371-1390, ISSN 0960-1481, https://doi.org/10.1016/j.renene.2015.07.066 </t>
  </si>
  <si>
    <r>
      <t>I.</t>
    </r>
    <r>
      <rPr>
        <sz val="7"/>
        <color rgb="FF000000"/>
        <rFont val="Times New Roman"/>
        <family val="1"/>
      </rPr>
      <t xml:space="preserve">      </t>
    </r>
    <r>
      <rPr>
        <sz val="8"/>
        <color rgb="FF000000"/>
        <rFont val="Arial"/>
        <family val="2"/>
      </rPr>
      <t>Assumes that the biogas is 65% methane.</t>
    </r>
  </si>
  <si>
    <r>
      <t>H.</t>
    </r>
    <r>
      <rPr>
        <sz val="7"/>
        <color rgb="FF000000"/>
        <rFont val="Times New Roman"/>
        <family val="1"/>
      </rPr>
      <t xml:space="preserve">     </t>
    </r>
    <r>
      <rPr>
        <sz val="8"/>
        <color rgb="FF000000"/>
        <rFont val="Arial"/>
        <family val="2"/>
      </rPr>
      <t>There is a significant range in the capital cost estimates.</t>
    </r>
  </si>
  <si>
    <r>
      <t>G.</t>
    </r>
    <r>
      <rPr>
        <sz val="7"/>
        <color rgb="FF000000"/>
        <rFont val="Times New Roman"/>
        <family val="1"/>
      </rPr>
      <t xml:space="preserve">    </t>
    </r>
    <r>
      <rPr>
        <sz val="8"/>
        <color rgb="FF000000"/>
        <rFont val="Arial"/>
        <family val="2"/>
      </rPr>
      <t>Some recoverable waste heat is available from the process.</t>
    </r>
  </si>
  <si>
    <r>
      <t>F.</t>
    </r>
    <r>
      <rPr>
        <sz val="7"/>
        <color rgb="FF000000"/>
        <rFont val="Times New Roman"/>
        <family val="1"/>
      </rPr>
      <t xml:space="preserve">     </t>
    </r>
    <r>
      <rPr>
        <sz val="8"/>
        <color rgb="FF000000"/>
        <rFont val="Arial"/>
        <family val="2"/>
      </rPr>
      <t>The methanation step does not lend itself to intermittent operation. The concept of intermittent power to SNG is not practical without intermediate storage for hydrogen that would allow the methanation plant to operate continuously. This would have a significant capital cost impact.</t>
    </r>
  </si>
  <si>
    <r>
      <t>E.</t>
    </r>
    <r>
      <rPr>
        <sz val="7"/>
        <color rgb="FF000000"/>
        <rFont val="Times New Roman"/>
        <family val="1"/>
      </rPr>
      <t xml:space="preserve">     </t>
    </r>
    <r>
      <rPr>
        <sz val="8"/>
        <color rgb="FF000000"/>
        <rFont val="Arial"/>
        <family val="2"/>
      </rPr>
      <t>This is the power for the system excluding the electrolyzer.</t>
    </r>
  </si>
  <si>
    <r>
      <t>D.</t>
    </r>
    <r>
      <rPr>
        <sz val="7"/>
        <color rgb="FF000000"/>
        <rFont val="Times New Roman"/>
        <family val="1"/>
      </rPr>
      <t xml:space="preserve">     </t>
    </r>
    <r>
      <rPr>
        <sz val="8"/>
        <color rgb="FF000000"/>
        <rFont val="Arial"/>
        <family val="2"/>
      </rPr>
      <t>There are variations in the process that will have some impact on the overall efficiency. It is not yet clear what might become the industry standard.</t>
    </r>
  </si>
  <si>
    <r>
      <t>C.</t>
    </r>
    <r>
      <rPr>
        <sz val="7"/>
        <color rgb="FF000000"/>
        <rFont val="Times New Roman"/>
        <family val="1"/>
      </rPr>
      <t xml:space="preserve">     </t>
    </r>
    <r>
      <rPr>
        <sz val="8"/>
        <color rgb="FF000000"/>
        <rFont val="Arial"/>
        <family val="2"/>
      </rPr>
      <t>Plant size progression is based on moving from small biogas system to large systems as the technology is proven.</t>
    </r>
  </si>
  <si>
    <r>
      <t>B.</t>
    </r>
    <r>
      <rPr>
        <sz val="7"/>
        <color rgb="FF000000"/>
        <rFont val="Times New Roman"/>
        <family val="1"/>
      </rPr>
      <t xml:space="preserve">     </t>
    </r>
    <r>
      <rPr>
        <sz val="8"/>
        <color rgb="FF000000"/>
        <rFont val="Arial"/>
        <family val="2"/>
      </rPr>
      <t xml:space="preserve">A1. This value is the hourly rating and has been calculated as if the unit produces at capacity and was in operations 8,000 h/year. </t>
    </r>
  </si>
  <si>
    <r>
      <t>A.</t>
    </r>
    <r>
      <rPr>
        <sz val="7"/>
        <color rgb="FF000000"/>
        <rFont val="Times New Roman"/>
        <family val="1"/>
      </rPr>
      <t xml:space="preserve">     </t>
    </r>
    <r>
      <rPr>
        <sz val="8"/>
        <color rgb="FF000000"/>
        <rFont val="Arial"/>
        <family val="2"/>
      </rPr>
      <t>The plant size range is likely limited by the biogas availability.</t>
    </r>
  </si>
  <si>
    <t xml:space="preserve">[12] Pedersen, T. H., Hansen, N. H., Pérez, O. M., Cabezas, D. E. and Rosendahl, L. A. 2018.  Renewable hydrocarbon fuels from hydrothermal liquefaction: A techno‐economic analysis. Biofuels, Bioprod. Bioref., 12: 213-223. doi:10.1002/bbb.1831 </t>
  </si>
  <si>
    <t xml:space="preserve">[11] Magdeldin, M., Kohl, T., Järvinen, M. 2018. Techno-economic Assessment of Integrated Hydrothermal Liquefaction and Combined Heat and Power Production from Lignocellulose Residues, J. sustain. dev. energy water environ. syst., 6(1), pp 89-113, 2018. https://doi.org/10.13044/j.sdewes.d5.0177 </t>
  </si>
  <si>
    <t xml:space="preserve">[10] Harris Group. 2013. Production of Advanced Biofuels via Liquefaction Hydrothermal Liquefaction Reactor Design. NREL/SR-5100-60642. http://www.ourenergypolicy.org/wp-content/uploads/2015/08/60462.pdf </t>
  </si>
  <si>
    <t xml:space="preserve">[9]     C.U. Jensen, J.K.R. Guerrero, S. Karatzos, G. Olofsson and S.B. Iversen, 10 - Hydrofaction™ of forestry residues to drop-in renewable transportation fuels, In Direct Thermochemical Liquefaction for Energy Applications, edited by Lasse Rosendahl,, Woodhead Publishing, 2018, Pages 319-345, ISBN 9780081010297, https://doi.org/10.1016/B978-0-08-101029-7.00009-6. </t>
  </si>
  <si>
    <t xml:space="preserve">[8]     Licella. 2016. Licella Canfor Joint Venture at the forefront of global bioenergy. http://www.licella.com.au/news/licella-canfor-joint-venture-at-the-forefront-of-global-bioenergy/ </t>
  </si>
  <si>
    <t xml:space="preserve">[7]     Zhu, Y., Biddy, M., Jones, S., Elliott, D., Schmidt, A. 2014. Techno-economic analysis of liquid fuel production from woody biomass via hydrothermal liquefaction (HTL) and upgrading, In Applied Energy, Volume 129, 2014, Pages 384-394, ISSN 0306-2619, https://doi.org/10.1016/j.apenergy.2014.03.053 </t>
  </si>
  <si>
    <t xml:space="preserve">[6]     Toms, P. 2017. Hydrofaction™ Oil: A Solution for Decarbonizing Long-haul Transport. https://www.bio.org/sites/default/files/0830AM-Perry%20Toms.pdf </t>
  </si>
  <si>
    <t xml:space="preserve">[5]     Jensen, C.U., Rodriguez Guerrero, J.K., Karatzos, S. et al. Biomass Conv. Bioref. (2017) 7: 495. https://doi.org/10.1007/s13399-017-0248-8 </t>
  </si>
  <si>
    <t xml:space="preserve">[4]     Fracking Biomass. Biofuels Digest. Feb 2, 2017. http://www.biofuelsdigest.com/bdigest/2017/02/02/fracking-biomass-steeper-energy-and-the-pursuit-of-renewable-hydrocarbons/ </t>
  </si>
  <si>
    <t xml:space="preserve">[3]     Environment Canada. 1999. Bunker C Fuel Oil. www.etc-cte.ec.gc.ca/databases/oilproperties/pdf/web_bunker_c_fuel_oil.pdf </t>
  </si>
  <si>
    <t xml:space="preserve">[2]     Jensen, C.U., Rodriguez Guerrero, J.K., Karatzos, S. et al. 2017. Fundamentals of Hydrofaction™: Renewable crude oil from woody biomass. Biomass Conv. Bioref. (2017) 7: 495. https://doi.org/10.1007/s13399-017-0248-8 </t>
  </si>
  <si>
    <t xml:space="preserve">[1]     Steeper Energy Announces Eur 50.6 M (Dkk 377 M) Advanced Biofuel Project With Norwegian-Swedish Joint Venture Silva Green Fuel In Licensing Deal. 2017. http://steeperenergy.com/2017/12/15/steeper-energy-announces-eur-50-6-m-dkk-377-m-advanced-biofuel-project-with-norwegian-swedish-joint-venture-silva-green-fuel-in-licensing-deal/ </t>
  </si>
  <si>
    <r>
      <t>F.</t>
    </r>
    <r>
      <rPr>
        <sz val="7"/>
        <color rgb="FF000000"/>
        <rFont val="Times New Roman"/>
        <family val="1"/>
      </rPr>
      <t xml:space="preserve">     </t>
    </r>
    <r>
      <rPr>
        <sz val="8"/>
        <color rgb="FF000000"/>
        <rFont val="Arial"/>
        <family val="2"/>
      </rPr>
      <t>N</t>
    </r>
    <r>
      <rPr>
        <vertAlign val="superscript"/>
        <sz val="8"/>
        <color rgb="FF000000"/>
        <rFont val="Arial"/>
        <family val="2"/>
      </rPr>
      <t>th</t>
    </r>
    <r>
      <rPr>
        <sz val="8"/>
        <color rgb="FF000000"/>
        <rFont val="Arial"/>
        <family val="2"/>
      </rPr>
      <t xml:space="preserve"> plant estimates</t>
    </r>
  </si>
  <si>
    <r>
      <t>E.</t>
    </r>
    <r>
      <rPr>
        <sz val="7"/>
        <color rgb="FF000000"/>
        <rFont val="Times New Roman"/>
        <family val="1"/>
      </rPr>
      <t xml:space="preserve">     </t>
    </r>
    <r>
      <rPr>
        <sz val="8"/>
        <color rgb="FF000000"/>
        <rFont val="Arial"/>
        <family val="2"/>
      </rPr>
      <t>These are based on extrapolated pilot plant results.</t>
    </r>
  </si>
  <si>
    <r>
      <t>B.</t>
    </r>
    <r>
      <rPr>
        <sz val="7"/>
        <color rgb="FF000000"/>
        <rFont val="Times New Roman"/>
        <family val="1"/>
      </rPr>
      <t xml:space="preserve">     </t>
    </r>
    <r>
      <rPr>
        <sz val="8"/>
        <color rgb="FF000000"/>
        <rFont val="Arial"/>
        <family val="2"/>
      </rPr>
      <t>The plant size range is typical of the range found in the literature. It is highly uncertain given that there is no commercial demonstration plant in operation yet.</t>
    </r>
  </si>
  <si>
    <t>Start up (M€ /1,000 t Bio Oil)</t>
  </si>
  <si>
    <t>Specific investment (M€ /1000 t Bio Oil)</t>
  </si>
  <si>
    <t>Specific energy content (GJ/ton) HTL)</t>
  </si>
  <si>
    <t>Start up (€ /MW  Bio Oil)</t>
  </si>
  <si>
    <t>Fixed O&amp;M (M€ /MW  Bio Oil/year)</t>
  </si>
  <si>
    <t>20+</t>
  </si>
  <si>
    <t>Co-products  Output MWh/MWh Total Input</t>
  </si>
  <si>
    <t>Bio Oil</t>
  </si>
  <si>
    <t>F.    M €/k tonne is million euro per 1,000 tonnes</t>
  </si>
  <si>
    <t>E.    Nth plant estimates</t>
  </si>
  <si>
    <t>D.    These are based on extrapolated pilot plant results.</t>
  </si>
  <si>
    <t>C.    Capital costs for nth plant are used for 2050 and earlier costs are estimates.</t>
  </si>
  <si>
    <t>B.    The plant size range is typical of the range found in the literature. It is highly uncertain given that there is no commercial demonstration plant in operation yet.</t>
  </si>
  <si>
    <t>A.    The plant size range is likely limited by the feedstock availability.</t>
  </si>
  <si>
    <t>Start up (€ /l Bio Oil)</t>
  </si>
  <si>
    <t>Variable O&amp;M (€ /1,000 t Bio Oil)</t>
  </si>
  <si>
    <t>5, 11</t>
  </si>
  <si>
    <t>C, F</t>
  </si>
  <si>
    <t>Specific investment (M€ /l1000 t Bio Oil)</t>
  </si>
  <si>
    <t>3, 4</t>
  </si>
  <si>
    <t>Catalytic Hydropyrolysis conf. 2</t>
  </si>
  <si>
    <t>M €/k tonne is million euro per 1,000 tonnes</t>
  </si>
  <si>
    <r>
      <t>E. N</t>
    </r>
    <r>
      <rPr>
        <vertAlign val="superscript"/>
        <sz val="10.5"/>
        <color theme="1"/>
        <rFont val="Calibri"/>
        <family val="2"/>
        <scheme val="minor"/>
      </rPr>
      <t>th</t>
    </r>
    <r>
      <rPr>
        <sz val="10.5"/>
        <color theme="1"/>
        <rFont val="Calibri"/>
        <family val="2"/>
        <scheme val="minor"/>
      </rPr>
      <t xml:space="preserve"> plant estimates</t>
    </r>
  </si>
  <si>
    <t>D. Tan [5] reports that the hydrogen plant and distillation account for 45% of the total plant costs for configuration 2. The cost for this configuration are therefore 55% of Configuration 2.</t>
  </si>
  <si>
    <t>C. These are based on extrapolated pilot plant results.</t>
  </si>
  <si>
    <t>B. The plant size range is typical of the range found in the literature. It is highly uncertain given that there is no commercial demonstration plant in operation yet.</t>
  </si>
  <si>
    <t>A. The plant size range is likely limited by the feedstock availability.</t>
  </si>
  <si>
    <r>
      <t>Notes</t>
    </r>
    <r>
      <rPr>
        <sz val="10.5"/>
        <color theme="1"/>
        <rFont val="Calibri"/>
        <family val="2"/>
        <scheme val="minor"/>
      </rPr>
      <t>:</t>
    </r>
  </si>
  <si>
    <r>
      <t>Specific density  (kg/l) or (ton/m</t>
    </r>
    <r>
      <rPr>
        <vertAlign val="superscript"/>
        <sz val="8"/>
        <color theme="1"/>
        <rFont val="Calibri"/>
        <family val="2"/>
        <scheme val="minor"/>
      </rPr>
      <t>3</t>
    </r>
    <r>
      <rPr>
        <sz val="8"/>
        <color theme="1"/>
        <rFont val="Calibri"/>
        <family val="2"/>
        <scheme val="minor"/>
      </rPr>
      <t>)</t>
    </r>
  </si>
  <si>
    <t>Start up (€ /l Liquid Fuel)</t>
  </si>
  <si>
    <t>Variable O&amp;M (€ /MWh of fuel)</t>
  </si>
  <si>
    <t>Fixed O&amp;M (1,000 € /MW)</t>
  </si>
  <si>
    <t>D, E, F</t>
  </si>
  <si>
    <t>Specific investment (M€ /l1000 t Liquid Fuels)</t>
  </si>
  <si>
    <t>Typical total plant size 1,000 t liquid fuels/year</t>
  </si>
  <si>
    <t>Catalytic Hydroprocessing conf. 1</t>
  </si>
  <si>
    <r>
      <rPr>
        <b/>
        <sz val="16"/>
        <color theme="1"/>
        <rFont val="Calibri"/>
        <family val="2"/>
        <scheme val="minor"/>
      </rPr>
      <t>Source:</t>
    </r>
    <r>
      <rPr>
        <sz val="11"/>
        <color theme="1"/>
        <rFont val="Calibri"/>
        <family val="2"/>
        <scheme val="minor"/>
      </rPr>
      <t xml:space="preserve"> Renewables in Transport 2050</t>
    </r>
  </si>
  <si>
    <t>Consider the byproduct O2 selling price:</t>
  </si>
  <si>
    <r>
      <rPr>
        <b/>
        <sz val="11"/>
        <color theme="1"/>
        <rFont val="Calibri"/>
        <family val="2"/>
        <scheme val="minor"/>
      </rPr>
      <t xml:space="preserve">Source: </t>
    </r>
    <r>
      <rPr>
        <sz val="11"/>
        <color theme="1"/>
        <rFont val="Calibri"/>
        <family val="2"/>
        <scheme val="minor"/>
      </rPr>
      <t>Current status of water electrolysis for energy storage, grid balancing and sector coupling via power-to-gas and power-to-liquids: A review</t>
    </r>
  </si>
  <si>
    <t>Source: Ridjan PhD Thesis</t>
  </si>
  <si>
    <t>M€2015/MW</t>
  </si>
  <si>
    <t>1 EUR to DKK</t>
  </si>
  <si>
    <t>Basically I took the data of SO (steam) electrolysis from Technology catalogue DEA and of the SO (co-electrolysis) from Brynolf et al.</t>
  </si>
  <si>
    <t>Sgobbi et al. 2016</t>
  </si>
  <si>
    <t>Delivery of H2 to refuelling stations (including gas compression) from decentralized prod</t>
  </si>
  <si>
    <t>DELH2GD</t>
  </si>
  <si>
    <t>Delivery of H2 to refuelling stations (including gas compression) from centralized prod</t>
  </si>
  <si>
    <t>DELH2GC</t>
  </si>
  <si>
    <t>FLO_COST~2030</t>
  </si>
  <si>
    <t>FIXOM~2030</t>
  </si>
  <si>
    <t>INVCOST~2030</t>
  </si>
  <si>
    <t>FLO_COST~2015</t>
  </si>
  <si>
    <t>FIXOM~2015</t>
  </si>
  <si>
    <t>INVCOST~2015</t>
  </si>
  <si>
    <t>SUPNGAH21N</t>
  </si>
  <si>
    <t>SUPBGAMNR1N</t>
  </si>
  <si>
    <t>SUPBGASTR1N</t>
  </si>
  <si>
    <t>SUPBGAWST1N</t>
  </si>
  <si>
    <t>SUPBGAGRS1N</t>
  </si>
  <si>
    <t>H2GC</t>
  </si>
  <si>
    <t>S</t>
  </si>
  <si>
    <t>Hydrogen to Jet Fuel</t>
  </si>
  <si>
    <t>Typical total plant size 1,000 kt FT Liquids/year</t>
  </si>
  <si>
    <t xml:space="preserve">A, B, </t>
  </si>
  <si>
    <t>18, 20, 23</t>
  </si>
  <si>
    <t>Typical total plant size, MW Output</t>
  </si>
  <si>
    <t>A,B,C</t>
  </si>
  <si>
    <t>18, 20</t>
  </si>
  <si>
    <r>
      <t>CO</t>
    </r>
    <r>
      <rPr>
        <vertAlign val="subscript"/>
        <sz val="8"/>
        <color theme="1"/>
        <rFont val="Calibri"/>
        <family val="2"/>
        <scheme val="minor"/>
      </rPr>
      <t>2</t>
    </r>
    <r>
      <rPr>
        <sz val="8"/>
        <color theme="1"/>
        <rFont val="Calibri"/>
        <family val="2"/>
        <scheme val="minor"/>
      </rPr>
      <t xml:space="preserve"> Consumption, t/t FT Liquids</t>
    </r>
  </si>
  <si>
    <t>C, D, E</t>
  </si>
  <si>
    <t xml:space="preserve">E </t>
  </si>
  <si>
    <t>Power Consumption, MWh/MWh Total Inputs</t>
  </si>
  <si>
    <t>FT Liquids Output, MWh/MWh Total Input</t>
  </si>
  <si>
    <t>F, G, O</t>
  </si>
  <si>
    <t>20, 18</t>
  </si>
  <si>
    <t>District Heat  Output, MWh/MWh Total Input</t>
  </si>
  <si>
    <t>Specific investment (M€ /MW Liquids/year)</t>
  </si>
  <si>
    <t>G, J</t>
  </si>
  <si>
    <t>18, 20, 26, 30</t>
  </si>
  <si>
    <t>Variable O&amp;M (€ /MWH Liquids)</t>
  </si>
  <si>
    <t>M</t>
  </si>
  <si>
    <t>Start up (€ /l FT Liquids)</t>
  </si>
  <si>
    <t>Specific investment (€ /l FT Liquids/year)</t>
  </si>
  <si>
    <t>Fixed O&amp;M (€ /l FT Liquids)</t>
  </si>
  <si>
    <t>Variable O&amp;M (€ /l FT Liquids)</t>
  </si>
  <si>
    <t>Notes</t>
  </si>
  <si>
    <t>A.    The plant size range is based on the Schmidt and Mortensen reports and other analysis in the literature. Scale up is our assumption.</t>
  </si>
  <si>
    <t>B.    CO2 availability is likely to determine the maximum plant size.</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</si>
  <si>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</si>
  <si>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</si>
  <si>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</si>
  <si>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F.    Hydrogen and power are the only energy input. Power will be required for pumping, compression, and utilities in addition to hydrogen production. Power estimated based on typical electric demand in petroleum refineries.</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</si>
  <si>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</si>
  <si>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</si>
  <si>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I.      Some heat is lost in the process to drive the RWGS reaction. Assumes that total losses and internal consumption is 10% of the input. The quality of the district heat will depend on the electrolysis technology employed. The FT portion of the process will have excess steam available. The quantity and quality of the steam will depend on the FT process employed and the plant configuration.</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</si>
  <si>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</si>
  <si>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</si>
  <si>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</si>
  <si>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</si>
  <si>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</si>
  <si>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O. A reasonable distribution of the FT fuels might be 60% jet fuel, 20% gasoline, and 20% lighter products (LPG and fuel gas), but the distribution of outputs could be very different depending on the plant design, catalyst and the operating conditions.</t>
  </si>
  <si>
    <t>Power to Jet Fuel</t>
  </si>
  <si>
    <t>Typical total plant size 1,000 t FT Liquids/year</t>
  </si>
  <si>
    <t>A, B, C</t>
  </si>
  <si>
    <r>
      <t>CO</t>
    </r>
    <r>
      <rPr>
        <vertAlign val="subscript"/>
        <sz val="8"/>
        <color theme="1"/>
        <rFont val="Arial"/>
        <family val="2"/>
      </rPr>
      <t>2</t>
    </r>
    <r>
      <rPr>
        <sz val="8"/>
        <color theme="1"/>
        <rFont val="Arial"/>
        <family val="2"/>
      </rPr>
      <t xml:space="preserve"> Consumption, t/t FT Liquids</t>
    </r>
  </si>
  <si>
    <t xml:space="preserve">F </t>
  </si>
  <si>
    <t>G, H, O</t>
  </si>
  <si>
    <t>Specific investment (M€ /MW Output)</t>
  </si>
  <si>
    <t>Variable O&amp;M (€ /MWH FT Liquids)</t>
  </si>
  <si>
    <t>Start up (€ /MWh FT Liquids)</t>
  </si>
  <si>
    <t>A.      The plant size range is based on the Schmidt and Mortensen reports and other analysis in the literature. Scale up is our assumption.</t>
  </si>
  <si>
    <t>B.      CO2 availability is likely to determine the maximum plant size.</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</si>
  <si>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</si>
  <si>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</si>
  <si>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</si>
  <si>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F.       Power is the only energy input. Power will be required for pumping, compression, and utilities in addition to hydrogen production.</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</si>
  <si>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</si>
  <si>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</si>
  <si>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I.         Some heat is lost in the process to drive the RWGS reaction. Assumes that total losses and internal consumption is 20% of the input. The quality of the district heat will depend on the electrolysis technology employed. The FT portion of the process will have excess steam available. The quantity and quality of the steam will depend on the FT process employed and the plant configuration.</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</si>
  <si>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</si>
  <si>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</si>
  <si>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</si>
  <si>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</si>
  <si>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</si>
  <si>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O.      A reasonable distribution of the FT fuels might be 60% jet fuel, 20% gasoline, and 20% lighter products (LPG and fuel gas), but the distribution of outputs could be very different depending on the plant design, catalyst and the operating conditions.</t>
  </si>
  <si>
    <t>Mikkel Bosack</t>
  </si>
  <si>
    <t>Updated entire workbook to match December 2020 technology catalogue from the danish energy agency</t>
  </si>
  <si>
    <t>Workbook including sources form Mason Master thesis findings, e.g. Sources on Electrofuels and DAC.</t>
  </si>
  <si>
    <t>SUP_DAC</t>
  </si>
  <si>
    <t>Deleted data on DAC, moved to CCS sheet, data on Biogas CO2 stays in the sheet, sheet remaned to other CO2 sources</t>
  </si>
  <si>
    <t>H2</t>
  </si>
  <si>
    <t>SUPH2</t>
  </si>
  <si>
    <t>From H2GC production to H2 e.g. Deliver</t>
  </si>
  <si>
    <t>From H2GD production to H2 e.g. Deliver</t>
  </si>
  <si>
    <t>Hydrogen Production</t>
  </si>
  <si>
    <t>Fixed O&amp;M (M€ /MW</t>
  </si>
  <si>
    <t>Variable O&amp;M (€ /MW</t>
  </si>
  <si>
    <t>OBS! These values have been calibrated according to main sources found in the DEA technology catalogue</t>
  </si>
  <si>
    <t>According to Main spouyrce these values are applicabel</t>
  </si>
  <si>
    <t>Investment cost</t>
  </si>
  <si>
    <t>MUSD</t>
  </si>
  <si>
    <t>TAN</t>
  </si>
  <si>
    <t>Meerman FOAK</t>
  </si>
  <si>
    <t>Meerman Nth plant</t>
  </si>
  <si>
    <t>EFF total</t>
  </si>
  <si>
    <t>EFF GSB</t>
  </si>
  <si>
    <t>Capacity input (MW)</t>
  </si>
  <si>
    <t>Annual consumption PJ 8000 Full load hours</t>
  </si>
  <si>
    <t>Capacity feedstock (INPUT) (bpd)</t>
  </si>
  <si>
    <t>INVCOST EFF total (MUSD/MW)</t>
  </si>
  <si>
    <t>INVCOST EFF GSB (MUSD/MW)</t>
  </si>
  <si>
    <t>DKK 2020</t>
  </si>
  <si>
    <t>Fixed Costs</t>
  </si>
  <si>
    <t>MUSD/Year</t>
  </si>
  <si>
    <t>Capacity GSB</t>
  </si>
  <si>
    <t>Varible costs</t>
  </si>
  <si>
    <t xml:space="preserve">MUSD/Year </t>
  </si>
  <si>
    <t>USD/MWh</t>
  </si>
  <si>
    <t>DKK/MWh</t>
  </si>
  <si>
    <t>MDKK/MW oil/Year</t>
  </si>
  <si>
    <t>MUSD/MW oil/Year</t>
  </si>
  <si>
    <t>Fixed O&amp;M (M€ /MWH Liquids)</t>
  </si>
  <si>
    <t>Fixed O&amp;M (M€ /MWh FT Liquids)</t>
  </si>
  <si>
    <t>DDGS</t>
  </si>
  <si>
    <t>SUPMOB</t>
  </si>
  <si>
    <t>CO2SINK</t>
  </si>
  <si>
    <t>~FI_Comm</t>
  </si>
  <si>
    <t>Csets</t>
  </si>
  <si>
    <t>CommName</t>
  </si>
  <si>
    <t>CommDesc</t>
  </si>
  <si>
    <t>LimType</t>
  </si>
  <si>
    <t>CTSLvl</t>
  </si>
  <si>
    <t>PeakTS</t>
  </si>
  <si>
    <t>Ctype</t>
  </si>
  <si>
    <t>*Commodity 
Set Membership</t>
  </si>
  <si>
    <t>Commodity Name</t>
  </si>
  <si>
    <t>Commodity 
Description</t>
  </si>
  <si>
    <t>Sense of the Balance EQN.</t>
  </si>
  <si>
    <t>Timeslice Level</t>
  </si>
  <si>
    <t>Peak Monitoring</t>
  </si>
  <si>
    <t>Electricity Indicator</t>
  </si>
  <si>
    <t>NRG</t>
  </si>
  <si>
    <t>Hydrogen from Decentral production</t>
  </si>
  <si>
    <t>Hydrogen from Central production</t>
  </si>
  <si>
    <t>Dummy CO2 capture for internal DAC at PtX facilities</t>
  </si>
  <si>
    <t>Biogas CO2 from upgrading to SNG</t>
  </si>
  <si>
    <t>Start</t>
  </si>
  <si>
    <t>*ILED</t>
  </si>
  <si>
    <t>MEUR/MW</t>
  </si>
  <si>
    <t>Fossil H2 Production</t>
  </si>
  <si>
    <t>*Link</t>
  </si>
  <si>
    <t>https://pdf.sciencedirectassets.com/277910/1-s2.0-S1876610217X00131/1-s2.0-S1876610217317277/main.pdf?X-Amz-Security-Token=IQoJb3JpZ2luX2VjEJD%2F%2F%2F%2F%2F%2F%2F%2F%2F%2FwEaCXVzLWVhc3QtMSJHMEUCIEqV50acNuvN%2BXTOMYUa5ybcbX%2BC2lxKI%2BDACfKMFtKhAiEA48vSJt924h6aYDDIjZiC4j%2BGi0wNlIAAPPBOGJk%2FehgqvQMIif%2F%2F%2F%2F%2F%2F%2F%2F%2F%2FARADGgwwNTkwMDM1NDY4NjUiDNj%2BA7TwsRz6UGE7jyqRA6Jryzk0cHcFQ8gQcNDrrQCLnUAX5Kwg5bGKFQ%2FFSm9FV51nlBhZ3B8D5ggXbyKOVHRT0ZHt%2BK2JdhADQTzHA%2FLrqXcnkO%2BApDWSMABDdQt5dbfJxMyBa3NjekCYFcUlFq%2F1WmZp0Is46hBu9U2GZyDgUGRyJY%2BeaN%2BD%2FGoH81Ydj%2FWIWLPPqicpTJSoQvzCQzUnfmwt38DIHlB3IYSLLyIk7O5GpMl2pztrs9KnYuL3k0e69HRqf3Xjpk74%2BWaALoC8UTXxVUcv0WEX1NhcpsleOC928QTTGo1afVZpBXllzxzf5%2FEt9kfq7SV3cDqKJQuJe%2FqVKO7HGv%2BmSoLjKGh0Kuqb7Jgoebc08b6nEPEkzokVjmXATNLaidDSycAY7%2BhMofYXNti0miWdkOjt18r4bYvNoWVV%2B2ANUX5mU0c4sGK5D5oPj3yvaM5MluMZLFNb7vF7AcPyaujmEmMQj8O83DJkqJnlOy5wybd25yLi8vMhBRsjdBVGkgRBNKp6r1cv6IX5n9HDJim27zQYNUxoMMz6iIEGOusBCgcfpLgnMiRkQ2ATTDo9M%2BHinSgaBpTKQBiV6qU7cUKqszVemsIzPYPP9Lq5N0zTylMqXlJT337dV%2Bd3B1KhUWgzRe%2BxMiNe0Qs92DWT6KqJe3CG0J9Mw%2B0FESyOsxOXZ1sz6h1yv9vHa3Ec5tCBCpfdiZrhAbyu2uEoxzmCTxMw79b53JESGwEUoYfJ0oEM21XOX7d%2BKNFiBJKyMgVOhThE7Dwp5Ds8xUrPWkPuyXFfYggEKmKkva3T5OdLI3kzZSYCo9i5ZMeqn0xu6g5TwXHar%2FQ496hHi26lwHKjNYa5xvg45z11O1NGaA%3D%3D&amp;X-Amz-Algorithm=AWS4-HMAC-SHA256&amp;X-Amz-Date=20210209T084516Z&amp;X-Amz-SignedHeaders=host&amp;X-Amz-Expires=300&amp;X-Amz-Credential=ASIAQ3PHCVTYS6XAQ3J2%2F20210209%2Fus-east-1%2Fs3%2Faws4_request&amp;X-Amz-Signature=0df6cb246482dfe8b99463302724c007d7c600aad93e5fa6256ebb75b4c4c8e8&amp;hash=d74548804f0b043bfa3aa2f2351a3bb9d98be9e4c5fb16c83c7516623a8effbd&amp;host=68042c943591013ac2b2430a89b270f6af2c76d8dfd086a07176afe7c76c2c61&amp;pii=S1876610217317277&amp;tid=spdf-87345629-6a66-450f-b6ba-036061130add&amp;sid=2eddf2848a4c5147159af6174361756e53f0gxrqb&amp;type=client</t>
  </si>
  <si>
    <t>Techno-Economic Evaluation of Deploying CCS in SMR Based Merchant H2 Production with NG as Feedstock and Fuel</t>
  </si>
  <si>
    <t>CGHP</t>
  </si>
  <si>
    <t>Base</t>
  </si>
  <si>
    <t>CCS</t>
  </si>
  <si>
    <t>MEUR/Pja</t>
  </si>
  <si>
    <t>FI_T</t>
  </si>
  <si>
    <t>Fossil H2 Old data</t>
  </si>
  <si>
    <t>Base case</t>
  </si>
  <si>
    <t>Case1</t>
  </si>
  <si>
    <t>Case2</t>
  </si>
  <si>
    <t>Case3</t>
  </si>
  <si>
    <t>NG to Feedstock</t>
  </si>
  <si>
    <t>NG as fuel</t>
  </si>
  <si>
    <t>Energy input</t>
  </si>
  <si>
    <t>MJ/kg</t>
  </si>
  <si>
    <t>Energy output</t>
  </si>
  <si>
    <t>Gross Electricity consumption</t>
  </si>
  <si>
    <t>Net Electricity export to grid</t>
  </si>
  <si>
    <t>kg/h</t>
  </si>
  <si>
    <t>Electricity</t>
  </si>
  <si>
    <t>Specific consumption</t>
  </si>
  <si>
    <t>MJ/Nm3 H2</t>
  </si>
  <si>
    <t>Nm3/h</t>
  </si>
  <si>
    <t>NG to Fuel</t>
  </si>
  <si>
    <t>Total</t>
  </si>
  <si>
    <t>Plant performance</t>
  </si>
  <si>
    <t>Co2 Emissions</t>
  </si>
  <si>
    <t>Kg/Nm3 H2</t>
  </si>
  <si>
    <t>Co2 capture</t>
  </si>
  <si>
    <t>Co2 capture rate</t>
  </si>
  <si>
    <t>CO2 avoided (according to base)</t>
  </si>
  <si>
    <t>Cost</t>
  </si>
  <si>
    <t>MEUR/Year</t>
  </si>
  <si>
    <t>Avaiability factor</t>
  </si>
  <si>
    <t>Feedstock efficiency</t>
  </si>
  <si>
    <t>Fuel input per H2</t>
  </si>
  <si>
    <t>MJ/MJ H2</t>
  </si>
  <si>
    <t>SUPNGAH2CC1N</t>
  </si>
  <si>
    <t>SUPNGA,SUPBGA,SUPSNG,SUPH2</t>
  </si>
  <si>
    <t>PJ/PJ H2 or kt CO2/PJ H2</t>
  </si>
  <si>
    <t>Kt CO2 / PJ H2</t>
  </si>
  <si>
    <t>CO2 capture</t>
  </si>
  <si>
    <t>Electricity Efficiency</t>
  </si>
  <si>
    <t>SUPNGAH2CC2N</t>
  </si>
  <si>
    <t>SUPNGAH2CC3N</t>
  </si>
  <si>
    <t>Steam Reforming NGA Large Central With Carbon Capture 1 54 % CO2 capture</t>
  </si>
  <si>
    <t>Steam Reforming NGA Large Central With Carbon Capture 55 % CO2 capture</t>
  </si>
  <si>
    <t>Steam Reforming NGA Large Central With Carbon Capture 1 90 % CO2 capture</t>
  </si>
  <si>
    <t>INVCOST EFF total (MDKK/MW)</t>
  </si>
  <si>
    <t>Price excluding hydrogen plant</t>
  </si>
  <si>
    <t>Original price</t>
  </si>
  <si>
    <t>Hydrogenplan price'</t>
  </si>
  <si>
    <t>Original Price of catagory 1</t>
  </si>
  <si>
    <t>Original price of catagory 2</t>
  </si>
  <si>
    <t>Gasifier, biomass, Fischer Tropsch liquid fuels, large scale</t>
  </si>
  <si>
    <t>Jet Fuel Output, MWh/MWh Total Input</t>
  </si>
  <si>
    <t>Diesel Output,  MWh/MWh Total Input</t>
  </si>
  <si>
    <t>E, L</t>
  </si>
  <si>
    <t>1, 6, 7, 8, 9</t>
  </si>
  <si>
    <t>Fixed O&amp;M (M€ /MW /year FT Liquids/year)</t>
  </si>
  <si>
    <t>Variable O&amp;M (€ /MWh FT Liquids/year)</t>
  </si>
  <si>
    <t>Start up (M€ /1,000 t FT Liquids/year)</t>
  </si>
  <si>
    <t>Specific energy content (GJ/ton) FT Diesel)</t>
  </si>
  <si>
    <t>Specific investment (M€ /1,000 t FT Liquids/year)</t>
  </si>
  <si>
    <t>Fixed O&amp;M (M€ /1,000 t FT Liquids/year)</t>
  </si>
  <si>
    <t>Variable O&amp;M (M€ /1,000 t FT Liquids/year)</t>
  </si>
  <si>
    <r>
      <t>A.</t>
    </r>
    <r>
      <rPr>
        <sz val="7"/>
        <color rgb="FF000000"/>
        <rFont val="Times New Roman"/>
        <family val="1"/>
      </rPr>
      <t xml:space="preserve">     </t>
    </r>
    <r>
      <rPr>
        <sz val="8"/>
        <color rgb="FF000000"/>
        <rFont val="Arial"/>
        <family val="2"/>
      </rPr>
      <t>The plant size is assumed based on the proposed Velocys plant and the NREL n</t>
    </r>
    <r>
      <rPr>
        <vertAlign val="superscript"/>
        <sz val="8"/>
        <color rgb="FF000000"/>
        <rFont val="Arial"/>
        <family val="2"/>
      </rPr>
      <t>th</t>
    </r>
    <r>
      <rPr>
        <sz val="8"/>
        <color rgb="FF000000"/>
        <rFont val="Arial"/>
        <family val="2"/>
      </rPr>
      <t xml:space="preserve"> plant. </t>
    </r>
  </si>
  <si>
    <t>A1. This value is the hourly rating and has been calculated as if the unit produces at capacity and was in operations 8,000 h/year</t>
  </si>
  <si>
    <r>
      <t>C.</t>
    </r>
    <r>
      <rPr>
        <sz val="7"/>
        <color rgb="FF000000"/>
        <rFont val="Times New Roman"/>
        <family val="1"/>
      </rPr>
      <t xml:space="preserve">     </t>
    </r>
    <r>
      <rPr>
        <sz val="8"/>
        <color rgb="FF000000"/>
        <rFont val="Arial"/>
        <family val="2"/>
      </rPr>
      <t>The feedstock requirements could vary with efforts to improve the desired product selectivity.</t>
    </r>
  </si>
  <si>
    <r>
      <t>D.</t>
    </r>
    <r>
      <rPr>
        <sz val="7"/>
        <color rgb="FF000000"/>
        <rFont val="Times New Roman"/>
        <family val="1"/>
      </rPr>
      <t xml:space="preserve">     </t>
    </r>
    <r>
      <rPr>
        <sz val="8"/>
        <color rgb="FF000000"/>
        <rFont val="Arial"/>
        <family val="2"/>
      </rPr>
      <t>Over time the power available for export may increase due to improve thermal management in the plant.</t>
    </r>
  </si>
  <si>
    <r>
      <t>E.</t>
    </r>
    <r>
      <rPr>
        <sz val="7"/>
        <color theme="1"/>
        <rFont val="Times New Roman"/>
        <family val="1"/>
      </rPr>
      <t xml:space="preserve">     </t>
    </r>
    <r>
      <rPr>
        <sz val="8"/>
        <color theme="1"/>
        <rFont val="Arial"/>
        <family val="2"/>
      </rPr>
      <t>There is a wide range of reported capital costs for the existing plants and a wide range in the cost of future plants.</t>
    </r>
  </si>
  <si>
    <r>
      <t>F.</t>
    </r>
    <r>
      <rPr>
        <sz val="7"/>
        <color theme="1"/>
        <rFont val="Times New Roman"/>
        <family val="1"/>
      </rPr>
      <t xml:space="preserve">     </t>
    </r>
    <r>
      <rPr>
        <sz val="8"/>
        <color theme="1"/>
        <rFont val="Arial"/>
        <family val="2"/>
      </rPr>
      <t>Start-up costs are included in the operating costs.</t>
    </r>
  </si>
  <si>
    <t xml:space="preserve">[1]     Tan, E. C. D., Snowden-Swan, L. J., Talmadge, M., Dutta, A., Jones, S., Ramasamy, K. K., Gray, M., Dagle, R., Padmaperuma, A., Gerber, M., Sahir, A. H., Tao, L. and Zhang, Y. 2017. Comparative techno-economic analysis and process design for indirect liquefaction pathways to distillate-range fuels via biomass-derived oxygenated intermediates upgrading. Biofuels, Bioprod. Bioref., 11: 41–66. https://www.doi.org/10.1002/bbb.1710 </t>
  </si>
  <si>
    <t xml:space="preserve">[2]     Kreutz, T., Larson, E., Liu, G., Williams, R. 2008. Fischer-Tropsch Fuels from Coal and Biomass. 25th Annual International Pittsburgh Coal Conference. http://acee.princeton.edu/wp-content/uploads/2016/10/Kreutz-et-al-PCC-2008-10-7-08.pdf </t>
  </si>
  <si>
    <t xml:space="preserve">[3]     Baliban, R., Elia, J., Floudas, C., Gurau, B., Weingarten, M., and Klotz, S. 2013. Hardwood Biomass to Gasoline, Diesel, and Jet Fuel: 1. Process Synthesis and Global Optimization of a Thermochemical Refinery. Energy &amp; Fuels 2013 27 (8), 4302-4324. https://www.doi.org/10.1021/ef302003f    </t>
  </si>
  <si>
    <t xml:space="preserve">[4]     Sikarwar, V., Zhao, M., Clough, P., Yao, J., Zhong, X., Memon, Shah, M., Anthony, E., and Fennell, P. 2016. An overview of advances in biomass gasification. Energy Environ. Sci. 2016, 9, 2939. https://doi.org/10.1039/C6EE00935B </t>
  </si>
  <si>
    <t xml:space="preserve">[5]     Molino, A., Chianese, S., Musmarra, D. 2016. Biomass gasification technology: The state of the art overview, In Journal of Energy Chemistry, Volume 25, Issue 1, 2016, Pages 10-25, ISSN 2095-4956, https://doi.org/10.1016/j.jechem.2015.11.005 </t>
  </si>
  <si>
    <t xml:space="preserve">[6]     Velocys. 2017. The biomass-to-liquids process. http://www.velocys.com/our-biorefineries/ </t>
  </si>
  <si>
    <t xml:space="preserve">[7]     Chandra, P.K. &amp; Payne, Fred. 1986. Turndown Ratio of a Gasifier-Combustor Predicted by a Simulation Model. Transactions of the ASAE. 29. 1748-1753. https://doi.org/10.13031/2013.30383. </t>
  </si>
  <si>
    <t>[8]     Danish Energy Agency. 2017. Energy Statistics 2015. https://ens.dk/sites/ens.dk/files/Statistik/energy_statistics_2015.pdf</t>
  </si>
  <si>
    <t xml:space="preserve">[9]     Li X, Rubæk GH, Müller-Stöver DS, Thomsen TP, Ahrenfeldt J and Sørensen P. 2017. Plant Availability of Phosphorus in Five Gasification Biochars. Front. Sustain. Food Syst. 1:2. https://www.doi.org/10.3389/fsufs.2017.00002   </t>
  </si>
  <si>
    <t xml:space="preserve">[10] Velocys. 2017. Establishment of a strategic alliance with TRI. http://www.velocys.com/establishment-of-a-strategic-alliance-with-tri/ </t>
  </si>
  <si>
    <t xml:space="preserve">[11] Velocys. 2017. Velocys plans for the construction of a commercial BTL plant move forward. https://biorrefineria.blogspot.ca/2017/06/velocys-plans-for-construction-of-commercial-BTL-plant-move-forward.html </t>
  </si>
  <si>
    <t xml:space="preserve">[12] Tijm, P. 1994. Shell Middle Distillate Synthesis: The Process, The Plant, The Products. http://web.anl.gov/PCS/acsfuel/preprint%20archive/Files/39_4_WASHINGTON%20DC_08-94_1146.pdf </t>
  </si>
  <si>
    <t>[13] van der Laan, P. 1999. Kinetics, Selectivity and Scale Up of the Fischer-Tropsch Synthesis. http://www.adktroutguide.com/files/1999_Phd_Thesis_-_Kinetics_Selectivity_and_Scaleup_of_FT_Synthesis.pdf</t>
  </si>
  <si>
    <t xml:space="preserve">[14] Industrial Equipment News. 2017. Mississippi Lands Biofuel Refinery. https://www.ien.com/operations/news/20980331/mississippi-lands-biofuel-refinery </t>
  </si>
  <si>
    <t xml:space="preserve">[17] de Jong, S., Hoefnagels, R., Faaij, A., Slade, R., Mawhood, R. and Junginger, M. 2015. The feasibility of short-term production strategies for renewable jet fuels – a comprehensive techno-economic comparison. Biofuels, Bioprod. Bioref., 9: 778–800. https://www.doi.org/10.1002/bbb.1613   </t>
  </si>
  <si>
    <t>Hydrogen production via alkaline electrolysis (AEC) for 1MW plant</t>
  </si>
  <si>
    <t>Typical total plant size (MW input_e)</t>
  </si>
  <si>
    <t>Typical total plant size (kgH2 / day of max output)</t>
  </si>
  <si>
    <t>L, E</t>
  </si>
  <si>
    <t>Electricity (% total input (MWh / MWh))</t>
  </si>
  <si>
    <t>Water for electrolysis (kg / MWh input_e)</t>
  </si>
  <si>
    <t>Hydrogen (% total input_e (MWh / MWh))</t>
  </si>
  <si>
    <t>[24]</t>
  </si>
  <si>
    <t>ΔE from HHV to LHV (% total input_e (MWh / MWh))</t>
  </si>
  <si>
    <t>Heat loss (% total input_e (MWh / MWh))</t>
  </si>
  <si>
    <t xml:space="preserve"> - hereof unrecoverable heat loss (%-points of heat loss)</t>
  </si>
  <si>
    <t xml:space="preserve"> - hereof recoverable for district heating (%-points of heat loss)</t>
  </si>
  <si>
    <t>Hydrogen (kg / MWh input_e)</t>
  </si>
  <si>
    <t>[27]</t>
  </si>
  <si>
    <t>C, O</t>
  </si>
  <si>
    <t xml:space="preserve">Financial data (2020 price level)                                 </t>
  </si>
  <si>
    <t>Specific investment (€ / kW of total input_e)</t>
  </si>
  <si>
    <t>D, I</t>
  </si>
  <si>
    <t>Specific investment (€ / kgH2 / day of max output)</t>
  </si>
  <si>
    <t>E, I, L</t>
  </si>
  <si>
    <t xml:space="preserve">Fixed O&amp;M (% of specific investment / year) </t>
  </si>
  <si>
    <t>G, I, J</t>
  </si>
  <si>
    <t>[26]</t>
  </si>
  <si>
    <t>Variable O&amp;M (€ / kWh of total input)</t>
  </si>
  <si>
    <t>Startup cost (€ / kW of total input per startup)</t>
  </si>
  <si>
    <r>
      <t>Current Density (A / cm</t>
    </r>
    <r>
      <rPr>
        <vertAlign val="superscript"/>
        <sz val="8"/>
        <rFont val="Arial"/>
        <family val="2"/>
      </rPr>
      <t>2</t>
    </r>
    <r>
      <rPr>
        <sz val="8"/>
        <rFont val="Arial"/>
        <family val="2"/>
      </rPr>
      <t>)</t>
    </r>
  </si>
  <si>
    <t>[21]</t>
  </si>
  <si>
    <r>
      <t>Footprint (m</t>
    </r>
    <r>
      <rPr>
        <vertAlign val="superscript"/>
        <sz val="8"/>
        <rFont val="Arial"/>
        <family val="2"/>
      </rPr>
      <t>2</t>
    </r>
    <r>
      <rPr>
        <vertAlign val="superscript"/>
        <sz val="10"/>
        <rFont val="Arial"/>
        <family val="2"/>
      </rPr>
      <t xml:space="preserve"> </t>
    </r>
    <r>
      <rPr>
        <sz val="10"/>
        <rFont val="Arial"/>
        <family val="2"/>
      </rPr>
      <t>/ MW input_e</t>
    </r>
    <r>
      <rPr>
        <sz val="8"/>
        <rFont val="Arial"/>
        <family val="2"/>
      </rPr>
      <t>)</t>
    </r>
  </si>
  <si>
    <t xml:space="preserve"> - of which proces electricity</t>
  </si>
  <si>
    <t>A, E</t>
  </si>
  <si>
    <t>8/13</t>
  </si>
  <si>
    <t>5% of the energy is estimated to be unrecoverable for small plants.</t>
  </si>
  <si>
    <t>Values are from Table 5 in IEA [24], Today is understood as 2020, Long-term is understood as 2050 and the value selected is the mid of the range given.</t>
  </si>
  <si>
    <t>According to the Green Hydrogen Systems (GHS).</t>
  </si>
  <si>
    <t>The price estimates are from Green Hydrogen Systems.</t>
  </si>
  <si>
    <t>For the unit regarding "day" a 100% load factor is assummed here (Where the system is operated at nominal capacity all 24 hours of the day). In operation the daily fullload hours may vary and should therefore be adjusted for.</t>
  </si>
  <si>
    <t>These are rough estimates based on operational AEC systems as provided by GHS.</t>
  </si>
  <si>
    <t>O&amp;M is estimated as 5% of CAPEX for small systems. According to the 2-5% given for large to small scale systems from [26].</t>
  </si>
  <si>
    <t>The values are predicted until 2050 with a high margin of uncertainty. For 2030, the values are quite reasonable according to GHS.</t>
  </si>
  <si>
    <t>The CAPEX includes all components required for converting 400VAC electricity and purified water into H2 gas at 35 bar and a waste heat stream at 50 °C. CAPEX does not include transformer, water purifier, heat pumps for increasing the temperature of waste heat stream or compressors for increasing the pressure of H2 further than 35 bar. The tariffs, capacity payments and network connection fees to DSO / TSO are not contained in CAPEX nor in O&amp;M</t>
  </si>
  <si>
    <t>The lifetime of current AEC stacks is more than 100 000 hours according to Green Hydrogen Systems. Assuming that the facility is run for 4000h pr year, the stacks do not need replacement in the technical lifetime. If the full load hours exceed the 100 000h lifetime, then the stack replacement cost will be 30% of the CAPEX cost of a new system in the year of replacement. Everfuel gives a stack replacement of 30% of CAPEX and GHS informs that 30% of current CAPEX is stack cost. The cost of replacing the stack is not included in fixed O&amp;M.</t>
  </si>
  <si>
    <t>50 °C (expected to increase to 70°C, by 2024)</t>
  </si>
  <si>
    <t>Maximum hydrogen output per day, assuming 24 hours of full load operation in a day.</t>
  </si>
  <si>
    <t>The price of the input streams (water and electric energy), has not been estimated.</t>
  </si>
  <si>
    <t>The HHV electorlyser efficiency can be calculated as the sum of the rows: "ΔE from HHV to LHV" and "Hydrogen".</t>
  </si>
  <si>
    <t>O</t>
  </si>
  <si>
    <t>From the time of purchase to finished construction</t>
  </si>
  <si>
    <t>H. Europe, “Strategic research and innovation agenda for lightweight,” no. July, p. 157, 2020.</t>
  </si>
  <si>
    <t>Green Hydrogen Systems, “HyProvide TM A-Series.”</t>
  </si>
  <si>
    <t>“The Future of Hydrogen,” Futur. Hydrog., no. June, 2019, doi: 10.1787/1e0514c4-en.</t>
  </si>
  <si>
    <t>“Development of Water Electrolysis in the European Union | www.fch.europa.eu.” https://www.fch.europa.eu/node/783 (accessed Dec. 17, 2020).</t>
  </si>
  <si>
    <t>J. Ivy, “Summary of electrolytic hydrogen production,” Small, no. September, p. 27, 2004, [Online]. Available: http://www.nrel.gov/docs/fy04osti/35948.pdf.</t>
  </si>
  <si>
    <t>Hydrogen production via alkaline electrolysis (AEC) for 100MW plant</t>
  </si>
  <si>
    <t xml:space="preserve">Financial data (2020 price level)                                </t>
  </si>
  <si>
    <t>3% of the energy is estimated to be unrecoverable for large plants.</t>
  </si>
  <si>
    <t>According to the Green Hydrogen Systems.</t>
  </si>
  <si>
    <t>CAPEX values from interviews with GHS, Everfuel and NEL and reports from IEA [24], HyEurope [21] and IRENA [24]. The values in the datasheet correspond to a fitted curve see figure 6 in the catalogue. For IEA today is taken to be 2020, Long term is taken to be 2050 and values is the middle of the range given.</t>
  </si>
  <si>
    <t>For the unit regarding "day" a 100% load factor is assummed here (Where the system is operated at nominal capacity all 24 hours of the day). In operation the daily fullload hours may vary and should therefor be adjusted for.</t>
  </si>
  <si>
    <t>These are rough estimates based on operational AEC systems as provided by the Green Hydrogen Systems.</t>
  </si>
  <si>
    <t>O&amp;M is estimated as 2% of CAPEX for large systems. According to the 2-5% given for large to small scale systems from [26].</t>
  </si>
  <si>
    <t>The values are predicted until 2050 with a high margin of uncertainty.</t>
  </si>
  <si>
    <t>Hydrogen production via PEM electrolysis for 1MW plant</t>
  </si>
  <si>
    <t>CAPEX values from interviews with GHS and Siemens and reports from IEA [24], HyEurope [21] and IRENA [24]. The values in the datasheet correspond to a fitted curve see figure 6 in the catalogue. For IEA today is taken to be 2020, Long term is taken to be 2050 and values is the middle of the range given.</t>
  </si>
  <si>
    <t>These are rough estimates based on existing systems according to GHS.</t>
  </si>
  <si>
    <t>O&amp;M is estimated as 7% of CAPEX. 5%-point is for small systems, according to the 2-5% given for large to small scale systems from [26]. 2%-points is the estimated stack replacement cost. Everfuel and GHS reports that the 30% of CAPEX is stack cost. At about 4000 full load hours per year, stacks are likely to be replaced twice during the technical lifetime.</t>
  </si>
  <si>
    <t>This value is fixed due to no increase in research in increasing the pressure of PEMEC systems.</t>
  </si>
  <si>
    <t>The lifetime of current PEMEC stacks is more than 25000 hours and in the future it could be more than 50000 hours according to Green Hydrogen Systems.</t>
  </si>
  <si>
    <t>Hydrogen production via PEM electrolysis for 100MW plant</t>
  </si>
  <si>
    <t>O&amp;M is estimated as 4% of CAPEX. 2%-point is for small systems, according to the 2-5% given for large to small scale systems from [26]. 2%-points is the estimated stack replacement cost. Everfuel and GHS reports that the 30% of CAPEX is stack cost. At about 4000 full load hours per year, stacks are likely to be replaced twice during the technical lifetime.</t>
  </si>
  <si>
    <t>Hydrogen production via solid oxide electrolysis (SOEC) for 1MW plant</t>
  </si>
  <si>
    <t>Heat (% total input (MWh / MWh))</t>
  </si>
  <si>
    <t>Water for electrolysis (kg / MWh input)</t>
  </si>
  <si>
    <t>B, D</t>
  </si>
  <si>
    <t>ΔE from HHV to LHV (% total input (MWh / MWh))</t>
  </si>
  <si>
    <t>Heat loss (% total input (MWh / MWh))</t>
  </si>
  <si>
    <t>Hydrogen (kg / MWh input)</t>
  </si>
  <si>
    <t>Construction time (months)</t>
  </si>
  <si>
    <t>D, G, E</t>
  </si>
  <si>
    <t>E, G, I</t>
  </si>
  <si>
    <t>Input from Haldor Topsoe</t>
  </si>
  <si>
    <t>The efficiencies are assumed to be system efficiencies. IEA gives the values as electric efficiencies, however the references of IEA gives both system efficiencies and electric efficiencies. See for instance Buttler and Spliethoff (2018), "Current status of water electrolysis for energy storage, grid balancing and
sector coupling via power-to-gas and power-to-liquids: A review". This assumption adds significant uncertainty to these values. However no good alternative was found.</t>
  </si>
  <si>
    <t>Values are from Table 5 in IEA [24], Today is understood as 2020, Long-term is understood as 2050 and the value selected is the mid of the range given. For conversion a conversion of 0.85€/$ was used.</t>
  </si>
  <si>
    <t>O&amp;M is estimated as 12% of CAPEX. 5%-point is for small systems, according to the 2-5% given for large to small scale systems from [26]. 7%-points is the estimated stack replacement cost. Ceres Power gives a stack replacement cost of 20% of CAPEX. At about 6000 full load hours per year, stacks are likely to be replaced every three and a third years.</t>
  </si>
  <si>
    <t>The price of the input streams (steam and electric energy), has not been estimated.</t>
  </si>
  <si>
    <t>The CAPEX includes all components required for converting 400VAC electricity and purified water into H2 gas at 35 bar. CAPEX does not include transformer, water purifier or compressors for increasing the pressure of H2 further than 35 bar. The tariffs, capacity payments and network connection fees to DSO / TSO are not contained in CAPEX nor in O&amp;M</t>
  </si>
  <si>
    <t>The lifetime of current SOEC stacks is about 20000 hours and is expected to increase in the future [24], and is expected to increase in the future</t>
  </si>
  <si>
    <t>Green Ammonia plant (excl. electrolyzer and excl. ASU)</t>
  </si>
  <si>
    <r>
      <t>Typical total plant size</t>
    </r>
    <r>
      <rPr>
        <sz val="8"/>
        <rFont val="Calibri"/>
        <family val="2"/>
        <scheme val="minor"/>
      </rPr>
      <t>, TPD</t>
    </r>
  </si>
  <si>
    <t>Typical total plant size, MW (Ammonia output)</t>
  </si>
  <si>
    <t>N2 Consumption, t/t Ammonia</t>
  </si>
  <si>
    <t>Hydrogen Consumption, t/t Ammonia</t>
  </si>
  <si>
    <r>
      <t xml:space="preserve">Ammonia Output, MWh/MWh </t>
    </r>
    <r>
      <rPr>
        <sz val="8"/>
        <rFont val="Calibri"/>
        <family val="2"/>
        <scheme val="minor"/>
      </rPr>
      <t xml:space="preserve">total </t>
    </r>
    <r>
      <rPr>
        <sz val="8"/>
        <color theme="1"/>
        <rFont val="Calibri"/>
        <family val="2"/>
        <scheme val="minor"/>
      </rPr>
      <t>Input</t>
    </r>
  </si>
  <si>
    <t>High value heat MWh/MWh total input</t>
  </si>
  <si>
    <t>Forced outage (%), unplanned shutdown</t>
  </si>
  <si>
    <t>Operation capacity</t>
  </si>
  <si>
    <t>20-100%</t>
  </si>
  <si>
    <t>Specific investment (M€ /MW Ammonia output)</t>
  </si>
  <si>
    <t>F, I, J</t>
  </si>
  <si>
    <t>Fixed O&amp;M (k€/MW Ammonia/year)</t>
  </si>
  <si>
    <t>Variable O&amp;M (€/MWh Ammonia)</t>
  </si>
  <si>
    <t>Start up (M€ /1,000 t Ammonia)</t>
  </si>
  <si>
    <t>N.A.</t>
  </si>
  <si>
    <t>Specific investment mark-up factor optional ASU</t>
  </si>
  <si>
    <t>Specific energy content (GJ/ton Ammonia)</t>
  </si>
  <si>
    <r>
      <t xml:space="preserve">Specific density  (kg/l) or (ton/m3) </t>
    </r>
    <r>
      <rPr>
        <sz val="8"/>
        <rFont val="Calibri"/>
        <family val="2"/>
        <scheme val="minor"/>
      </rPr>
      <t>Ammonia</t>
    </r>
  </si>
  <si>
    <t>Specific investment (M€ /TPD Ammonia output)</t>
  </si>
  <si>
    <t>F, I</t>
  </si>
  <si>
    <t>Fixed O&amp;M (M€ /TPD Ammonia)</t>
  </si>
  <si>
    <t>Variable O&amp;M (€ /t Ammonia)</t>
  </si>
  <si>
    <t>Start up (M€ /TPD Ammonia)</t>
  </si>
  <si>
    <t>A: Typical NH₃ plant size based on H2 supply from 100 MWe electrolyzer for 2020.</t>
  </si>
  <si>
    <t>B: Assume 98% efficiency with respect to mass of the ammonia synthesis</t>
  </si>
  <si>
    <t>C: Assumption of higher pressure electrolysis available in the future, requiring lower compression power. A green ammonia plant that contains a dedicated ASU for nitrogen production will have additional power requirements, cf. chapter 3.3</t>
  </si>
  <si>
    <t>D: Steam at up to 350°C may be produced by NH₃ synthesis</t>
  </si>
  <si>
    <r>
      <t xml:space="preserve">E: Heat available at </t>
    </r>
    <r>
      <rPr>
        <sz val="8"/>
        <rFont val="Arial"/>
        <family val="2"/>
      </rPr>
      <t>30-60</t>
    </r>
    <r>
      <rPr>
        <sz val="8"/>
        <color theme="1"/>
        <rFont val="Arial"/>
        <family val="2"/>
      </rPr>
      <t>°C and requires heat pump for use for district heating.</t>
    </r>
  </si>
  <si>
    <t>F: Specific investment of green NH₃ plant (excl. electrolysis, excl. ASU, NH₃ storage and utilities) is estimated as 54% of conventional NH₃ plant based on NG. Cost is decreasing with time mainly because of scale effect (increasing plant size). To add the cost of an ASU a multiplication factor of 1.06-1.09 should be applied to the total Specific Investment (both entries in Financial Data and Technology-specific data) as a rule of thumb.</t>
  </si>
  <si>
    <t>G: Fixed O&amp;M is taken as 3% of CAPEX</t>
  </si>
  <si>
    <t>H: Variable O&amp;M estimated as cost for catalyst replacement and misc. consumables</t>
  </si>
  <si>
    <t>I: Financial data is given in 2015-€ as in the other datasheets (and in contrast to Figure 9-2, which is showing the corresponding cost in 2019-€)</t>
  </si>
  <si>
    <t>J: Cost projection is considering economy of scale only and does not consider further technical development, due to the maturity of ammonia synthesis. In case capacities are expected for other years than shown in the datasheet, one should use the corresponding cost data of the respective capacity instead of the cost data for a given year. See also Figure 16 in the chapter.</t>
  </si>
  <si>
    <t>[1]    Based on calculated mass and energy balance</t>
  </si>
  <si>
    <t>[2]    Based on normal operation ranges for instrumentations and rotating equipment. Lower capacity range is possible but it is normally expensive as spare insturmentation and rotating equipment is required</t>
  </si>
  <si>
    <t>[3]    Based on collected data, i.e. based on several sources, as specified in the qualitative section</t>
  </si>
  <si>
    <t>Moving-bed Methane Decomposition (MBR)</t>
  </si>
  <si>
    <t>N/A</t>
  </si>
  <si>
    <t>A, G, H, I</t>
  </si>
  <si>
    <r>
      <t>Typical total plant size (MW H</t>
    </r>
    <r>
      <rPr>
        <vertAlign val="subscript"/>
        <sz val="8"/>
        <color rgb="FF000000"/>
        <rFont val="Arial"/>
        <family val="2"/>
      </rPr>
      <t>2</t>
    </r>
    <r>
      <rPr>
        <sz val="8"/>
        <color rgb="FF000000"/>
        <rFont val="Arial"/>
        <family val="2"/>
      </rPr>
      <t xml:space="preserve"> output)</t>
    </r>
  </si>
  <si>
    <t>A, F, G</t>
  </si>
  <si>
    <r>
      <t>Typical total plant size (kg H</t>
    </r>
    <r>
      <rPr>
        <vertAlign val="subscript"/>
        <sz val="8"/>
        <color rgb="FF000000"/>
        <rFont val="Arial"/>
        <family val="2"/>
      </rPr>
      <t>2</t>
    </r>
    <r>
      <rPr>
        <sz val="8"/>
        <color rgb="FF000000"/>
        <rFont val="Arial"/>
        <family val="2"/>
      </rPr>
      <t>/day output)</t>
    </r>
  </si>
  <si>
    <t>12000 </t>
  </si>
  <si>
    <t> 42000</t>
  </si>
  <si>
    <t>A, E, G, K</t>
  </si>
  <si>
    <r>
      <t>- Inputs</t>
    </r>
    <r>
      <rPr>
        <sz val="8"/>
        <color rgb="FF000000"/>
        <rFont val="Calibri"/>
        <family val="2"/>
        <scheme val="minor"/>
      </rPr>
      <t>   </t>
    </r>
  </si>
  <si>
    <t>Natural Gas (% total input(MWh/MWh))</t>
  </si>
  <si>
    <t>A, G, H</t>
  </si>
  <si>
    <t>Electricity (% total input(MWh/MWh))</t>
  </si>
  <si>
    <t>A, G</t>
  </si>
  <si>
    <t>Hydrogen Gas (% total input (MWh/MWh))</t>
  </si>
  <si>
    <t>Carbon Black (% total input (MWh/MWh))</t>
  </si>
  <si>
    <t>A, G, N</t>
  </si>
  <si>
    <t>Methane (% total input (MWh/MWh))</t>
  </si>
  <si>
    <t>A, G, H, M</t>
  </si>
  <si>
    <t>Recovered Heat (% total input (MWh/MWh))</t>
  </si>
  <si>
    <t>Heat loss (% total input (MWh/MWh))</t>
  </si>
  <si>
    <t>A, C, D, G</t>
  </si>
  <si>
    <t> [6]</t>
  </si>
  <si>
    <t>A, D,G</t>
  </si>
  <si>
    <t xml:space="preserve">Financial data (2015)                                 </t>
  </si>
  <si>
    <r>
      <t>Specific investment (M€/MW of total H</t>
    </r>
    <r>
      <rPr>
        <vertAlign val="subscript"/>
        <sz val="8"/>
        <color rgb="FF000000"/>
        <rFont val="Arial"/>
        <family val="2"/>
      </rPr>
      <t>2</t>
    </r>
    <r>
      <rPr>
        <sz val="8"/>
        <color rgb="FF000000"/>
        <rFont val="Arial"/>
        <family val="2"/>
      </rPr>
      <t xml:space="preserve"> output)</t>
    </r>
  </si>
  <si>
    <t>A, B, F, G, J, K</t>
  </si>
  <si>
    <t>[1], [3]</t>
  </si>
  <si>
    <t>55 </t>
  </si>
  <si>
    <r>
      <t>Fixed O&amp;M (€ / MW of total H</t>
    </r>
    <r>
      <rPr>
        <vertAlign val="subscript"/>
        <sz val="8"/>
        <color rgb="FF000000"/>
        <rFont val="Arial"/>
        <family val="2"/>
      </rPr>
      <t>2</t>
    </r>
    <r>
      <rPr>
        <sz val="8"/>
        <color rgb="FF000000"/>
        <rFont val="Arial"/>
        <family val="2"/>
      </rPr>
      <t xml:space="preserve"> output)</t>
    </r>
  </si>
  <si>
    <t>A, B, G</t>
  </si>
  <si>
    <r>
      <t>Variable O&amp;M (€ / MWh of total H</t>
    </r>
    <r>
      <rPr>
        <vertAlign val="subscript"/>
        <sz val="8"/>
        <color rgb="FF000000"/>
        <rFont val="Arial"/>
        <family val="2"/>
      </rPr>
      <t xml:space="preserve">2 </t>
    </r>
    <r>
      <rPr>
        <sz val="8"/>
        <color rgb="FF000000"/>
        <rFont val="Arial"/>
        <family val="2"/>
      </rPr>
      <t>output)</t>
    </r>
  </si>
  <si>
    <t>A, G, L</t>
  </si>
  <si>
    <r>
      <t>Startup cost (€ / MW of total H</t>
    </r>
    <r>
      <rPr>
        <vertAlign val="subscript"/>
        <sz val="8"/>
        <color rgb="FF000000"/>
        <rFont val="Arial"/>
        <family val="2"/>
      </rPr>
      <t>2</t>
    </r>
    <r>
      <rPr>
        <sz val="8"/>
        <color rgb="FF000000"/>
        <rFont val="Arial"/>
        <family val="2"/>
      </rPr>
      <t xml:space="preserve"> output)</t>
    </r>
  </si>
  <si>
    <t> Methane conversion (%)</t>
  </si>
  <si>
    <t>A, G, M</t>
  </si>
  <si>
    <t>The technology is not available in 2020.</t>
  </si>
  <si>
    <t xml:space="preserve">The cost estimate is highly dependent on the materialization of the pilot plants currently being built and their performance. If reaching a mature technology level by 2030, it is expected that some cost reduction will occur in the coming years, but the level of cost reduction is uncertain. </t>
  </si>
  <si>
    <t>The planned outages might be higher than stated in the early stages of the technology development.</t>
  </si>
  <si>
    <t>The estimate is based on previous engineering experience.</t>
  </si>
  <si>
    <t>The value is an average of published bandwidth values.</t>
  </si>
  <si>
    <t>The Lower Heating Value (LHV) of the hydrogen used is 120 MJ/kg.</t>
  </si>
  <si>
    <t>The projected values for 2040 and 2050 are assumed based on a 10% change over time. This is due to potential improvements in the efficiency of the process, optimization of the operation of the technology, and reduction in the prices of material/equipment/inputs.</t>
  </si>
  <si>
    <t>Total input of electricity and methane energy converted through methane LHV of 50.0 MJ/kg.</t>
  </si>
  <si>
    <t>Plant size based on input is a combination of methane consumption and electricity input.</t>
  </si>
  <si>
    <t xml:space="preserve">The investment cost includes the process units and associated equipment needed to start up the plant. It does not include peripheral equipment such as buildings (e.g. control rooms) or electrical interfaces. </t>
  </si>
  <si>
    <t>The techno-economic analysis for both investment and sizing is based on theoretical conversion models coupled with actual energy and material costs at the time of the analysis.</t>
  </si>
  <si>
    <t>The variable O&amp;M is calculated to be similar to SMR technology excluding the cost of natural gas input and carbon tax. What is included is process cooling costs and general wear and tear.</t>
  </si>
  <si>
    <t>Unconverted methane is recycled to prevent methane slip.</t>
  </si>
  <si>
    <t>The Lower Heating Value (LHV) of the carbon black used is 28.0 MJ/kg.</t>
  </si>
  <si>
    <t>Brett Parkinson, J. W. (2017). Techno‐Economic Analysis of Methane Pyrolysis in Molten Metals: Decarbonizing Natural Gas. Chemical Engineering Technology, 1022-1030.</t>
  </si>
  <si>
    <t>Gaudernack, B., &amp; Lynum, S. (1998). Hydrogen from natural gas without release of CO2 to the atmosphere. Hydrogen Energy, 1087-1093.</t>
  </si>
  <si>
    <t>Tiina Keipi a, V. H. (2016). Techno-economic analysis of four concepts for thermal decomposition of methane: Reduction of CO2 emissions in natural gas combustion. Energy Conversion and Management, 1-12.</t>
  </si>
  <si>
    <t>N. Z. Muradov, Thermocatalytic CO2‐Free Production of Hydrogen from Hydrocarbon Fuels, Technical Report, No. DE‐FC36‐99GO10456, U.S. Department of Energy, Oak Ridge, TN 2004.</t>
  </si>
  <si>
    <t>Plasma-assisted Methane Decomposition (Plasma)</t>
  </si>
  <si>
    <r>
      <t>N/A</t>
    </r>
    <r>
      <rPr>
        <sz val="8"/>
        <color theme="1"/>
        <rFont val="Calibri"/>
        <family val="2"/>
        <scheme val="minor"/>
      </rPr>
      <t>  </t>
    </r>
  </si>
  <si>
    <t xml:space="preserve">Financial data (2015)                                </t>
  </si>
  <si>
    <t>A, B, E, F, G, J, K</t>
  </si>
  <si>
    <t>A, L, G</t>
  </si>
  <si>
    <t>TJ</t>
  </si>
  <si>
    <t>t CO2e</t>
  </si>
  <si>
    <t>t CH4 loss</t>
  </si>
  <si>
    <t>loss from natural gas</t>
  </si>
  <si>
    <t>High estimate</t>
  </si>
  <si>
    <t>Distribution losses reported</t>
  </si>
  <si>
    <t>Danish energy agency Technology catalogue hydrogen to ammonia 103</t>
  </si>
  <si>
    <t>M€ /MW</t>
  </si>
  <si>
    <t>€ /PJ</t>
  </si>
  <si>
    <t>SUPELCAMM02</t>
  </si>
  <si>
    <t>SUPELCAMM03</t>
  </si>
  <si>
    <t>Ammonia (liquid) by electrolysis technology - Central</t>
  </si>
  <si>
    <t>Ammonia (liquid) by electrolysis technology - Decentral</t>
  </si>
  <si>
    <t>Ammonia (liquid) by electrolysis technology - Rural</t>
  </si>
  <si>
    <t>\I: Identifier</t>
  </si>
  <si>
    <t>Alkaline Electrolyzer Cell Centralized</t>
  </si>
  <si>
    <t>Alkaline Electrolyzer Cell Decentralized</t>
  </si>
  <si>
    <t>Alkaline Electrolyzer Cell Rural</t>
  </si>
  <si>
    <t>Technology Data for Renewable Fuels april 2021</t>
  </si>
  <si>
    <t>PEM Electrolyzer Cell Rural</t>
  </si>
  <si>
    <t>SUPH2ALKC1N</t>
  </si>
  <si>
    <t>SUPHEALKD1N</t>
  </si>
  <si>
    <t>SUPH2ALKR1N</t>
  </si>
  <si>
    <t>SUPH2ALKC2N</t>
  </si>
  <si>
    <t>SUPH2ALKD2N</t>
  </si>
  <si>
    <t>SUPH2ALKR2N</t>
  </si>
  <si>
    <t>SUPH2PEMC1N</t>
  </si>
  <si>
    <t>SUPH2PEMD1N</t>
  </si>
  <si>
    <t>SUPH2PEMR1N</t>
  </si>
  <si>
    <t>SUPH2PEMC2N</t>
  </si>
  <si>
    <t>SUPH2PEMD2N</t>
  </si>
  <si>
    <t>SUPH2PEMR2N</t>
  </si>
  <si>
    <t>SOEC Electrolyzer Cell Centralized</t>
  </si>
  <si>
    <t>SOEC Electrolyzer Cell Decentralized</t>
  </si>
  <si>
    <t>SOEC Electrolyzer Cell Rural</t>
  </si>
  <si>
    <t>SUPH2SOER2N</t>
  </si>
  <si>
    <t>SUPH2SOED2N</t>
  </si>
  <si>
    <t>SUPH2SOEC2N</t>
  </si>
  <si>
    <t>Final electrofuel production, not including raw hydrogen production</t>
  </si>
  <si>
    <t>NGA</t>
  </si>
  <si>
    <t>FLO_EMIS~CO2STO</t>
  </si>
  <si>
    <t>Fossil hydrogen production, SMR included below, this is not included as we do not know how black carbon can be utilised or stored</t>
  </si>
  <si>
    <t>Biofuel and hydrogen enhanved biofuel production</t>
  </si>
  <si>
    <t>KRB2</t>
  </si>
  <si>
    <t>SUPNGA,SUPSNG,SUPH2</t>
  </si>
  <si>
    <t>SUPCRB</t>
  </si>
  <si>
    <t>CRB</t>
  </si>
  <si>
    <t>SUPWCH,SUPCRN</t>
  </si>
  <si>
    <t>SYN</t>
  </si>
  <si>
    <t>Need to insert skyclean technology</t>
  </si>
  <si>
    <t>kt/MWh</t>
  </si>
  <si>
    <t>kr/GJ</t>
  </si>
  <si>
    <t>Share-I~LO</t>
  </si>
  <si>
    <t>t Glycerin</t>
  </si>
  <si>
    <t>GJ</t>
  </si>
  <si>
    <t>GJ input</t>
  </si>
  <si>
    <t>SUPCRN,SUPSGB</t>
  </si>
  <si>
    <t>T CO2/t L</t>
  </si>
  <si>
    <t>GJ/t L</t>
  </si>
  <si>
    <t>EMISSIONS~CO2NSINK</t>
  </si>
  <si>
    <t>CO2NSINK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</si>
</sst>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41" formatCode="_-* #,##0_-;\-* #,##0_-;_-* &quot;-&quot;_-;_-@_-"/>
    <numFmt numFmtId="43" formatCode="_-* #,##0.00_-;\-* #,##0.00_-;_-* &quot;-&quot;??_-;_-@_-"/>
    <numFmt numFmtId="164" formatCode="_-* #,##0\ _k_r_._-;\-* #,##0\ _k_r_._-;_-* &quot;-&quot;\ _k_r_._-;_-@_-"/>
    <numFmt numFmtId="165" formatCode="_-* #,##0.00\ _k_r_._-;\-* #,##0.00\ _k_r_._-;_-* &quot;-&quot;??\ _k_r_._-;_-@_-"/>
    <numFmt numFmtId="166" formatCode="_ * #,##0_ ;_ * \-#,##0_ ;_ * &quot;-&quot;_ ;_ @_ "/>
    <numFmt numFmtId="167" formatCode="_ * #,##0.00_ ;_ * \-#,##0.00_ ;_ * &quot;-&quot;??_ ;_ @_ "/>
    <numFmt numFmtId="168" formatCode="\Te\x\t"/>
    <numFmt numFmtId="169" formatCode="0.0"/>
    <numFmt numFmtId="170" formatCode="_-[$€-2]* #,##0.00_-;\-[$€-2]* #,##0.00_-;_-[$€-2]* &quot;-&quot;??_-"/>
    <numFmt numFmtId="171" formatCode="_-[$€-2]\ * #,##0.00_-;\-[$€-2]\ * #,##0.00_-;_-[$€-2]\ * &quot;-&quot;??_-"/>
    <numFmt numFmtId="172" formatCode="_-&quot;€&quot;\ * #,##0.00_-;\-&quot;€&quot;\ * #,##0.00_-;_-&quot;€&quot;\ * &quot;-&quot;??_-;_-@_-"/>
    <numFmt numFmtId="173" formatCode="_([$€]* #,##0.00_);_([$€]* \(#,##0.00\);_([$€]* &quot;-&quot;??_);_(@_)"/>
    <numFmt numFmtId="174" formatCode="0_ ;\-0\ "/>
    <numFmt numFmtId="175" formatCode="#,##0;\-\ #,##0;_-\ &quot;- &quot;"/>
    <numFmt numFmtId="176" formatCode="0.0000"/>
    <numFmt numFmtId="177" formatCode="0.000"/>
    <numFmt numFmtId="178" formatCode="0.00000"/>
    <numFmt numFmtId="179" formatCode="#,##0.0"/>
    <numFmt numFmtId="180" formatCode="_(* #,##0_);_(* \(#,##0\);_(* &quot;-&quot;??_);_(@_)"/>
    <numFmt numFmtId="181" formatCode="0.00_ ;\-0.00\ "/>
    <numFmt numFmtId="182" formatCode="0.000_ ;\-0.000\ "/>
    <numFmt numFmtId="183" formatCode="#,##0_ ;\-#,##0\ "/>
    <numFmt numFmtId="184" formatCode="_(* #,##0.000_);_(* \(#,##0.000\);_(* &quot;-&quot;??_);_(@_)"/>
    <numFmt numFmtId="185" formatCode="0.0000_ ;\-0.0000\ "/>
    <numFmt numFmtId="186" formatCode="_(* #,##0.0_);_(* \(#,##0.0\);_(* &quot;-&quot;??_);_(@_)"/>
    <numFmt numFmtId="187" formatCode="#,##0.0000_ ;\-#,##0.0000\ "/>
    <numFmt numFmtId="188" formatCode="0.00000_ ;\-0.00000\ "/>
    <numFmt numFmtId="189" formatCode="0.0%"/>
    <numFmt numFmtId="190" formatCode="_ * #,##0_ ;_ * \-#,##0_ ;_ * &quot;-&quot;??_ ;_ @_ "/>
    <numFmt numFmtId="191" formatCode="_ * #,##0.0_ ;_ * \-#,##0.0_ ;_ * &quot;-&quot;??_ ;_ @_ "/>
    <numFmt numFmtId="192" formatCode="dd/mmm"/>
    <numFmt numFmtId="193" formatCode="_-* #,##0.000000_-;\-* #,##0.000000_-;_-* &quot;-&quot;??_-;_-@_-"/>
    <numFmt numFmtId="194" formatCode="0.000000000000000%"/>
    <numFmt numFmtId="195" formatCode="0.000%"/>
  </numFmts>
  <fonts count="179">
    <font>
      <sz val="11"/>
      <color theme="1"/>
      <name val="Calibri"/>
      <family val="2"/>
      <scheme val="minor"/>
    </font>
    <font>
      <sz val="11"/>
      <color theme="1"/>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color indexed="12"/>
      <name val="Arial"/>
      <family val="2"/>
    </font>
    <font>
      <b/>
      <sz val="10"/>
      <name val="Arial"/>
      <family val="2"/>
    </font>
    <font>
      <sz val="8"/>
      <color indexed="81"/>
      <name val="Tahoma"/>
      <family val="2"/>
    </font>
    <font>
      <b/>
      <sz val="8"/>
      <color indexed="81"/>
      <name val="Tahoma"/>
      <family val="2"/>
    </font>
    <font>
      <b/>
      <sz val="9"/>
      <color indexed="81"/>
      <name val="Tahoma"/>
      <family val="2"/>
    </font>
    <font>
      <sz val="9"/>
      <color indexed="81"/>
      <name val="Tahoma"/>
      <family val="2"/>
    </font>
    <font>
      <sz val="11"/>
      <color indexed="8"/>
      <name val="Calibri"/>
      <family val="2"/>
    </font>
    <font>
      <sz val="11"/>
      <color indexed="9"/>
      <name val="Calibri"/>
      <family val="2"/>
    </font>
    <font>
      <sz val="9"/>
      <color indexed="8"/>
      <name val="Times New Roman"/>
      <family val="1"/>
    </font>
    <font>
      <sz val="10"/>
      <color rgb="FF9C0006"/>
      <name val="Calibri"/>
      <family val="2"/>
    </font>
    <font>
      <sz val="10"/>
      <color rgb="FF008FBC"/>
      <name val="Calibri"/>
      <family val="2"/>
    </font>
    <font>
      <sz val="10"/>
      <color rgb="FF0000FF"/>
      <name val="Calibri"/>
      <family val="2"/>
    </font>
    <font>
      <b/>
      <sz val="11"/>
      <color indexed="52"/>
      <name val="Calibri"/>
      <family val="2"/>
    </font>
    <font>
      <sz val="10"/>
      <name val="Calibri"/>
      <family val="2"/>
    </font>
    <font>
      <sz val="11"/>
      <color indexed="52"/>
      <name val="Calibri"/>
      <family val="2"/>
    </font>
    <font>
      <b/>
      <sz val="11"/>
      <color indexed="9"/>
      <name val="Calibri"/>
      <family val="2"/>
    </font>
    <font>
      <sz val="10"/>
      <name val="Arial"/>
      <family val="2"/>
      <charset val="204"/>
    </font>
    <font>
      <sz val="9"/>
      <name val="Geneva"/>
      <family val="2"/>
    </font>
    <font>
      <sz val="10"/>
      <name val="Helv"/>
    </font>
    <font>
      <sz val="9"/>
      <name val="Times New Roman"/>
      <family val="1"/>
    </font>
    <font>
      <sz val="10"/>
      <color indexed="23"/>
      <name val="Calibri"/>
      <family val="2"/>
    </font>
    <font>
      <sz val="10"/>
      <color rgb="FF006100"/>
      <name val="Calibri"/>
      <family val="2"/>
    </font>
    <font>
      <b/>
      <sz val="16"/>
      <color theme="0"/>
      <name val="Calibri"/>
      <family val="2"/>
    </font>
    <font>
      <b/>
      <sz val="12"/>
      <color theme="0"/>
      <name val="Calibri"/>
      <family val="2"/>
      <scheme val="minor"/>
    </font>
    <font>
      <u/>
      <sz val="10"/>
      <color theme="10"/>
      <name val="Calibri"/>
      <family val="2"/>
    </font>
    <font>
      <u/>
      <sz val="8"/>
      <color indexed="12"/>
      <name val="Arial"/>
      <family val="2"/>
    </font>
    <font>
      <u/>
      <sz val="11"/>
      <color theme="10"/>
      <name val="Calibri"/>
      <family val="2"/>
      <scheme val="minor"/>
    </font>
    <font>
      <u/>
      <sz val="11"/>
      <color theme="10"/>
      <name val="Calibri"/>
      <family val="2"/>
    </font>
    <font>
      <sz val="11"/>
      <color indexed="62"/>
      <name val="Calibri"/>
      <family val="2"/>
    </font>
    <font>
      <sz val="10"/>
      <color rgb="FF00B050"/>
      <name val="Calibri"/>
      <family val="2"/>
    </font>
    <font>
      <sz val="10"/>
      <name val="MS Sans Serif"/>
      <family val="2"/>
    </font>
    <font>
      <sz val="10"/>
      <color rgb="FF9C6500"/>
      <name val="Calibri"/>
      <family val="2"/>
    </font>
    <font>
      <sz val="11"/>
      <color indexed="60"/>
      <name val="Calibri"/>
      <family val="2"/>
    </font>
    <font>
      <sz val="10"/>
      <color theme="1"/>
      <name val="Calibri"/>
      <family val="2"/>
    </font>
    <font>
      <sz val="8"/>
      <name val="Arial"/>
      <family val="2"/>
    </font>
    <font>
      <sz val="11"/>
      <color theme="1"/>
      <name val="Calibri"/>
      <family val="2"/>
    </font>
    <font>
      <b/>
      <sz val="9"/>
      <name val="Times New Roman"/>
      <family val="1"/>
    </font>
    <font>
      <sz val="10"/>
      <name val="Courier"/>
      <family val="3"/>
    </font>
    <font>
      <b/>
      <sz val="11"/>
      <color indexed="63"/>
      <name val="Calibri"/>
      <family val="2"/>
    </font>
    <font>
      <b/>
      <sz val="16"/>
      <color theme="0"/>
      <name val="Calibri"/>
      <family val="2"/>
      <scheme val="minor"/>
    </font>
    <font>
      <b/>
      <sz val="13"/>
      <color theme="0"/>
      <name val="Calibri"/>
      <family val="2"/>
      <scheme val="minor"/>
    </font>
    <font>
      <b/>
      <sz val="11"/>
      <name val="Calibri"/>
      <family val="2"/>
    </font>
    <font>
      <b/>
      <sz val="12"/>
      <name val="Arial"/>
      <family val="2"/>
    </font>
    <font>
      <sz val="8"/>
      <color indexed="9"/>
      <name val="Arial"/>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0"/>
      <color rgb="FFFF0000"/>
      <name val="Calibri"/>
      <family val="2"/>
    </font>
    <font>
      <sz val="11"/>
      <color indexed="20"/>
      <name val="Calibri"/>
      <family val="2"/>
    </font>
    <font>
      <sz val="11"/>
      <color indexed="17"/>
      <name val="Calibri"/>
      <family val="2"/>
    </font>
    <font>
      <i/>
      <sz val="10"/>
      <name val="Calibri"/>
      <family val="2"/>
    </font>
    <font>
      <sz val="8"/>
      <color theme="1"/>
      <name val="Calibri"/>
      <family val="2"/>
      <scheme val="minor"/>
    </font>
    <font>
      <sz val="11"/>
      <color theme="1"/>
      <name val="Arial Narrow"/>
      <family val="2"/>
    </font>
    <font>
      <sz val="11"/>
      <name val="Calibri"/>
      <family val="2"/>
      <scheme val="minor"/>
    </font>
    <font>
      <sz val="11"/>
      <name val="Arial Narrow"/>
      <family val="2"/>
    </font>
    <font>
      <sz val="12"/>
      <color indexed="8"/>
      <name val="Arial Narrow"/>
      <family val="2"/>
    </font>
    <font>
      <sz val="12"/>
      <name val="Arial Narrow"/>
      <family val="2"/>
    </font>
    <font>
      <sz val="11"/>
      <color rgb="FFFF0000"/>
      <name val="Arial Narrow"/>
      <family val="2"/>
    </font>
    <font>
      <sz val="12"/>
      <color rgb="FFFF0000"/>
      <name val="Arial Narrow"/>
      <family val="2"/>
    </font>
    <font>
      <b/>
      <sz val="14"/>
      <color theme="1"/>
      <name val="Calibri"/>
      <family val="2"/>
      <scheme val="minor"/>
    </font>
    <font>
      <b/>
      <sz val="16"/>
      <color theme="1"/>
      <name val="Calibri"/>
      <family val="2"/>
      <scheme val="minor"/>
    </font>
    <font>
      <sz val="22"/>
      <color rgb="FF212121"/>
      <name val="Arial"/>
      <family val="2"/>
    </font>
    <font>
      <sz val="14"/>
      <name val="Arial"/>
      <family val="2"/>
    </font>
    <font>
      <b/>
      <sz val="14"/>
      <name val="Arial"/>
      <family val="2"/>
    </font>
    <font>
      <sz val="10"/>
      <color rgb="FFFF0000"/>
      <name val="Arial"/>
      <family val="2"/>
    </font>
    <font>
      <sz val="18"/>
      <color theme="1"/>
      <name val="Calibri"/>
      <family val="2"/>
      <scheme val="minor"/>
    </font>
    <font>
      <sz val="16"/>
      <color theme="1"/>
      <name val="Calibri"/>
      <family val="2"/>
      <scheme val="minor"/>
    </font>
    <font>
      <b/>
      <sz val="16"/>
      <color theme="1"/>
      <name val="Arial Narrow"/>
      <family val="2"/>
    </font>
    <font>
      <b/>
      <sz val="8"/>
      <color theme="1"/>
      <name val="Calibri"/>
      <family val="2"/>
      <scheme val="minor"/>
    </font>
    <font>
      <sz val="10"/>
      <color theme="1"/>
      <name val="Arial"/>
      <family val="2"/>
    </font>
    <font>
      <sz val="8"/>
      <name val="Calibri"/>
      <family val="2"/>
      <scheme val="minor"/>
    </font>
    <font>
      <b/>
      <sz val="18"/>
      <color theme="1"/>
      <name val="Calibri"/>
      <family val="2"/>
      <scheme val="minor"/>
    </font>
    <font>
      <b/>
      <sz val="20"/>
      <color theme="1"/>
      <name val="Calibri"/>
      <family val="2"/>
      <scheme val="minor"/>
    </font>
    <font>
      <b/>
      <sz val="11"/>
      <name val="Calibri"/>
      <family val="2"/>
      <scheme val="minor"/>
    </font>
    <font>
      <b/>
      <sz val="14"/>
      <color indexed="8"/>
      <name val="Arial Narrow"/>
      <family val="2"/>
    </font>
    <font>
      <b/>
      <sz val="22"/>
      <color theme="1"/>
      <name val="Calibri"/>
      <family val="2"/>
      <scheme val="minor"/>
    </font>
    <font>
      <sz val="12"/>
      <color theme="1"/>
      <name val="Calibri"/>
      <family val="2"/>
      <scheme val="minor"/>
    </font>
    <font>
      <b/>
      <sz val="12"/>
      <color indexed="53"/>
      <name val="Arial"/>
      <family val="2"/>
    </font>
    <font>
      <b/>
      <sz val="16"/>
      <name val="Arial"/>
      <family val="2"/>
    </font>
    <font>
      <sz val="14"/>
      <color theme="1"/>
      <name val="Calibri"/>
      <family val="2"/>
      <scheme val="minor"/>
    </font>
    <font>
      <sz val="20"/>
      <color theme="1"/>
      <name val="Calibri"/>
      <family val="2"/>
      <scheme val="minor"/>
    </font>
    <font>
      <sz val="22"/>
      <color theme="1"/>
      <name val="Calibri"/>
      <family val="2"/>
      <scheme val="minor"/>
    </font>
    <font>
      <b/>
      <u/>
      <sz val="16"/>
      <color theme="1"/>
      <name val="Calibri"/>
      <family val="2"/>
      <scheme val="minor"/>
    </font>
    <font>
      <sz val="24"/>
      <color theme="1"/>
      <name val="Calibri"/>
      <family val="2"/>
      <scheme val="minor"/>
    </font>
    <font>
      <vertAlign val="subscript"/>
      <sz val="11"/>
      <color theme="1"/>
      <name val="Calibri"/>
      <family val="2"/>
      <scheme val="minor"/>
    </font>
    <font>
      <sz val="10"/>
      <color theme="1"/>
      <name val="Calibri"/>
      <family val="2"/>
      <scheme val="minor"/>
    </font>
    <font>
      <sz val="11"/>
      <color theme="5"/>
      <name val="Calibri"/>
      <family val="2"/>
      <scheme val="minor"/>
    </font>
    <font>
      <sz val="10"/>
      <name val="Calibri"/>
      <family val="2"/>
      <scheme val="minor"/>
    </font>
    <font>
      <sz val="10"/>
      <color indexed="12"/>
      <name val="Arial"/>
      <family val="2"/>
    </font>
    <font>
      <sz val="10"/>
      <color rgb="FF0000FF"/>
      <name val="Arial"/>
      <family val="2"/>
    </font>
    <font>
      <sz val="10"/>
      <color rgb="FF00B050"/>
      <name val="Arial"/>
      <family val="2"/>
    </font>
    <font>
      <i/>
      <sz val="10"/>
      <name val="Arial"/>
      <family val="2"/>
    </font>
    <font>
      <i/>
      <sz val="10"/>
      <color indexed="14"/>
      <name val="Arial"/>
      <family val="2"/>
    </font>
    <font>
      <sz val="10"/>
      <color indexed="14"/>
      <name val="Arial"/>
      <family val="2"/>
    </font>
    <font>
      <sz val="10"/>
      <color indexed="8"/>
      <name val="Arial"/>
      <family val="2"/>
    </font>
    <font>
      <sz val="10"/>
      <color indexed="17"/>
      <name val="Arial"/>
      <family val="2"/>
    </font>
    <font>
      <b/>
      <u/>
      <sz val="10"/>
      <name val="Arial"/>
      <family val="2"/>
    </font>
    <font>
      <sz val="8"/>
      <name val="Calibri"/>
      <family val="2"/>
    </font>
    <font>
      <sz val="10"/>
      <name val="Times New Roman"/>
      <family val="1"/>
      <charset val="204"/>
    </font>
    <font>
      <b/>
      <sz val="8"/>
      <color indexed="8"/>
      <name val="Arial"/>
      <family val="2"/>
    </font>
    <font>
      <sz val="8"/>
      <color indexed="8"/>
      <name val="Arial"/>
      <family val="2"/>
    </font>
    <font>
      <sz val="8"/>
      <color indexed="8"/>
      <name val="Arial"/>
      <family val="1"/>
      <charset val="204"/>
    </font>
    <font>
      <b/>
      <i/>
      <sz val="8"/>
      <color indexed="8"/>
      <name val="Arial"/>
      <family val="2"/>
    </font>
    <font>
      <b/>
      <sz val="11"/>
      <color indexed="8"/>
      <name val="Arial"/>
      <family val="2"/>
    </font>
    <font>
      <sz val="9"/>
      <name val="Arial"/>
      <family val="2"/>
    </font>
    <font>
      <sz val="11"/>
      <color theme="1"/>
      <name val="Arial"/>
      <family val="2"/>
    </font>
    <font>
      <sz val="9"/>
      <color theme="1"/>
      <name val="Arial"/>
      <family val="2"/>
    </font>
    <font>
      <b/>
      <sz val="9"/>
      <name val="Arial"/>
      <family val="2"/>
    </font>
    <font>
      <sz val="9"/>
      <color theme="1"/>
      <name val="Calibri"/>
      <family val="2"/>
      <scheme val="minor"/>
    </font>
    <font>
      <b/>
      <i/>
      <sz val="9"/>
      <name val="Arial"/>
      <family val="2"/>
    </font>
    <font>
      <b/>
      <sz val="16"/>
      <color theme="1"/>
      <name val="Arial"/>
      <family val="2"/>
    </font>
    <font>
      <b/>
      <sz val="9"/>
      <color theme="1"/>
      <name val="Calibri"/>
      <family val="2"/>
      <scheme val="minor"/>
    </font>
    <font>
      <b/>
      <i/>
      <sz val="10"/>
      <name val="Arial"/>
      <family val="2"/>
    </font>
    <font>
      <sz val="12"/>
      <color indexed="8"/>
      <name val="Times New Roman"/>
      <family val="1"/>
    </font>
    <font>
      <sz val="9"/>
      <color indexed="8"/>
      <name val="Arial"/>
      <family val="2"/>
    </font>
    <font>
      <sz val="9"/>
      <color indexed="8"/>
      <name val="Calibri"/>
      <family val="2"/>
    </font>
    <font>
      <b/>
      <sz val="16"/>
      <color indexed="8"/>
      <name val="Arial"/>
      <family val="2"/>
    </font>
    <font>
      <vertAlign val="subscript"/>
      <sz val="9"/>
      <name val="Arial"/>
      <family val="2"/>
    </font>
    <font>
      <vertAlign val="superscript"/>
      <sz val="9"/>
      <name val="Arial"/>
      <family val="2"/>
    </font>
    <font>
      <b/>
      <sz val="8"/>
      <name val="Arial"/>
      <family val="2"/>
    </font>
    <font>
      <i/>
      <sz val="11"/>
      <color theme="1"/>
      <name val="Calibri"/>
      <family val="2"/>
      <scheme val="minor"/>
    </font>
    <font>
      <i/>
      <sz val="9"/>
      <color theme="1"/>
      <name val="Arial"/>
      <family val="2"/>
    </font>
    <font>
      <b/>
      <sz val="11"/>
      <color theme="1"/>
      <name val="Calibri Light"/>
      <family val="2"/>
    </font>
    <font>
      <sz val="8"/>
      <color theme="1"/>
      <name val="Arial"/>
      <family val="2"/>
    </font>
    <font>
      <b/>
      <sz val="9"/>
      <color theme="1"/>
      <name val="Arial"/>
      <family val="2"/>
    </font>
    <font>
      <b/>
      <sz val="8"/>
      <color theme="1"/>
      <name val="Arial"/>
      <family val="2"/>
    </font>
    <font>
      <b/>
      <sz val="10"/>
      <color theme="1"/>
      <name val="Arial"/>
      <family val="2"/>
    </font>
    <font>
      <u/>
      <sz val="10"/>
      <color indexed="12"/>
      <name val="Arial"/>
      <family val="2"/>
    </font>
    <font>
      <sz val="8"/>
      <color theme="1"/>
      <name val="Times New Roman"/>
      <family val="1"/>
    </font>
    <font>
      <sz val="8"/>
      <color rgb="FFFF0000"/>
      <name val="Arial"/>
      <family val="2"/>
    </font>
    <font>
      <sz val="7"/>
      <color rgb="FF000000"/>
      <name val="Times New Roman"/>
      <family val="1"/>
    </font>
    <font>
      <sz val="8"/>
      <color rgb="FF000000"/>
      <name val="Arial"/>
      <family val="2"/>
    </font>
    <font>
      <vertAlign val="superscript"/>
      <sz val="8"/>
      <color rgb="FF000000"/>
      <name val="Arial"/>
      <family val="2"/>
    </font>
    <font>
      <sz val="8"/>
      <color rgb="FF000000"/>
      <name val="Times New Roman"/>
      <family val="1"/>
    </font>
    <font>
      <sz val="8"/>
      <color rgb="FF000000"/>
      <name val="Calibri"/>
      <family val="2"/>
    </font>
    <font>
      <vertAlign val="superscript"/>
      <sz val="8"/>
      <color rgb="FF000000"/>
      <name val="Calibri"/>
      <family val="2"/>
    </font>
    <font>
      <vertAlign val="subscript"/>
      <sz val="8"/>
      <color rgb="FF000000"/>
      <name val="Arial"/>
      <family val="2"/>
    </font>
    <font>
      <sz val="8"/>
      <color theme="1"/>
      <name val="Calibri"/>
      <family val="2"/>
    </font>
    <font>
      <sz val="8"/>
      <color rgb="FF808080"/>
      <name val="Calibri"/>
      <family val="2"/>
    </font>
    <font>
      <vertAlign val="superscript"/>
      <sz val="10.5"/>
      <color theme="1"/>
      <name val="Calibri"/>
      <family val="2"/>
      <scheme val="minor"/>
    </font>
    <font>
      <sz val="10.5"/>
      <color theme="1"/>
      <name val="Calibri"/>
      <family val="2"/>
      <scheme val="minor"/>
    </font>
    <font>
      <b/>
      <sz val="10.5"/>
      <color theme="1"/>
      <name val="Calibri"/>
      <family val="2"/>
      <scheme val="minor"/>
    </font>
    <font>
      <vertAlign val="superscript"/>
      <sz val="8"/>
      <color theme="1"/>
      <name val="Calibri"/>
      <family val="2"/>
      <scheme val="minor"/>
    </font>
    <font>
      <sz val="8"/>
      <color rgb="FF000000"/>
      <name val="Calibri"/>
      <family val="2"/>
      <scheme val="minor"/>
    </font>
    <font>
      <sz val="8"/>
      <color rgb="FFFF0000"/>
      <name val="Calibri"/>
      <family val="2"/>
      <scheme val="minor"/>
    </font>
    <font>
      <b/>
      <i/>
      <sz val="8"/>
      <color theme="1"/>
      <name val="Calibri"/>
      <family val="2"/>
      <scheme val="minor"/>
    </font>
    <font>
      <b/>
      <sz val="24"/>
      <color theme="1"/>
      <name val="Calibri"/>
      <family val="2"/>
      <scheme val="minor"/>
    </font>
    <font>
      <b/>
      <sz val="9"/>
      <color theme="1"/>
      <name val="Calibri"/>
      <family val="2"/>
    </font>
    <font>
      <vertAlign val="subscript"/>
      <sz val="8"/>
      <color theme="1"/>
      <name val="Calibri"/>
      <family val="2"/>
      <scheme val="minor"/>
    </font>
    <font>
      <b/>
      <sz val="10.5"/>
      <color theme="1"/>
      <name val="Arial"/>
      <family val="2"/>
    </font>
    <font>
      <b/>
      <sz val="8"/>
      <color theme="1"/>
      <name val="Calibri"/>
      <family val="2"/>
    </font>
    <font>
      <b/>
      <i/>
      <sz val="8"/>
      <color theme="1"/>
      <name val="Arial"/>
      <family val="2"/>
    </font>
    <font>
      <vertAlign val="subscript"/>
      <sz val="8"/>
      <color theme="1"/>
      <name val="Arial"/>
      <family val="2"/>
    </font>
    <font>
      <b/>
      <sz val="20"/>
      <color rgb="FFFF0000"/>
      <name val="Calibri"/>
      <family val="2"/>
      <scheme val="minor"/>
    </font>
    <font>
      <b/>
      <sz val="24"/>
      <name val="Arial"/>
      <family val="2"/>
    </font>
    <font>
      <b/>
      <sz val="11"/>
      <color rgb="FFFF0000"/>
      <name val="Calibri"/>
      <family val="2"/>
      <scheme val="minor"/>
    </font>
    <font>
      <b/>
      <sz val="8"/>
      <color rgb="FFFF0000"/>
      <name val="Calibri"/>
      <family val="2"/>
      <scheme val="minor"/>
    </font>
    <font>
      <sz val="7"/>
      <color theme="1"/>
      <name val="Times New Roman"/>
      <family val="1"/>
    </font>
    <font>
      <vertAlign val="superscript"/>
      <sz val="8"/>
      <name val="Arial"/>
      <family val="2"/>
    </font>
    <font>
      <vertAlign val="superscript"/>
      <sz val="10"/>
      <name val="Arial"/>
      <family val="2"/>
    </font>
    <font>
      <b/>
      <sz val="8"/>
      <name val="Calibri"/>
      <family val="2"/>
      <scheme val="minor"/>
    </font>
    <font>
      <b/>
      <sz val="9"/>
      <color rgb="FF000000"/>
      <name val="Arial"/>
      <family val="2"/>
    </font>
    <font>
      <b/>
      <sz val="22"/>
      <color rgb="FFFF0000"/>
      <name val="Arial"/>
      <family val="2"/>
    </font>
    <font>
      <b/>
      <sz val="11"/>
      <color rgb="FFFF0000"/>
      <name val="Arial Narrow"/>
      <family val="2"/>
    </font>
  </fonts>
  <fills count="9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7"/>
        <bgColor indexed="64"/>
      </patternFill>
    </fill>
    <fill>
      <patternFill patternType="solid">
        <fgColor rgb="FFC6F1FF"/>
        <bgColor indexed="64"/>
      </patternFill>
    </fill>
    <fill>
      <patternFill patternType="solid">
        <fgColor rgb="FFBED6EE"/>
        <bgColor indexed="64"/>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FFC000"/>
        <bgColor indexed="64"/>
      </patternFill>
    </fill>
    <fill>
      <patternFill patternType="solid">
        <fgColor theme="0" tint="-0.24994659260841701"/>
        <bgColor indexed="64"/>
      </patternFill>
    </fill>
    <fill>
      <patternFill patternType="solid">
        <fgColor theme="6" tint="0.59996337778862885"/>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theme="0" tint="-0.34998626667073579"/>
        <bgColor indexed="64"/>
      </patternFill>
    </fill>
    <fill>
      <patternFill patternType="solid">
        <fgColor indexed="9"/>
        <bgColor indexed="64"/>
      </patternFill>
    </fill>
    <fill>
      <patternFill patternType="solid">
        <fgColor indexed="63"/>
        <bgColor indexed="64"/>
      </patternFill>
    </fill>
    <fill>
      <patternFill patternType="solid">
        <fgColor indexed="62"/>
        <bgColor indexed="64"/>
      </patternFill>
    </fill>
    <fill>
      <patternFill patternType="solid">
        <fgColor theme="9" tint="0.59999389629810485"/>
        <bgColor indexed="64"/>
      </patternFill>
    </fill>
    <fill>
      <patternFill patternType="solid">
        <fgColor indexed="31"/>
        <bgColor indexed="64"/>
      </patternFill>
    </fill>
    <fill>
      <patternFill patternType="solid">
        <bgColor theme="6" tint="0.59996337778862885"/>
      </patternFill>
    </fill>
    <fill>
      <patternFill patternType="solid">
        <fgColor rgb="FFFFFF00"/>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theme="3" tint="0.39997558519241921"/>
        <bgColor indexed="64"/>
      </patternFill>
    </fill>
    <fill>
      <patternFill patternType="solid">
        <fgColor theme="4"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rgb="FF00B050"/>
        <bgColor indexed="64"/>
      </patternFill>
    </fill>
    <fill>
      <patternFill patternType="solid">
        <fgColor theme="7"/>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indexed="22"/>
        <bgColor indexed="64"/>
      </patternFill>
    </fill>
    <fill>
      <patternFill patternType="solid">
        <fgColor rgb="FFFFFFFF"/>
        <bgColor indexed="64"/>
      </patternFill>
    </fill>
    <fill>
      <patternFill patternType="solid">
        <fgColor indexed="29"/>
        <bgColor indexed="64"/>
      </patternFill>
    </fill>
    <fill>
      <patternFill patternType="solid">
        <fgColor rgb="FF92D050"/>
        <bgColor indexed="64"/>
      </patternFill>
    </fill>
  </fills>
  <borders count="10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auto="1"/>
      </top>
      <bottom/>
      <diagonal/>
    </border>
    <border>
      <left/>
      <right/>
      <top style="thin">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bottom style="thin">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thin">
        <color indexed="64"/>
      </right>
      <top/>
      <bottom/>
      <diagonal/>
    </border>
    <border>
      <left style="thin">
        <color indexed="64"/>
      </left>
      <right/>
      <top/>
      <bottom/>
      <diagonal/>
    </border>
    <border>
      <left/>
      <right style="thin">
        <color indexed="64"/>
      </right>
      <top/>
      <bottom style="medium">
        <color indexed="64"/>
      </bottom>
      <diagonal/>
    </border>
    <border>
      <left style="thin">
        <color indexed="64"/>
      </left>
      <right/>
      <top/>
      <bottom style="medium">
        <color indexed="64"/>
      </bottom>
      <diagonal/>
    </border>
    <border>
      <left style="medium">
        <color theme="5" tint="-0.249977111117893"/>
      </left>
      <right style="medium">
        <color theme="5" tint="-0.249977111117893"/>
      </right>
      <top/>
      <bottom style="medium">
        <color theme="5" tint="-0.249977111117893"/>
      </bottom>
      <diagonal/>
    </border>
    <border>
      <left style="medium">
        <color indexed="64"/>
      </left>
      <right style="thick">
        <color indexed="64"/>
      </right>
      <top/>
      <bottom style="medium">
        <color indexed="64"/>
      </bottom>
      <diagonal/>
    </border>
    <border>
      <left style="medium">
        <color theme="5" tint="-0.249977111117893"/>
      </left>
      <right style="medium">
        <color theme="5" tint="-0.249977111117893"/>
      </right>
      <top/>
      <bottom/>
      <diagonal/>
    </border>
    <border>
      <left style="medium">
        <color indexed="64"/>
      </left>
      <right style="thick">
        <color indexed="64"/>
      </right>
      <top/>
      <bottom/>
      <diagonal/>
    </border>
    <border>
      <left style="medium">
        <color theme="5" tint="-0.249977111117893"/>
      </left>
      <right style="medium">
        <color theme="5" tint="-0.249977111117893"/>
      </right>
      <top style="medium">
        <color theme="5" tint="-0.249977111117893"/>
      </top>
      <bottom style="medium">
        <color theme="5" tint="-0.249977111117893"/>
      </bottom>
      <diagonal/>
    </border>
    <border>
      <left style="medium">
        <color indexed="64"/>
      </left>
      <right style="thick">
        <color indexed="64"/>
      </right>
      <top style="medium">
        <color indexed="64"/>
      </top>
      <bottom/>
      <diagonal/>
    </border>
    <border>
      <left style="medium">
        <color rgb="FFFF0000"/>
      </left>
      <right style="thin">
        <color indexed="64"/>
      </right>
      <top/>
      <bottom style="medium">
        <color indexed="64"/>
      </bottom>
      <diagonal/>
    </border>
    <border>
      <left/>
      <right style="medium">
        <color rgb="FFFF0000"/>
      </right>
      <top/>
      <bottom style="medium">
        <color rgb="FFFF0000"/>
      </bottom>
      <diagonal/>
    </border>
    <border>
      <left style="thin">
        <color indexed="64"/>
      </left>
      <right style="thin">
        <color indexed="64"/>
      </right>
      <top/>
      <bottom style="medium">
        <color indexed="64"/>
      </bottom>
      <diagonal/>
    </border>
    <border>
      <left style="thin">
        <color indexed="64"/>
      </left>
      <right style="medium">
        <color indexed="64"/>
      </right>
      <top/>
      <bottom/>
      <diagonal/>
    </border>
    <border>
      <left style="medium">
        <color rgb="FFFF0000"/>
      </left>
      <right style="medium">
        <color rgb="FFFF0000"/>
      </right>
      <top/>
      <bottom style="medium">
        <color rgb="FFFF0000"/>
      </bottom>
      <diagonal/>
    </border>
    <border>
      <left style="thin">
        <color auto="1"/>
      </left>
      <right style="medium">
        <color rgb="FFFF0000"/>
      </right>
      <top/>
      <bottom style="thin">
        <color indexed="64"/>
      </bottom>
      <diagonal/>
    </border>
    <border>
      <left style="thick">
        <color indexed="64"/>
      </left>
      <right style="thin">
        <color auto="1"/>
      </right>
      <top/>
      <bottom style="thin">
        <color indexed="64"/>
      </bottom>
      <diagonal/>
    </border>
    <border>
      <left style="thin">
        <color auto="1"/>
      </left>
      <right style="medium">
        <color indexed="64"/>
      </right>
      <top style="thin">
        <color auto="1"/>
      </top>
      <bottom style="double">
        <color indexed="64"/>
      </bottom>
      <diagonal/>
    </border>
    <border>
      <left style="thin">
        <color auto="1"/>
      </left>
      <right/>
      <top style="thin">
        <color auto="1"/>
      </top>
      <bottom style="double">
        <color indexed="64"/>
      </bottom>
      <diagonal/>
    </border>
    <border>
      <left/>
      <right style="thin">
        <color indexed="64"/>
      </right>
      <top/>
      <bottom style="double">
        <color indexed="64"/>
      </bottom>
      <diagonal/>
    </border>
    <border>
      <left/>
      <right/>
      <top/>
      <bottom style="double">
        <color indexed="64"/>
      </bottom>
      <diagonal/>
    </border>
    <border>
      <left style="thin">
        <color indexed="64"/>
      </left>
      <right/>
      <top/>
      <bottom style="double">
        <color indexed="64"/>
      </bottom>
      <diagonal/>
    </border>
    <border>
      <left style="thin">
        <color indexed="64"/>
      </left>
      <right style="thin">
        <color indexed="64"/>
      </right>
      <top/>
      <bottom style="double">
        <color indexed="64"/>
      </bottom>
      <diagonal/>
    </border>
    <border>
      <left style="medium">
        <color indexed="64"/>
      </left>
      <right/>
      <top/>
      <bottom style="double">
        <color indexed="64"/>
      </bottom>
      <diagonal/>
    </border>
    <border>
      <left style="medium">
        <color indexed="64"/>
      </left>
      <right style="medium">
        <color indexed="64"/>
      </right>
      <top/>
      <bottom style="double">
        <color indexed="64"/>
      </bottom>
      <diagonal/>
    </border>
    <border>
      <left style="thin">
        <color indexed="64"/>
      </left>
      <right style="medium">
        <color indexed="64"/>
      </right>
      <top style="thin">
        <color indexed="64"/>
      </top>
      <bottom/>
      <diagonal/>
    </border>
    <border>
      <left style="thin">
        <color auto="1"/>
      </left>
      <right style="medium">
        <color indexed="64"/>
      </right>
      <top style="thin">
        <color auto="1"/>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style="thin">
        <color auto="1"/>
      </top>
      <bottom style="thin">
        <color auto="1"/>
      </bottom>
      <diagonal/>
    </border>
    <border>
      <left style="thin">
        <color auto="1"/>
      </left>
      <right style="medium">
        <color indexed="64"/>
      </right>
      <top/>
      <bottom style="thin">
        <color auto="1"/>
      </bottom>
      <diagonal/>
    </border>
    <border>
      <left style="medium">
        <color indexed="64"/>
      </left>
      <right style="medium">
        <color indexed="64"/>
      </right>
      <top/>
      <bottom style="thin">
        <color auto="1"/>
      </bottom>
      <diagonal/>
    </border>
    <border>
      <left style="thin">
        <color auto="1"/>
      </left>
      <right style="thin">
        <color auto="1"/>
      </right>
      <top style="thin">
        <color auto="1"/>
      </top>
      <bottom style="double">
        <color indexed="64"/>
      </bottom>
      <diagonal/>
    </border>
    <border>
      <left/>
      <right style="thin">
        <color auto="1"/>
      </right>
      <top style="thin">
        <color auto="1"/>
      </top>
      <bottom style="double">
        <color indexed="64"/>
      </bottom>
      <diagonal/>
    </border>
    <border>
      <left style="medium">
        <color indexed="64"/>
      </left>
      <right style="medium">
        <color indexed="64"/>
      </right>
      <top style="thin">
        <color auto="1"/>
      </top>
      <bottom style="double">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right style="thin">
        <color auto="1"/>
      </right>
      <top style="medium">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s>
  <cellStyleXfs count="10387">
    <xf numFmtId="0" fontId="0" fillId="0" borderId="0"/>
    <xf numFmtId="0" fontId="10" fillId="0" borderId="0"/>
    <xf numFmtId="0" fontId="10" fillId="0" borderId="0"/>
    <xf numFmtId="170" fontId="10" fillId="0" borderId="0"/>
    <xf numFmtId="170" fontId="10" fillId="0" borderId="0"/>
    <xf numFmtId="3" fontId="10" fillId="35" borderId="1" applyFont="0" applyFill="0" applyBorder="0" applyAlignment="0" applyProtection="0"/>
    <xf numFmtId="3" fontId="10" fillId="35" borderId="1"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0" borderId="0" applyNumberFormat="0" applyBorder="0" applyAlignment="0" applyProtection="0"/>
    <xf numFmtId="0" fontId="17" fillId="41" borderId="0" applyNumberFormat="0" applyBorder="0" applyAlignment="0" applyProtection="0"/>
    <xf numFmtId="0" fontId="17" fillId="4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4"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18" fillId="46"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49" borderId="0" applyNumberFormat="0" applyBorder="0" applyAlignment="0" applyProtection="0"/>
    <xf numFmtId="4" fontId="19" fillId="50" borderId="8">
      <alignment horizontal="right" vertical="center"/>
    </xf>
    <xf numFmtId="4" fontId="19" fillId="50" borderId="8">
      <alignment horizontal="right" vertical="center"/>
    </xf>
    <xf numFmtId="0" fontId="20" fillId="3" borderId="0" applyNumberFormat="0" applyBorder="0" applyAlignment="0" applyProtection="0"/>
    <xf numFmtId="0" fontId="20" fillId="3" borderId="0" applyNumberFormat="0" applyBorder="0" applyAlignment="0" applyProtection="0"/>
    <xf numFmtId="0" fontId="2" fillId="3" borderId="0" applyNumberFormat="0" applyBorder="0" applyAlignment="0" applyProtection="0"/>
    <xf numFmtId="3" fontId="21" fillId="51" borderId="1" applyBorder="0" applyAlignment="0" applyProtection="0"/>
    <xf numFmtId="3" fontId="22" fillId="52" borderId="1" applyNumberFormat="0" applyBorder="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5" fillId="6" borderId="1" applyNumberFormat="0" applyAlignment="0" applyProtection="0"/>
    <xf numFmtId="0" fontId="24" fillId="35" borderId="1" applyNumberFormat="0" applyBorder="0" applyAlignment="0" applyProtection="0"/>
    <xf numFmtId="0" fontId="25" fillId="0" borderId="11" applyNumberFormat="0" applyFill="0" applyAlignment="0" applyProtection="0"/>
    <xf numFmtId="0" fontId="26" fillId="54" borderId="12" applyNumberFormat="0" applyAlignment="0" applyProtection="0"/>
    <xf numFmtId="0" fontId="18" fillId="55"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8" borderId="0" applyNumberFormat="0" applyBorder="0" applyAlignment="0" applyProtection="0"/>
    <xf numFmtId="43" fontId="10" fillId="0" borderId="0" applyFont="0" applyFill="0" applyBorder="0" applyAlignment="0" applyProtection="0"/>
    <xf numFmtId="43" fontId="2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8" fillId="0" borderId="0" applyFont="0" applyFill="0" applyBorder="0" applyAlignment="0" applyProtection="0"/>
    <xf numFmtId="43" fontId="28"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10"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0" fontId="29" fillId="0" borderId="0"/>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27"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1" fontId="2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0" fontId="31" fillId="0" borderId="0" applyNumberFormat="0" applyFill="0" applyBorder="0" applyAlignment="0" applyProtection="0"/>
    <xf numFmtId="0" fontId="29" fillId="0" borderId="0"/>
    <xf numFmtId="0" fontId="32" fillId="2" borderId="0" applyNumberFormat="0" applyBorder="0" applyAlignment="0" applyProtection="0"/>
    <xf numFmtId="0" fontId="33" fillId="59" borderId="0" applyNumberFormat="0" applyAlignment="0" applyProtection="0"/>
    <xf numFmtId="0" fontId="33" fillId="59" borderId="14" applyNumberFormat="0" applyAlignment="0" applyProtection="0"/>
    <xf numFmtId="0" fontId="34" fillId="60" borderId="15" applyNumberFormat="0" applyAlignment="0" applyProtection="0"/>
    <xf numFmtId="0" fontId="35" fillId="0" borderId="0" applyNumberFormat="0" applyFill="0" applyBorder="0" applyAlignment="0" applyProtection="0"/>
    <xf numFmtId="170" fontId="36" fillId="0" borderId="0" applyNumberFormat="0" applyFill="0" applyBorder="0" applyAlignment="0" applyProtection="0">
      <alignment vertical="top"/>
      <protection locked="0"/>
    </xf>
    <xf numFmtId="170" fontId="36" fillId="0" borderId="0" applyNumberFormat="0" applyFill="0" applyBorder="0" applyAlignment="0" applyProtection="0">
      <alignment vertical="top"/>
      <protection locked="0"/>
    </xf>
    <xf numFmtId="0" fontId="37"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 fillId="5" borderId="1" applyNumberFormat="0" applyAlignment="0" applyProtection="0"/>
    <xf numFmtId="0" fontId="3" fillId="5" borderId="1" applyNumberFormat="0" applyAlignment="0" applyProtection="0"/>
    <xf numFmtId="0" fontId="39" fillId="41" borderId="10" applyNumberFormat="0" applyAlignment="0" applyProtection="0"/>
    <xf numFmtId="0" fontId="3" fillId="5" borderId="1"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4" fontId="30" fillId="0" borderId="0" applyBorder="0">
      <alignment horizontal="right" vertical="center"/>
    </xf>
    <xf numFmtId="167" fontId="29"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29"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29"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6" fillId="7" borderId="3" applyNumberFormat="0" applyAlignment="0" applyProtection="0"/>
    <xf numFmtId="0" fontId="37" fillId="0" borderId="0" applyNumberFormat="0" applyFill="0" applyBorder="0" applyAlignment="0" applyProtection="0"/>
    <xf numFmtId="174" fontId="40" fillId="61" borderId="0" applyNumberFormat="0" applyBorder="0" applyAlignment="0" applyProtection="0">
      <alignment horizontal="center" vertical="top" wrapText="1"/>
    </xf>
    <xf numFmtId="0" fontId="9" fillId="9"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42" fillId="4" borderId="0" applyNumberFormat="0" applyBorder="0" applyAlignment="0" applyProtection="0"/>
    <xf numFmtId="0" fontId="43" fillId="62" borderId="0" applyNumberFormat="0" applyBorder="0" applyAlignment="0" applyProtection="0"/>
    <xf numFmtId="0" fontId="43" fillId="62" borderId="0" applyNumberFormat="0" applyBorder="0" applyAlignment="0" applyProtection="0"/>
    <xf numFmtId="0" fontId="43" fillId="62" borderId="0" applyNumberFormat="0" applyBorder="0" applyAlignment="0" applyProtection="0"/>
    <xf numFmtId="0" fontId="10" fillId="0" borderId="0"/>
    <xf numFmtId="0" fontId="10" fillId="0" borderId="0"/>
    <xf numFmtId="0" fontId="10"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 fillId="0" borderId="0"/>
    <xf numFmtId="0" fontId="10" fillId="0" borderId="0"/>
    <xf numFmtId="0" fontId="29" fillId="0" borderId="0"/>
    <xf numFmtId="0" fontId="29" fillId="0" borderId="0"/>
    <xf numFmtId="0" fontId="1" fillId="0" borderId="0"/>
    <xf numFmtId="0" fontId="1" fillId="0" borderId="0"/>
    <xf numFmtId="0" fontId="1" fillId="0" borderId="0"/>
    <xf numFmtId="0" fontId="10" fillId="0" borderId="0"/>
    <xf numFmtId="0" fontId="1" fillId="0" borderId="0"/>
    <xf numFmtId="0" fontId="29" fillId="0" borderId="0"/>
    <xf numFmtId="0" fontId="29" fillId="0" borderId="0"/>
    <xf numFmtId="0" fontId="10" fillId="0" borderId="0"/>
    <xf numFmtId="0" fontId="10" fillId="0" borderId="0"/>
    <xf numFmtId="0" fontId="29"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45" fillId="0" borderId="0" applyFill="0" applyBorder="0"/>
    <xf numFmtId="0" fontId="45" fillId="0" borderId="0" applyFill="0" applyBorder="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0" fillId="0" borderId="0"/>
    <xf numFmtId="0" fontId="2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0"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29" fillId="0" borderId="0"/>
    <xf numFmtId="0" fontId="44"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6" fillId="0" borderId="0"/>
    <xf numFmtId="0" fontId="4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44" fillId="0" borderId="0"/>
    <xf numFmtId="0" fontId="27" fillId="0" borderId="0"/>
    <xf numFmtId="0" fontId="27"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27" fillId="0" borderId="0"/>
    <xf numFmtId="0" fontId="10"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44" fillId="0" borderId="0"/>
    <xf numFmtId="174" fontId="24" fillId="35" borderId="0" applyNumberFormat="0" applyBorder="0" applyAlignment="0"/>
    <xf numFmtId="174" fontId="24" fillId="35" borderId="0" applyNumberFormat="0" applyBorder="0" applyAlignment="0"/>
    <xf numFmtId="0" fontId="10" fillId="0" borderId="0"/>
    <xf numFmtId="4" fontId="30" fillId="0" borderId="8" applyFill="0" applyBorder="0" applyProtection="0">
      <alignment horizontal="right" vertical="center"/>
    </xf>
    <xf numFmtId="4" fontId="30" fillId="0" borderId="8" applyFill="0" applyBorder="0" applyProtection="0">
      <alignment horizontal="right" vertical="center"/>
    </xf>
    <xf numFmtId="4" fontId="30" fillId="0" borderId="8" applyFill="0" applyBorder="0" applyProtection="0">
      <alignment horizontal="right" vertical="center"/>
    </xf>
    <xf numFmtId="0" fontId="47" fillId="0" borderId="0" applyNumberFormat="0" applyFill="0" applyBorder="0" applyProtection="0">
      <alignment horizontal="left" vertical="center"/>
    </xf>
    <xf numFmtId="0" fontId="10" fillId="63" borderId="0" applyNumberFormat="0" applyFont="0" applyBorder="0" applyAlignment="0" applyProtection="0"/>
    <xf numFmtId="0" fontId="10" fillId="63" borderId="0" applyNumberFormat="0" applyFont="0" applyBorder="0" applyAlignment="0" applyProtection="0"/>
    <xf numFmtId="0" fontId="10" fillId="63" borderId="0" applyNumberFormat="0" applyFont="0" applyBorder="0" applyAlignment="0" applyProtection="0"/>
    <xf numFmtId="0" fontId="10" fillId="63" borderId="0" applyNumberFormat="0" applyFon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7" fillId="0" borderId="0"/>
    <xf numFmtId="0" fontId="17" fillId="0" borderId="0"/>
    <xf numFmtId="0" fontId="17" fillId="0" borderId="0"/>
    <xf numFmtId="0" fontId="1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48" fillId="0" borderId="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 fillId="6" borderId="2" applyNumberFormat="0" applyAlignment="0" applyProtection="0"/>
    <xf numFmtId="0" fontId="4" fillId="6" borderId="2" applyNumberFormat="0" applyAlignment="0" applyProtection="0"/>
    <xf numFmtId="0" fontId="49" fillId="53" borderId="17" applyNumberFormat="0" applyAlignment="0" applyProtection="0"/>
    <xf numFmtId="0" fontId="4" fillId="6" borderId="2"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50" fillId="59" borderId="0" applyNumberFormat="0" applyAlignment="0" applyProtection="0"/>
    <xf numFmtId="0" fontId="51" fillId="65" borderId="0" applyNumberFormat="0" applyAlignment="0" applyProtection="0"/>
    <xf numFmtId="0" fontId="34" fillId="60" borderId="0" applyNumberFormat="0" applyAlignment="0" applyProtection="0"/>
    <xf numFmtId="174" fontId="52" fillId="66" borderId="0" applyNumberFormat="0" applyFill="0" applyBorder="0" applyAlignment="0">
      <alignment horizontal="center"/>
    </xf>
    <xf numFmtId="0" fontId="29"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0" fontId="10" fillId="0" borderId="0"/>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55" fillId="0" borderId="0" applyNumberForma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58" fillId="0" borderId="18" applyNumberFormat="0" applyFill="0" applyAlignment="0" applyProtection="0"/>
    <xf numFmtId="0" fontId="58" fillId="0" borderId="18" applyNumberFormat="0" applyFill="0" applyAlignment="0" applyProtection="0"/>
    <xf numFmtId="0" fontId="59" fillId="0" borderId="19" applyNumberFormat="0" applyFill="0" applyAlignment="0" applyProtection="0"/>
    <xf numFmtId="0" fontId="59" fillId="0" borderId="19" applyNumberFormat="0" applyFill="0" applyAlignment="0" applyProtection="0"/>
    <xf numFmtId="0" fontId="60" fillId="0" borderId="20" applyNumberFormat="0" applyFill="0" applyAlignment="0" applyProtection="0"/>
    <xf numFmtId="0" fontId="60" fillId="0" borderId="20" applyNumberFormat="0" applyFill="0" applyAlignment="0" applyProtection="0"/>
    <xf numFmtId="0" fontId="60" fillId="0" borderId="0" applyNumberFormat="0" applyFill="0" applyBorder="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2" fillId="6" borderId="1" applyNumberFormat="0" applyFill="0" applyBorder="0" applyAlignment="0" applyProtection="0"/>
    <xf numFmtId="3" fontId="62" fillId="35" borderId="1" applyBorder="0" applyAlignment="0" applyProtection="0">
      <alignment horizontal="center" vertical="center"/>
    </xf>
    <xf numFmtId="0" fontId="63" fillId="37" borderId="0" applyNumberFormat="0" applyBorder="0" applyAlignment="0" applyProtection="0"/>
    <xf numFmtId="0" fontId="64" fillId="38" borderId="0" applyNumberFormat="0" applyBorder="0" applyAlignment="0" applyProtection="0"/>
    <xf numFmtId="0" fontId="65" fillId="6" borderId="1" applyFill="0" applyBorder="0" applyAlignment="0" applyProtection="0"/>
    <xf numFmtId="4" fontId="30" fillId="0" borderId="0"/>
    <xf numFmtId="0" fontId="1" fillId="0" borderId="0"/>
    <xf numFmtId="174" fontId="40" fillId="61" borderId="0" applyNumberFormat="0" applyBorder="0" applyAlignment="0" applyProtection="0">
      <alignment horizontal="center" vertical="top" wrapText="1"/>
    </xf>
    <xf numFmtId="9" fontId="1" fillId="0" borderId="0" applyFont="0" applyFill="0" applyBorder="0" applyAlignment="0" applyProtection="0"/>
    <xf numFmtId="0" fontId="10" fillId="0" borderId="0"/>
    <xf numFmtId="174" fontId="24" fillId="35" borderId="0" applyNumberFormat="0" applyBorder="0" applyAlignment="0"/>
    <xf numFmtId="174" fontId="10" fillId="0" borderId="0"/>
    <xf numFmtId="0" fontId="50" fillId="59" borderId="0" applyNumberFormat="0" applyAlignment="0" applyProtection="0"/>
    <xf numFmtId="167" fontId="1" fillId="0" borderId="0" applyFont="0" applyFill="0" applyBorder="0" applyAlignment="0" applyProtection="0"/>
    <xf numFmtId="9" fontId="1" fillId="0" borderId="0" applyFont="0" applyFill="0" applyBorder="0" applyAlignment="0" applyProtection="0"/>
    <xf numFmtId="0" fontId="142" fillId="0" borderId="0" applyNumberFormat="0" applyFill="0" applyBorder="0" applyAlignment="0" applyProtection="0">
      <alignment vertical="top"/>
      <protection locked="0"/>
    </xf>
  </cellStyleXfs>
  <cellXfs count="1439">
    <xf numFmtId="0" fontId="0" fillId="0" borderId="0" xfId="0"/>
    <xf numFmtId="0" fontId="8" fillId="0" borderId="0" xfId="0" applyFont="1"/>
    <xf numFmtId="0" fontId="0" fillId="0" borderId="0" xfId="0" applyFont="1" applyAlignment="1">
      <alignment horizontal="left"/>
    </xf>
    <xf numFmtId="14" fontId="0" fillId="0" borderId="0" xfId="0" applyNumberFormat="1" applyFont="1" applyAlignment="1">
      <alignment horizontal="left"/>
    </xf>
    <xf numFmtId="0" fontId="0" fillId="0" borderId="0" xfId="0" applyFont="1"/>
    <xf numFmtId="0" fontId="7" fillId="0" borderId="0" xfId="0" applyFont="1"/>
    <xf numFmtId="0" fontId="66" fillId="0" borderId="0" xfId="0" applyFont="1"/>
    <xf numFmtId="0" fontId="67" fillId="0" borderId="0" xfId="0" applyFont="1"/>
    <xf numFmtId="0" fontId="11" fillId="0" borderId="0" xfId="0" applyFont="1" applyAlignment="1">
      <alignment vertical="center"/>
    </xf>
    <xf numFmtId="0" fontId="11" fillId="0" borderId="0" xfId="10377" applyFont="1" applyAlignment="1">
      <alignment vertical="center"/>
    </xf>
    <xf numFmtId="0" fontId="12" fillId="33" borderId="5" xfId="0" applyFont="1" applyFill="1" applyBorder="1" applyAlignment="1">
      <alignment vertical="center"/>
    </xf>
    <xf numFmtId="168" fontId="12" fillId="33" borderId="5" xfId="0" applyNumberFormat="1" applyFont="1" applyFill="1" applyBorder="1"/>
    <xf numFmtId="0" fontId="68" fillId="33" borderId="22" xfId="0" applyFont="1" applyFill="1" applyBorder="1" applyAlignment="1">
      <alignment horizontal="left" vertical="center" wrapText="1"/>
    </xf>
    <xf numFmtId="0" fontId="24" fillId="34" borderId="6" xfId="0" applyFont="1" applyFill="1" applyBorder="1" applyAlignment="1">
      <alignment horizontal="left" vertical="top" wrapText="1"/>
    </xf>
    <xf numFmtId="0" fontId="68" fillId="69" borderId="22" xfId="0" applyFont="1" applyFill="1" applyBorder="1" applyAlignment="1">
      <alignment vertical="top" wrapText="1"/>
    </xf>
    <xf numFmtId="0" fontId="24" fillId="70" borderId="23" xfId="0" applyFont="1" applyFill="1" applyBorder="1" applyAlignment="1">
      <alignment horizontal="left"/>
    </xf>
    <xf numFmtId="0" fontId="68" fillId="70" borderId="23" xfId="0" applyFont="1" applyFill="1" applyBorder="1" applyAlignment="1">
      <alignment horizontal="right"/>
    </xf>
    <xf numFmtId="0" fontId="69" fillId="0" borderId="0" xfId="0" applyFont="1"/>
    <xf numFmtId="0" fontId="70" fillId="0" borderId="7" xfId="0" applyFont="1" applyBorder="1"/>
    <xf numFmtId="0" fontId="67" fillId="0" borderId="7" xfId="0" applyFont="1" applyBorder="1"/>
    <xf numFmtId="176" fontId="67" fillId="0" borderId="7" xfId="0" applyNumberFormat="1" applyFont="1" applyBorder="1"/>
    <xf numFmtId="0" fontId="70" fillId="0" borderId="0" xfId="0" applyFont="1"/>
    <xf numFmtId="2" fontId="67" fillId="0" borderId="0" xfId="0" applyNumberFormat="1" applyFont="1"/>
    <xf numFmtId="1" fontId="67" fillId="0" borderId="0" xfId="0" applyNumberFormat="1" applyFont="1"/>
    <xf numFmtId="169" fontId="67" fillId="0" borderId="0" xfId="0" applyNumberFormat="1" applyFont="1"/>
    <xf numFmtId="0" fontId="67" fillId="0" borderId="0" xfId="0" applyFont="1" applyAlignment="1">
      <alignment horizontal="right"/>
    </xf>
    <xf numFmtId="0" fontId="24" fillId="0" borderId="0" xfId="0" applyFont="1" applyAlignment="1">
      <alignment horizontal="left" wrapText="1"/>
    </xf>
    <xf numFmtId="169" fontId="70" fillId="0" borderId="0" xfId="0" applyNumberFormat="1" applyFont="1"/>
    <xf numFmtId="0" fontId="67" fillId="0" borderId="6" xfId="0" applyFont="1" applyBorder="1"/>
    <xf numFmtId="2" fontId="67" fillId="0" borderId="6" xfId="0" applyNumberFormat="1" applyFont="1" applyBorder="1"/>
    <xf numFmtId="169" fontId="67" fillId="0" borderId="6" xfId="0" applyNumberFormat="1" applyFont="1" applyBorder="1"/>
    <xf numFmtId="0" fontId="67" fillId="0" borderId="9" xfId="0" applyFont="1" applyBorder="1"/>
    <xf numFmtId="0" fontId="71" fillId="0" borderId="0" xfId="0" applyFont="1"/>
    <xf numFmtId="2" fontId="69" fillId="0" borderId="0" xfId="0" applyNumberFormat="1" applyFont="1"/>
    <xf numFmtId="1" fontId="69" fillId="0" borderId="0" xfId="0" applyNumberFormat="1" applyFont="1"/>
    <xf numFmtId="169" fontId="69" fillId="0" borderId="0" xfId="0" applyNumberFormat="1" applyFont="1"/>
    <xf numFmtId="176" fontId="69" fillId="0" borderId="0" xfId="0" applyNumberFormat="1" applyFont="1"/>
    <xf numFmtId="1" fontId="69" fillId="0" borderId="7" xfId="0" applyNumberFormat="1" applyFont="1" applyBorder="1" applyAlignment="1">
      <alignment horizontal="right"/>
    </xf>
    <xf numFmtId="0" fontId="24" fillId="0" borderId="7" xfId="0" applyFont="1" applyBorder="1" applyAlignment="1">
      <alignment horizontal="left"/>
    </xf>
    <xf numFmtId="1" fontId="68" fillId="0" borderId="0" xfId="0" applyNumberFormat="1" applyFont="1"/>
    <xf numFmtId="169" fontId="68" fillId="0" borderId="0" xfId="0" applyNumberFormat="1" applyFont="1"/>
    <xf numFmtId="2" fontId="68" fillId="0" borderId="0" xfId="0" applyNumberFormat="1" applyFont="1"/>
    <xf numFmtId="176" fontId="68" fillId="0" borderId="0" xfId="0" applyNumberFormat="1" applyFont="1"/>
    <xf numFmtId="0" fontId="68" fillId="0" borderId="0" xfId="0" applyFont="1"/>
    <xf numFmtId="1" fontId="69" fillId="0" borderId="0" xfId="0" applyNumberFormat="1" applyFont="1" applyAlignment="1">
      <alignment horizontal="right"/>
    </xf>
    <xf numFmtId="0" fontId="24" fillId="0" borderId="0" xfId="0" applyFont="1" applyAlignment="1">
      <alignment horizontal="left"/>
    </xf>
    <xf numFmtId="0" fontId="68" fillId="0" borderId="6" xfId="0" applyFont="1" applyBorder="1"/>
    <xf numFmtId="0" fontId="69" fillId="0" borderId="6" xfId="0" applyFont="1" applyBorder="1"/>
    <xf numFmtId="2" fontId="69" fillId="0" borderId="6" xfId="0" applyNumberFormat="1" applyFont="1" applyBorder="1"/>
    <xf numFmtId="169" fontId="68" fillId="0" borderId="6" xfId="0" applyNumberFormat="1" applyFont="1" applyBorder="1"/>
    <xf numFmtId="177" fontId="67" fillId="0" borderId="0" xfId="0" applyNumberFormat="1" applyFont="1"/>
    <xf numFmtId="169" fontId="0" fillId="0" borderId="0" xfId="0" applyNumberFormat="1"/>
    <xf numFmtId="1" fontId="67" fillId="0" borderId="7" xfId="0" applyNumberFormat="1" applyFont="1" applyBorder="1" applyAlignment="1">
      <alignment horizontal="right"/>
    </xf>
    <xf numFmtId="1" fontId="67" fillId="0" borderId="0" xfId="0" applyNumberFormat="1" applyFont="1" applyAlignment="1">
      <alignment horizontal="right"/>
    </xf>
    <xf numFmtId="0" fontId="72" fillId="0" borderId="0" xfId="0" applyFont="1"/>
    <xf numFmtId="0" fontId="0" fillId="0" borderId="6" xfId="0" applyBorder="1"/>
    <xf numFmtId="169" fontId="0" fillId="0" borderId="6" xfId="0" applyNumberFormat="1" applyBorder="1"/>
    <xf numFmtId="0" fontId="73" fillId="0" borderId="0" xfId="0" applyFont="1"/>
    <xf numFmtId="0" fontId="7" fillId="0" borderId="6" xfId="0" applyFont="1" applyBorder="1"/>
    <xf numFmtId="2" fontId="68" fillId="0" borderId="6" xfId="0" applyNumberFormat="1" applyFont="1" applyBorder="1"/>
    <xf numFmtId="1" fontId="69" fillId="0" borderId="6" xfId="0" applyNumberFormat="1" applyFont="1" applyBorder="1"/>
    <xf numFmtId="169" fontId="69" fillId="0" borderId="6" xfId="0" applyNumberFormat="1" applyFont="1" applyBorder="1"/>
    <xf numFmtId="176" fontId="69" fillId="0" borderId="6" xfId="0" applyNumberFormat="1" applyFont="1" applyBorder="1"/>
    <xf numFmtId="1" fontId="69" fillId="0" borderId="6" xfId="0" applyNumberFormat="1" applyFont="1" applyBorder="1" applyAlignment="1">
      <alignment horizontal="right"/>
    </xf>
    <xf numFmtId="0" fontId="24" fillId="0" borderId="6" xfId="0" applyFont="1" applyBorder="1" applyAlignment="1">
      <alignment horizontal="left"/>
    </xf>
    <xf numFmtId="177" fontId="68" fillId="0" borderId="0" xfId="0" applyNumberFormat="1" applyFont="1"/>
    <xf numFmtId="0" fontId="71" fillId="0" borderId="6" xfId="0" applyFont="1" applyBorder="1"/>
    <xf numFmtId="1" fontId="68" fillId="0" borderId="6" xfId="0" applyNumberFormat="1" applyFont="1" applyBorder="1"/>
    <xf numFmtId="176" fontId="68" fillId="0" borderId="6" xfId="0" applyNumberFormat="1" applyFont="1" applyBorder="1"/>
    <xf numFmtId="0" fontId="10" fillId="0" borderId="0" xfId="7297"/>
    <xf numFmtId="0" fontId="10" fillId="0" borderId="9" xfId="7297" applyBorder="1"/>
    <xf numFmtId="168" fontId="11" fillId="0" borderId="0" xfId="7297" applyNumberFormat="1" applyFont="1"/>
    <xf numFmtId="168" fontId="10" fillId="0" borderId="0" xfId="7297" applyNumberFormat="1"/>
    <xf numFmtId="168" fontId="12" fillId="33" borderId="5" xfId="7297" applyNumberFormat="1" applyFont="1" applyFill="1" applyBorder="1"/>
    <xf numFmtId="168" fontId="10" fillId="34" borderId="6" xfId="7036" applyNumberFormat="1" applyFill="1" applyBorder="1" applyAlignment="1">
      <alignment horizontal="left"/>
    </xf>
    <xf numFmtId="176" fontId="0" fillId="0" borderId="0" xfId="0" applyNumberFormat="1"/>
    <xf numFmtId="0" fontId="0" fillId="0" borderId="24" xfId="0" applyBorder="1"/>
    <xf numFmtId="176" fontId="0" fillId="0" borderId="25" xfId="0" applyNumberFormat="1" applyBorder="1"/>
    <xf numFmtId="176" fontId="0" fillId="0" borderId="6" xfId="0" applyNumberFormat="1" applyBorder="1"/>
    <xf numFmtId="176" fontId="0" fillId="0" borderId="24" xfId="0" applyNumberFormat="1" applyBorder="1"/>
    <xf numFmtId="0" fontId="8" fillId="0" borderId="27" xfId="0" applyFont="1" applyBorder="1"/>
    <xf numFmtId="0" fontId="8" fillId="0" borderId="24" xfId="0" applyFont="1" applyBorder="1"/>
    <xf numFmtId="0" fontId="0" fillId="0" borderId="28" xfId="0" applyBorder="1"/>
    <xf numFmtId="2" fontId="0" fillId="0" borderId="24" xfId="0" applyNumberFormat="1" applyBorder="1"/>
    <xf numFmtId="2" fontId="0" fillId="0" borderId="0" xfId="0" applyNumberFormat="1"/>
    <xf numFmtId="178" fontId="0" fillId="0" borderId="24" xfId="0" applyNumberFormat="1" applyBorder="1"/>
    <xf numFmtId="178" fontId="0" fillId="0" borderId="0" xfId="0" applyNumberFormat="1"/>
    <xf numFmtId="2" fontId="0" fillId="0" borderId="29" xfId="0" applyNumberFormat="1" applyBorder="1"/>
    <xf numFmtId="2" fontId="0" fillId="0" borderId="30" xfId="0" applyNumberFormat="1" applyBorder="1"/>
    <xf numFmtId="0" fontId="0" fillId="0" borderId="31" xfId="0" applyBorder="1"/>
    <xf numFmtId="0" fontId="0" fillId="72" borderId="0" xfId="0" applyFill="1"/>
    <xf numFmtId="0" fontId="0" fillId="0" borderId="25" xfId="0" applyBorder="1"/>
    <xf numFmtId="0" fontId="0" fillId="0" borderId="32" xfId="0" applyBorder="1"/>
    <xf numFmtId="0" fontId="76" fillId="0" borderId="0" xfId="0" applyFont="1"/>
    <xf numFmtId="0" fontId="0" fillId="0" borderId="33" xfId="0" applyBorder="1"/>
    <xf numFmtId="0" fontId="0" fillId="0" borderId="7" xfId="0" applyBorder="1"/>
    <xf numFmtId="0" fontId="0" fillId="0" borderId="34" xfId="0" applyBorder="1"/>
    <xf numFmtId="0" fontId="77" fillId="72" borderId="0" xfId="7297" applyFont="1" applyFill="1"/>
    <xf numFmtId="0" fontId="0" fillId="0" borderId="26" xfId="0" applyBorder="1"/>
    <xf numFmtId="0" fontId="0" fillId="0" borderId="27" xfId="0" applyBorder="1"/>
    <xf numFmtId="0" fontId="0" fillId="0" borderId="29" xfId="0" applyBorder="1"/>
    <xf numFmtId="0" fontId="0" fillId="0" borderId="30" xfId="0" applyBorder="1"/>
    <xf numFmtId="0" fontId="24" fillId="70" borderId="30" xfId="0" applyFont="1" applyFill="1" applyBorder="1" applyAlignment="1">
      <alignment horizontal="left"/>
    </xf>
    <xf numFmtId="176" fontId="10" fillId="0" borderId="0" xfId="7297" applyNumberFormat="1"/>
    <xf numFmtId="0" fontId="10" fillId="0" borderId="7" xfId="7297" applyBorder="1"/>
    <xf numFmtId="0" fontId="0" fillId="73" borderId="0" xfId="0" applyFill="1"/>
    <xf numFmtId="0" fontId="79" fillId="0" borderId="0" xfId="7297" applyFont="1"/>
    <xf numFmtId="0" fontId="10" fillId="0" borderId="6" xfId="7297" applyBorder="1"/>
    <xf numFmtId="0" fontId="79" fillId="0" borderId="6" xfId="7297" applyFont="1" applyBorder="1"/>
    <xf numFmtId="0" fontId="10" fillId="74" borderId="23" xfId="7036" applyFill="1" applyBorder="1" applyAlignment="1">
      <alignment horizontal="left" wrapText="1"/>
    </xf>
    <xf numFmtId="0" fontId="10" fillId="74" borderId="23" xfId="7036" applyFill="1" applyBorder="1" applyAlignment="1">
      <alignment horizontal="center"/>
    </xf>
    <xf numFmtId="0" fontId="10" fillId="74" borderId="23" xfId="7036" applyFill="1" applyBorder="1" applyAlignment="1">
      <alignment horizontal="center" wrapText="1"/>
    </xf>
    <xf numFmtId="0" fontId="10" fillId="74" borderId="23" xfId="7297" applyFill="1" applyBorder="1"/>
    <xf numFmtId="0" fontId="10" fillId="34" borderId="0" xfId="7036" applyFill="1" applyAlignment="1">
      <alignment horizontal="left" wrapText="1"/>
    </xf>
    <xf numFmtId="0" fontId="10" fillId="34" borderId="0" xfId="7036" applyFill="1" applyAlignment="1">
      <alignment horizontal="center" wrapText="1"/>
    </xf>
    <xf numFmtId="0" fontId="10" fillId="34" borderId="22" xfId="7036" applyFill="1" applyBorder="1" applyAlignment="1">
      <alignment horizontal="center" wrapText="1"/>
    </xf>
    <xf numFmtId="0" fontId="12" fillId="33" borderId="5" xfId="7297" applyFont="1" applyFill="1" applyBorder="1"/>
    <xf numFmtId="0" fontId="12" fillId="33" borderId="5" xfId="7297" applyFont="1" applyFill="1" applyBorder="1" applyAlignment="1">
      <alignment horizontal="center" vertical="center" wrapText="1"/>
    </xf>
    <xf numFmtId="0" fontId="12" fillId="33" borderId="22" xfId="7297" applyFont="1" applyFill="1" applyBorder="1" applyAlignment="1">
      <alignment horizontal="center" wrapText="1"/>
    </xf>
    <xf numFmtId="0" fontId="12" fillId="33" borderId="22" xfId="7297" applyFont="1" applyFill="1" applyBorder="1" applyAlignment="1">
      <alignment horizontal="center"/>
    </xf>
    <xf numFmtId="0" fontId="12" fillId="33" borderId="22" xfId="7297" applyFont="1" applyFill="1" applyBorder="1" applyAlignment="1">
      <alignment vertical="center"/>
    </xf>
    <xf numFmtId="0" fontId="11" fillId="0" borderId="0" xfId="7297" applyFont="1"/>
    <xf numFmtId="0" fontId="0" fillId="75" borderId="29" xfId="0" applyFill="1" applyBorder="1"/>
    <xf numFmtId="0" fontId="0" fillId="75" borderId="31" xfId="0" applyFill="1" applyBorder="1"/>
    <xf numFmtId="0" fontId="0" fillId="76" borderId="0" xfId="0" applyFill="1"/>
    <xf numFmtId="0" fontId="0" fillId="77" borderId="0" xfId="0" applyFill="1"/>
    <xf numFmtId="0" fontId="80" fillId="0" borderId="0" xfId="0" applyFont="1"/>
    <xf numFmtId="9" fontId="8" fillId="77" borderId="0" xfId="10379" applyFont="1" applyFill="1"/>
    <xf numFmtId="0" fontId="74" fillId="72" borderId="0" xfId="0" applyFont="1" applyFill="1"/>
    <xf numFmtId="2" fontId="8" fillId="72" borderId="25" xfId="0" applyNumberFormat="1" applyFont="1" applyFill="1" applyBorder="1"/>
    <xf numFmtId="2" fontId="8" fillId="72" borderId="6" xfId="0" applyNumberFormat="1" applyFont="1" applyFill="1" applyBorder="1"/>
    <xf numFmtId="0" fontId="0" fillId="72" borderId="32" xfId="0" applyFill="1" applyBorder="1"/>
    <xf numFmtId="0" fontId="0" fillId="0" borderId="35" xfId="0" applyBorder="1"/>
    <xf numFmtId="0" fontId="0" fillId="78" borderId="36" xfId="0" applyFill="1" applyBorder="1"/>
    <xf numFmtId="0" fontId="0" fillId="78" borderId="9" xfId="0" applyFill="1" applyBorder="1"/>
    <xf numFmtId="0" fontId="0" fillId="78" borderId="24" xfId="0" applyFill="1" applyBorder="1"/>
    <xf numFmtId="0" fontId="0" fillId="78" borderId="0" xfId="0" applyFill="1"/>
    <xf numFmtId="0" fontId="81" fillId="0" borderId="0" xfId="0" applyFont="1"/>
    <xf numFmtId="0" fontId="75" fillId="72" borderId="0" xfId="0" applyFont="1" applyFill="1"/>
    <xf numFmtId="0" fontId="10" fillId="0" borderId="30" xfId="7297" applyBorder="1"/>
    <xf numFmtId="0" fontId="0" fillId="79" borderId="30" xfId="0" applyFill="1" applyBorder="1"/>
    <xf numFmtId="2" fontId="10" fillId="0" borderId="0" xfId="7297" applyNumberFormat="1"/>
    <xf numFmtId="0" fontId="10" fillId="0" borderId="22" xfId="7297" applyBorder="1"/>
    <xf numFmtId="0" fontId="0" fillId="0" borderId="22" xfId="0" applyBorder="1"/>
    <xf numFmtId="0" fontId="10" fillId="76" borderId="22" xfId="7297" applyFill="1" applyBorder="1"/>
    <xf numFmtId="9" fontId="8" fillId="72" borderId="0" xfId="10379" applyFont="1" applyFill="1"/>
    <xf numFmtId="0" fontId="10" fillId="76" borderId="0" xfId="7297" applyFill="1"/>
    <xf numFmtId="0" fontId="10" fillId="76" borderId="7" xfId="7297" applyFill="1" applyBorder="1"/>
    <xf numFmtId="177" fontId="10" fillId="73" borderId="0" xfId="7297" applyNumberFormat="1" applyFill="1"/>
    <xf numFmtId="2" fontId="10" fillId="76" borderId="0" xfId="7297" applyNumberFormat="1" applyFill="1"/>
    <xf numFmtId="2" fontId="10" fillId="0" borderId="9" xfId="7297" applyNumberFormat="1" applyBorder="1"/>
    <xf numFmtId="2" fontId="10" fillId="0" borderId="6" xfId="7297" applyNumberFormat="1" applyBorder="1"/>
    <xf numFmtId="0" fontId="10" fillId="79" borderId="7" xfId="7297" applyFill="1" applyBorder="1"/>
    <xf numFmtId="0" fontId="68" fillId="73" borderId="0" xfId="0" applyFont="1" applyFill="1"/>
    <xf numFmtId="0" fontId="12" fillId="33" borderId="5" xfId="7297" applyFont="1" applyFill="1" applyBorder="1" applyAlignment="1">
      <alignment horizontal="center" vertical="center"/>
    </xf>
    <xf numFmtId="0" fontId="12" fillId="33" borderId="22" xfId="7297" applyFont="1" applyFill="1" applyBorder="1" applyAlignment="1">
      <alignment horizontal="center" vertical="center" wrapText="1"/>
    </xf>
    <xf numFmtId="168" fontId="12" fillId="33" borderId="5" xfId="7297" applyNumberFormat="1" applyFont="1" applyFill="1" applyBorder="1" applyAlignment="1">
      <alignment vertical="center"/>
    </xf>
    <xf numFmtId="0" fontId="12" fillId="33" borderId="22" xfId="7297" applyFont="1" applyFill="1" applyBorder="1" applyAlignment="1">
      <alignment horizontal="center" vertical="center"/>
    </xf>
    <xf numFmtId="0" fontId="0" fillId="80" borderId="0" xfId="0" applyFill="1"/>
    <xf numFmtId="177" fontId="67" fillId="0" borderId="25" xfId="0" applyNumberFormat="1" applyFont="1" applyBorder="1"/>
    <xf numFmtId="0" fontId="67" fillId="0" borderId="32" xfId="0" applyFont="1" applyBorder="1"/>
    <xf numFmtId="0" fontId="66" fillId="0" borderId="8" xfId="0" applyFont="1" applyBorder="1" applyAlignment="1">
      <alignment horizontal="center"/>
    </xf>
    <xf numFmtId="0" fontId="66" fillId="0" borderId="8" xfId="0" applyFont="1" applyBorder="1"/>
    <xf numFmtId="0" fontId="66" fillId="0" borderId="8" xfId="0" applyFont="1" applyBorder="1" applyAlignment="1">
      <alignment horizontal="right"/>
    </xf>
    <xf numFmtId="0" fontId="67" fillId="0" borderId="25" xfId="0" applyFont="1" applyBorder="1"/>
    <xf numFmtId="0" fontId="67" fillId="0" borderId="24" xfId="0" applyFont="1" applyBorder="1"/>
    <xf numFmtId="0" fontId="67" fillId="0" borderId="35" xfId="0" applyFont="1" applyBorder="1"/>
    <xf numFmtId="9" fontId="66" fillId="0" borderId="8" xfId="10379" applyFont="1" applyBorder="1"/>
    <xf numFmtId="177" fontId="66" fillId="0" borderId="8" xfId="0" applyNumberFormat="1" applyFont="1" applyBorder="1"/>
    <xf numFmtId="176" fontId="67" fillId="0" borderId="24" xfId="0" applyNumberFormat="1" applyFont="1" applyBorder="1"/>
    <xf numFmtId="2" fontId="67" fillId="0" borderId="33" xfId="0" applyNumberFormat="1" applyFont="1" applyBorder="1"/>
    <xf numFmtId="0" fontId="66" fillId="0" borderId="38" xfId="0" applyFont="1" applyBorder="1"/>
    <xf numFmtId="0" fontId="67" fillId="0" borderId="33" xfId="0" applyFont="1" applyBorder="1"/>
    <xf numFmtId="0" fontId="67" fillId="0" borderId="34" xfId="0" applyFont="1" applyBorder="1"/>
    <xf numFmtId="0" fontId="67" fillId="81" borderId="0" xfId="0" applyFont="1" applyFill="1"/>
    <xf numFmtId="0" fontId="82" fillId="81" borderId="0" xfId="0" applyFont="1" applyFill="1"/>
    <xf numFmtId="169" fontId="66" fillId="0" borderId="8" xfId="0" applyNumberFormat="1" applyFont="1" applyBorder="1"/>
    <xf numFmtId="0" fontId="67" fillId="0" borderId="22" xfId="0" applyFont="1" applyBorder="1"/>
    <xf numFmtId="0" fontId="66" fillId="0" borderId="39" xfId="0" applyFont="1" applyBorder="1" applyAlignment="1">
      <alignment horizontal="center"/>
    </xf>
    <xf numFmtId="9" fontId="66" fillId="0" borderId="39" xfId="10379" applyFont="1" applyBorder="1"/>
    <xf numFmtId="0" fontId="66" fillId="0" borderId="39" xfId="0" applyFont="1" applyBorder="1"/>
    <xf numFmtId="0" fontId="66" fillId="72" borderId="39" xfId="0" applyFont="1" applyFill="1" applyBorder="1"/>
    <xf numFmtId="0" fontId="66" fillId="0" borderId="40" xfId="0" applyFont="1" applyBorder="1" applyAlignment="1">
      <alignment horizontal="center"/>
    </xf>
    <xf numFmtId="0" fontId="66" fillId="0" borderId="5" xfId="0" applyFont="1" applyBorder="1" applyAlignment="1">
      <alignment horizontal="center"/>
    </xf>
    <xf numFmtId="9" fontId="66" fillId="0" borderId="5" xfId="10379" applyFont="1" applyBorder="1"/>
    <xf numFmtId="0" fontId="66" fillId="0" borderId="5" xfId="0" applyFont="1" applyBorder="1"/>
    <xf numFmtId="0" fontId="83" fillId="0" borderId="41" xfId="0" applyFont="1" applyBorder="1"/>
    <xf numFmtId="2" fontId="70" fillId="0" borderId="0" xfId="0" applyNumberFormat="1" applyFont="1"/>
    <xf numFmtId="0" fontId="66" fillId="0" borderId="42" xfId="0" applyFont="1" applyBorder="1" applyAlignment="1">
      <alignment horizontal="center"/>
    </xf>
    <xf numFmtId="9" fontId="66" fillId="0" borderId="42" xfId="10379" applyFont="1" applyBorder="1"/>
    <xf numFmtId="0" fontId="66" fillId="0" borderId="42" xfId="0" applyFont="1" applyBorder="1"/>
    <xf numFmtId="0" fontId="66" fillId="72" borderId="42" xfId="0" applyFont="1" applyFill="1" applyBorder="1"/>
    <xf numFmtId="0" fontId="66" fillId="0" borderId="42" xfId="0" applyFont="1" applyBorder="1" applyAlignment="1">
      <alignment horizontal="right"/>
    </xf>
    <xf numFmtId="0" fontId="67" fillId="0" borderId="22" xfId="0" applyFont="1" applyBorder="1" applyAlignment="1">
      <alignment horizontal="center"/>
    </xf>
    <xf numFmtId="176" fontId="67" fillId="0" borderId="22" xfId="0" applyNumberFormat="1" applyFont="1" applyBorder="1"/>
    <xf numFmtId="2" fontId="67" fillId="0" borderId="22" xfId="0" applyNumberFormat="1" applyFont="1" applyBorder="1"/>
    <xf numFmtId="168" fontId="84" fillId="0" borderId="22" xfId="0" applyNumberFormat="1" applyFont="1" applyBorder="1" applyAlignment="1">
      <alignment vertical="center"/>
    </xf>
    <xf numFmtId="2" fontId="66" fillId="0" borderId="8" xfId="0" applyNumberFormat="1" applyFont="1" applyBorder="1"/>
    <xf numFmtId="2" fontId="66" fillId="72" borderId="8" xfId="0" applyNumberFormat="1" applyFont="1" applyFill="1" applyBorder="1"/>
    <xf numFmtId="2" fontId="67" fillId="0" borderId="9" xfId="0" applyNumberFormat="1" applyFont="1" applyBorder="1"/>
    <xf numFmtId="177" fontId="66" fillId="72" borderId="8" xfId="0" applyNumberFormat="1" applyFont="1" applyFill="1" applyBorder="1"/>
    <xf numFmtId="2" fontId="66" fillId="0" borderId="39" xfId="0" applyNumberFormat="1" applyFont="1" applyBorder="1"/>
    <xf numFmtId="2" fontId="66" fillId="72" borderId="39" xfId="0" applyNumberFormat="1" applyFont="1" applyFill="1" applyBorder="1"/>
    <xf numFmtId="176" fontId="67" fillId="0" borderId="0" xfId="0" applyNumberFormat="1" applyFont="1"/>
    <xf numFmtId="0" fontId="66" fillId="72" borderId="8" xfId="0" applyFont="1" applyFill="1" applyBorder="1"/>
    <xf numFmtId="9" fontId="66" fillId="0" borderId="8" xfId="0" applyNumberFormat="1" applyFont="1" applyBorder="1"/>
    <xf numFmtId="9" fontId="66" fillId="0" borderId="39" xfId="0" applyNumberFormat="1" applyFont="1" applyBorder="1"/>
    <xf numFmtId="0" fontId="66" fillId="0" borderId="41" xfId="0" applyFont="1" applyBorder="1"/>
    <xf numFmtId="9" fontId="66" fillId="0" borderId="42" xfId="0" applyNumberFormat="1" applyFont="1" applyBorder="1"/>
    <xf numFmtId="0" fontId="85" fillId="72" borderId="42" xfId="0" applyFont="1" applyFill="1" applyBorder="1"/>
    <xf numFmtId="0" fontId="67" fillId="0" borderId="0" xfId="0" applyFont="1" applyAlignment="1">
      <alignment horizontal="center"/>
    </xf>
    <xf numFmtId="168" fontId="84" fillId="0" borderId="7" xfId="0" applyNumberFormat="1" applyFont="1" applyBorder="1" applyAlignment="1">
      <alignment vertical="center"/>
    </xf>
    <xf numFmtId="0" fontId="85" fillId="72" borderId="39" xfId="0" applyFont="1" applyFill="1" applyBorder="1"/>
    <xf numFmtId="9" fontId="66" fillId="0" borderId="5" xfId="0" applyNumberFormat="1" applyFont="1" applyBorder="1"/>
    <xf numFmtId="0" fontId="85" fillId="72" borderId="5" xfId="0" applyFont="1" applyFill="1" applyBorder="1"/>
    <xf numFmtId="0" fontId="70" fillId="0" borderId="22" xfId="0" applyFont="1" applyBorder="1"/>
    <xf numFmtId="0" fontId="85" fillId="72" borderId="8" xfId="0" applyFont="1" applyFill="1" applyBorder="1"/>
    <xf numFmtId="9" fontId="66" fillId="0" borderId="42" xfId="10379" applyFont="1" applyBorder="1" applyAlignment="1">
      <alignment horizontal="center"/>
    </xf>
    <xf numFmtId="9" fontId="66" fillId="0" borderId="39" xfId="10379" applyFont="1" applyBorder="1" applyAlignment="1">
      <alignment horizontal="center"/>
    </xf>
    <xf numFmtId="0" fontId="87" fillId="0" borderId="8" xfId="0" applyFont="1" applyBorder="1" applyAlignment="1">
      <alignment horizontal="center" vertical="center"/>
    </xf>
    <xf numFmtId="0" fontId="88" fillId="33" borderId="22" xfId="0" applyFont="1" applyFill="1" applyBorder="1" applyAlignment="1">
      <alignment horizontal="left" vertical="center" wrapText="1"/>
    </xf>
    <xf numFmtId="0" fontId="89" fillId="0" borderId="0" xfId="0" applyFont="1" applyAlignment="1">
      <alignment horizontal="left"/>
    </xf>
    <xf numFmtId="168" fontId="10" fillId="0" borderId="9" xfId="7297" applyNumberFormat="1" applyBorder="1"/>
    <xf numFmtId="0" fontId="0" fillId="0" borderId="35" xfId="0" applyBorder="1" applyAlignment="1">
      <alignment horizontal="center"/>
    </xf>
    <xf numFmtId="0" fontId="0" fillId="0" borderId="0" xfId="0" applyAlignment="1">
      <alignment horizontal="center"/>
    </xf>
    <xf numFmtId="0" fontId="66" fillId="0" borderId="40" xfId="0" applyFont="1" applyBorder="1" applyAlignment="1">
      <alignment horizontal="center"/>
    </xf>
    <xf numFmtId="179" fontId="0" fillId="0" borderId="0" xfId="0" applyNumberFormat="1"/>
    <xf numFmtId="0" fontId="12" fillId="33" borderId="22" xfId="7297" applyFont="1" applyFill="1" applyBorder="1" applyAlignment="1">
      <alignment horizontal="left" vertical="center"/>
    </xf>
    <xf numFmtId="0" fontId="12" fillId="33" borderId="22" xfId="7297" applyFont="1" applyFill="1" applyBorder="1" applyAlignment="1">
      <alignment horizontal="left" vertical="center" wrapText="1"/>
    </xf>
    <xf numFmtId="0" fontId="12" fillId="33" borderId="5" xfId="7297" applyFont="1" applyFill="1" applyBorder="1" applyAlignment="1">
      <alignment horizontal="left" vertical="center" wrapText="1"/>
    </xf>
    <xf numFmtId="0" fontId="12" fillId="33" borderId="5" xfId="7297" applyFont="1" applyFill="1" applyBorder="1" applyAlignment="1">
      <alignment horizontal="center"/>
    </xf>
    <xf numFmtId="0" fontId="10" fillId="34" borderId="22" xfId="7036" applyFill="1" applyBorder="1" applyAlignment="1">
      <alignment horizontal="left" vertical="center" wrapText="1"/>
    </xf>
    <xf numFmtId="0" fontId="10" fillId="34" borderId="0" xfId="7036" applyFill="1" applyAlignment="1">
      <alignment horizontal="left" vertical="center" wrapText="1"/>
    </xf>
    <xf numFmtId="0" fontId="0" fillId="0" borderId="0" xfId="0" applyAlignment="1">
      <alignment horizontal="center" vertical="center"/>
    </xf>
    <xf numFmtId="0" fontId="10" fillId="74" borderId="23" xfId="7297" applyFill="1" applyBorder="1" applyAlignment="1">
      <alignment horizontal="left" vertical="center"/>
    </xf>
    <xf numFmtId="0" fontId="10" fillId="74" borderId="23" xfId="7036" applyFill="1" applyBorder="1" applyAlignment="1">
      <alignment horizontal="left" vertical="center" wrapText="1"/>
    </xf>
    <xf numFmtId="0" fontId="10" fillId="74" borderId="23" xfId="7036" applyFill="1" applyBorder="1" applyAlignment="1">
      <alignment horizontal="left" vertical="center"/>
    </xf>
    <xf numFmtId="0" fontId="10" fillId="74" borderId="23" xfId="7036" applyFill="1" applyBorder="1" applyAlignment="1">
      <alignment horizontal="center" vertical="center" wrapText="1"/>
    </xf>
    <xf numFmtId="179" fontId="0" fillId="0" borderId="0" xfId="0" applyNumberFormat="1" applyAlignment="1">
      <alignment horizontal="center" vertical="center"/>
    </xf>
    <xf numFmtId="0" fontId="10" fillId="0" borderId="7" xfId="7297" applyBorder="1" applyAlignment="1">
      <alignment horizontal="right"/>
    </xf>
    <xf numFmtId="2" fontId="10" fillId="0" borderId="7" xfId="7297" applyNumberFormat="1" applyBorder="1"/>
    <xf numFmtId="0" fontId="10" fillId="0" borderId="0" xfId="7297" applyAlignment="1">
      <alignment horizontal="right"/>
    </xf>
    <xf numFmtId="177" fontId="10" fillId="0" borderId="0" xfId="7297" applyNumberFormat="1"/>
    <xf numFmtId="0" fontId="10" fillId="72" borderId="0" xfId="7297" applyFill="1"/>
    <xf numFmtId="0" fontId="10" fillId="73" borderId="8" xfId="7297" applyFill="1" applyBorder="1"/>
    <xf numFmtId="0" fontId="10" fillId="0" borderId="8" xfId="7297" applyBorder="1"/>
    <xf numFmtId="0" fontId="92" fillId="0" borderId="0" xfId="7297" applyFont="1"/>
    <xf numFmtId="0" fontId="93" fillId="0" borderId="0" xfId="7297" applyFont="1"/>
    <xf numFmtId="0" fontId="11" fillId="0" borderId="0" xfId="7297" applyFont="1" applyAlignment="1">
      <alignment horizontal="left"/>
    </xf>
    <xf numFmtId="176" fontId="10" fillId="0" borderId="22" xfId="7297" applyNumberFormat="1" applyBorder="1"/>
    <xf numFmtId="0" fontId="10" fillId="0" borderId="5" xfId="7297" applyBorder="1"/>
    <xf numFmtId="0" fontId="10" fillId="34" borderId="22" xfId="7036" applyFill="1" applyBorder="1" applyAlignment="1">
      <alignment horizontal="center" vertical="center" wrapText="1"/>
    </xf>
    <xf numFmtId="0" fontId="10" fillId="34" borderId="0" xfId="7036" applyFill="1" applyAlignment="1">
      <alignment horizontal="center" vertical="center" wrapText="1"/>
    </xf>
    <xf numFmtId="177" fontId="10" fillId="0" borderId="9" xfId="7297" applyNumberFormat="1" applyBorder="1"/>
    <xf numFmtId="2" fontId="10" fillId="0" borderId="22" xfId="7297" applyNumberFormat="1" applyBorder="1"/>
    <xf numFmtId="177" fontId="10" fillId="0" borderId="22" xfId="7297" applyNumberFormat="1" applyBorder="1"/>
    <xf numFmtId="0" fontId="10" fillId="0" borderId="6" xfId="7297" applyBorder="1" applyAlignment="1">
      <alignment horizontal="right"/>
    </xf>
    <xf numFmtId="177" fontId="10" fillId="0" borderId="6" xfId="7297" applyNumberFormat="1" applyBorder="1"/>
    <xf numFmtId="0" fontId="10" fillId="84" borderId="0" xfId="7297" applyFill="1"/>
    <xf numFmtId="0" fontId="1" fillId="0" borderId="0" xfId="10377"/>
    <xf numFmtId="0" fontId="83" fillId="0" borderId="8" xfId="0" applyFont="1" applyBorder="1"/>
    <xf numFmtId="169" fontId="66" fillId="0" borderId="42" xfId="0" applyNumberFormat="1" applyFont="1" applyBorder="1"/>
    <xf numFmtId="0" fontId="83" fillId="0" borderId="43" xfId="0" applyFont="1" applyBorder="1"/>
    <xf numFmtId="0" fontId="66" fillId="0" borderId="9" xfId="0" applyFont="1" applyBorder="1"/>
    <xf numFmtId="0" fontId="66" fillId="0" borderId="9" xfId="0" applyFont="1" applyBorder="1" applyAlignment="1">
      <alignment horizontal="center"/>
    </xf>
    <xf numFmtId="0" fontId="66" fillId="0" borderId="44" xfId="0" applyFont="1" applyBorder="1" applyAlignment="1">
      <alignment horizontal="center"/>
    </xf>
    <xf numFmtId="177" fontId="67" fillId="0" borderId="22" xfId="0" applyNumberFormat="1" applyFont="1" applyBorder="1"/>
    <xf numFmtId="177" fontId="70" fillId="0" borderId="0" xfId="0" applyNumberFormat="1" applyFont="1"/>
    <xf numFmtId="0" fontId="66" fillId="0" borderId="45" xfId="0" applyFont="1" applyBorder="1"/>
    <xf numFmtId="9" fontId="66" fillId="0" borderId="45" xfId="10379" applyFont="1" applyBorder="1"/>
    <xf numFmtId="0" fontId="66" fillId="0" borderId="45" xfId="0" applyFont="1" applyBorder="1" applyAlignment="1">
      <alignment horizontal="center"/>
    </xf>
    <xf numFmtId="177" fontId="67" fillId="0" borderId="9" xfId="0" applyNumberFormat="1" applyFont="1" applyBorder="1"/>
    <xf numFmtId="2" fontId="66" fillId="0" borderId="42" xfId="0" applyNumberFormat="1" applyFont="1" applyBorder="1"/>
    <xf numFmtId="168" fontId="84" fillId="0" borderId="0" xfId="0" applyNumberFormat="1" applyFont="1" applyAlignment="1">
      <alignment vertical="center"/>
    </xf>
    <xf numFmtId="0" fontId="66" fillId="0" borderId="43" xfId="0" applyFont="1" applyBorder="1"/>
    <xf numFmtId="9" fontId="66" fillId="0" borderId="9" xfId="0" applyNumberFormat="1" applyFont="1" applyBorder="1"/>
    <xf numFmtId="0" fontId="66" fillId="0" borderId="46" xfId="0" applyFont="1" applyBorder="1"/>
    <xf numFmtId="0" fontId="66" fillId="0" borderId="22" xfId="0" applyFont="1" applyBorder="1"/>
    <xf numFmtId="0" fontId="66" fillId="0" borderId="22" xfId="0" applyFont="1" applyBorder="1" applyAlignment="1">
      <alignment horizontal="center"/>
    </xf>
    <xf numFmtId="0" fontId="66" fillId="0" borderId="47" xfId="0" applyFont="1" applyBorder="1" applyAlignment="1">
      <alignment horizontal="center"/>
    </xf>
    <xf numFmtId="177" fontId="67" fillId="0" borderId="6" xfId="0" applyNumberFormat="1" applyFont="1" applyBorder="1"/>
    <xf numFmtId="1" fontId="10" fillId="0" borderId="0" xfId="7297" applyNumberFormat="1"/>
    <xf numFmtId="0" fontId="10" fillId="0" borderId="0" xfId="7297" applyAlignment="1">
      <alignment horizontal="center" vertical="center"/>
    </xf>
    <xf numFmtId="177" fontId="1" fillId="0" borderId="0" xfId="10377" applyNumberFormat="1"/>
    <xf numFmtId="2" fontId="1" fillId="0" borderId="0" xfId="10377" applyNumberFormat="1"/>
    <xf numFmtId="1" fontId="1" fillId="0" borderId="0" xfId="10377" applyNumberFormat="1"/>
    <xf numFmtId="177" fontId="66" fillId="0" borderId="8" xfId="0" applyNumberFormat="1" applyFont="1" applyBorder="1" applyAlignment="1">
      <alignment horizontal="right"/>
    </xf>
    <xf numFmtId="168" fontId="10" fillId="0" borderId="22" xfId="7297" applyNumberFormat="1" applyBorder="1"/>
    <xf numFmtId="1" fontId="10" fillId="0" borderId="22" xfId="7297" applyNumberFormat="1" applyBorder="1"/>
    <xf numFmtId="0" fontId="10" fillId="0" borderId="22" xfId="7297" applyBorder="1" applyAlignment="1">
      <alignment horizontal="center" vertical="center"/>
    </xf>
    <xf numFmtId="2" fontId="66" fillId="0" borderId="8" xfId="0" applyNumberFormat="1" applyFont="1" applyBorder="1" applyAlignment="1">
      <alignment horizontal="right"/>
    </xf>
    <xf numFmtId="0" fontId="11" fillId="0" borderId="0" xfId="7297" applyFont="1" applyAlignment="1">
      <alignment vertical="center"/>
    </xf>
    <xf numFmtId="0" fontId="68" fillId="33" borderId="22" xfId="7297" applyFont="1" applyFill="1" applyBorder="1" applyAlignment="1">
      <alignment horizontal="left" vertical="center" wrapText="1"/>
    </xf>
    <xf numFmtId="0" fontId="24" fillId="34" borderId="6" xfId="7297" applyFont="1" applyFill="1" applyBorder="1" applyAlignment="1">
      <alignment horizontal="left" vertical="top" wrapText="1"/>
    </xf>
    <xf numFmtId="0" fontId="68" fillId="69" borderId="22" xfId="7297" applyFont="1" applyFill="1" applyBorder="1" applyAlignment="1">
      <alignment vertical="top" wrapText="1"/>
    </xf>
    <xf numFmtId="0" fontId="24" fillId="70" borderId="48" xfId="7297" applyFont="1" applyFill="1" applyBorder="1" applyAlignment="1">
      <alignment horizontal="left"/>
    </xf>
    <xf numFmtId="0" fontId="68" fillId="70" borderId="23" xfId="7297" applyFont="1" applyFill="1" applyBorder="1" applyAlignment="1">
      <alignment horizontal="right"/>
    </xf>
    <xf numFmtId="0" fontId="68" fillId="0" borderId="0" xfId="7297" applyFont="1"/>
    <xf numFmtId="2" fontId="68" fillId="0" borderId="0" xfId="7297" applyNumberFormat="1" applyFont="1"/>
    <xf numFmtId="9" fontId="10" fillId="0" borderId="0" xfId="7297" applyNumberFormat="1"/>
    <xf numFmtId="0" fontId="10" fillId="72" borderId="9" xfId="7297" applyFill="1" applyBorder="1"/>
    <xf numFmtId="0" fontId="10" fillId="0" borderId="0" xfId="7297" applyAlignment="1">
      <alignment wrapText="1"/>
    </xf>
    <xf numFmtId="0" fontId="10" fillId="0" borderId="47" xfId="7297" applyBorder="1"/>
    <xf numFmtId="0" fontId="10" fillId="0" borderId="46" xfId="7297" applyBorder="1"/>
    <xf numFmtId="0" fontId="10" fillId="0" borderId="34" xfId="7297" applyBorder="1"/>
    <xf numFmtId="0" fontId="10" fillId="0" borderId="33" xfId="7297" applyBorder="1"/>
    <xf numFmtId="177" fontId="68" fillId="0" borderId="0" xfId="7297" applyNumberFormat="1" applyFont="1"/>
    <xf numFmtId="1" fontId="68" fillId="0" borderId="0" xfId="7297" applyNumberFormat="1" applyFont="1"/>
    <xf numFmtId="2" fontId="68" fillId="0" borderId="0" xfId="10380" applyNumberFormat="1" applyFont="1"/>
    <xf numFmtId="169" fontId="68" fillId="0" borderId="0" xfId="7297" applyNumberFormat="1" applyFont="1"/>
    <xf numFmtId="2" fontId="10" fillId="0" borderId="46" xfId="7297" applyNumberFormat="1" applyBorder="1"/>
    <xf numFmtId="0" fontId="10" fillId="0" borderId="35" xfId="7297" applyBorder="1"/>
    <xf numFmtId="10" fontId="10" fillId="0" borderId="0" xfId="7297" applyNumberFormat="1"/>
    <xf numFmtId="9" fontId="10" fillId="0" borderId="24" xfId="7297" applyNumberFormat="1" applyBorder="1"/>
    <xf numFmtId="0" fontId="10" fillId="0" borderId="51" xfId="7297" applyBorder="1"/>
    <xf numFmtId="0" fontId="10" fillId="0" borderId="52" xfId="7297" applyBorder="1"/>
    <xf numFmtId="0" fontId="10" fillId="0" borderId="24" xfId="7297" applyBorder="1"/>
    <xf numFmtId="0" fontId="10" fillId="0" borderId="43" xfId="7297" applyBorder="1"/>
    <xf numFmtId="0" fontId="68" fillId="0" borderId="9" xfId="7297" applyFont="1" applyBorder="1"/>
    <xf numFmtId="177" fontId="68" fillId="0" borderId="9" xfId="7297" applyNumberFormat="1" applyFont="1" applyBorder="1"/>
    <xf numFmtId="2" fontId="68" fillId="0" borderId="9" xfId="7297" applyNumberFormat="1" applyFont="1" applyBorder="1"/>
    <xf numFmtId="0" fontId="68" fillId="0" borderId="22" xfId="7297" applyFont="1" applyBorder="1"/>
    <xf numFmtId="177" fontId="68" fillId="0" borderId="22" xfId="7297" applyNumberFormat="1" applyFont="1" applyBorder="1"/>
    <xf numFmtId="1" fontId="68" fillId="0" borderId="22" xfId="7297" applyNumberFormat="1" applyFont="1" applyBorder="1"/>
    <xf numFmtId="2" fontId="68" fillId="0" borderId="22" xfId="7297" applyNumberFormat="1" applyFont="1" applyBorder="1"/>
    <xf numFmtId="0" fontId="10" fillId="0" borderId="32" xfId="7297" applyBorder="1"/>
    <xf numFmtId="10" fontId="10" fillId="0" borderId="6" xfId="7297" applyNumberFormat="1" applyBorder="1"/>
    <xf numFmtId="10" fontId="10" fillId="0" borderId="25" xfId="7297" applyNumberFormat="1" applyBorder="1"/>
    <xf numFmtId="1" fontId="68" fillId="0" borderId="9" xfId="7297" applyNumberFormat="1" applyFont="1" applyBorder="1"/>
    <xf numFmtId="169" fontId="68" fillId="0" borderId="9" xfId="7297" applyNumberFormat="1" applyFont="1" applyBorder="1"/>
    <xf numFmtId="0" fontId="10" fillId="0" borderId="25" xfId="7297" applyBorder="1"/>
    <xf numFmtId="0" fontId="94" fillId="72" borderId="0" xfId="0" applyFont="1" applyFill="1"/>
    <xf numFmtId="9" fontId="0" fillId="0" borderId="0" xfId="10379" applyFont="1"/>
    <xf numFmtId="0" fontId="0" fillId="83" borderId="0" xfId="0" applyFill="1"/>
    <xf numFmtId="0" fontId="94" fillId="83" borderId="0" xfId="0" applyFont="1" applyFill="1" applyAlignment="1">
      <alignment horizontal="center"/>
    </xf>
    <xf numFmtId="0" fontId="86" fillId="0" borderId="0" xfId="0" applyFont="1"/>
    <xf numFmtId="0" fontId="95" fillId="0" borderId="0" xfId="0" applyFont="1"/>
    <xf numFmtId="0" fontId="8" fillId="72" borderId="0" xfId="0" applyFont="1" applyFill="1"/>
    <xf numFmtId="0" fontId="96" fillId="0" borderId="0" xfId="0" applyFont="1"/>
    <xf numFmtId="0" fontId="87" fillId="72" borderId="0" xfId="0" applyFont="1" applyFill="1" applyAlignment="1">
      <alignment horizontal="center" vertical="center"/>
    </xf>
    <xf numFmtId="0" fontId="87" fillId="72" borderId="0" xfId="0" applyFont="1" applyFill="1"/>
    <xf numFmtId="0" fontId="0" fillId="0" borderId="55" xfId="0" applyBorder="1" applyAlignment="1">
      <alignment horizontal="center" vertical="center"/>
    </xf>
    <xf numFmtId="2" fontId="8" fillId="72" borderId="6" xfId="0" applyNumberFormat="1" applyFont="1" applyFill="1" applyBorder="1" applyAlignment="1">
      <alignment horizontal="center" vertical="center"/>
    </xf>
    <xf numFmtId="0" fontId="8" fillId="85" borderId="56" xfId="0" applyFont="1" applyFill="1" applyBorder="1" applyAlignment="1">
      <alignment horizontal="center" vertical="center"/>
    </xf>
    <xf numFmtId="0" fontId="0" fillId="0" borderId="57" xfId="0" applyBorder="1" applyAlignment="1">
      <alignment horizontal="center" vertical="center"/>
    </xf>
    <xf numFmtId="9" fontId="0" fillId="0" borderId="0" xfId="0" applyNumberFormat="1" applyAlignment="1">
      <alignment horizontal="center" vertical="center"/>
    </xf>
    <xf numFmtId="0" fontId="0" fillId="0" borderId="58" xfId="0" applyBorder="1" applyAlignment="1">
      <alignment horizontal="center" vertical="center"/>
    </xf>
    <xf numFmtId="2" fontId="8" fillId="85" borderId="57" xfId="0" applyNumberFormat="1" applyFont="1" applyFill="1" applyBorder="1" applyAlignment="1">
      <alignment horizontal="center" vertical="center"/>
    </xf>
    <xf numFmtId="2" fontId="8" fillId="85" borderId="0" xfId="0" applyNumberFormat="1" applyFont="1" applyFill="1" applyAlignment="1">
      <alignment horizontal="center" vertical="center"/>
    </xf>
    <xf numFmtId="0" fontId="8" fillId="85" borderId="58" xfId="0" applyFont="1" applyFill="1" applyBorder="1" applyAlignment="1">
      <alignment horizontal="center" vertical="center"/>
    </xf>
    <xf numFmtId="2" fontId="0" fillId="0" borderId="0" xfId="0" applyNumberFormat="1" applyAlignment="1">
      <alignment horizontal="center" vertical="center"/>
    </xf>
    <xf numFmtId="0" fontId="8" fillId="0" borderId="59" xfId="0" applyFont="1" applyBorder="1" applyAlignment="1">
      <alignment wrapText="1"/>
    </xf>
    <xf numFmtId="0" fontId="8" fillId="85" borderId="24" xfId="0" applyFont="1" applyFill="1" applyBorder="1" applyAlignment="1">
      <alignment horizontal="center" vertical="center"/>
    </xf>
    <xf numFmtId="0" fontId="0" fillId="0" borderId="24" xfId="0" applyBorder="1" applyAlignment="1">
      <alignment horizontal="center" vertical="center"/>
    </xf>
    <xf numFmtId="2" fontId="0" fillId="0" borderId="24" xfId="0" applyNumberFormat="1" applyBorder="1" applyAlignment="1">
      <alignment horizontal="center" vertical="center"/>
    </xf>
    <xf numFmtId="0" fontId="0" fillId="0" borderId="33" xfId="0" applyBorder="1" applyAlignment="1">
      <alignment horizontal="center" vertical="center"/>
    </xf>
    <xf numFmtId="0" fontId="0" fillId="0" borderId="60" xfId="0" applyBorder="1" applyAlignment="1">
      <alignment horizontal="center" vertical="center"/>
    </xf>
    <xf numFmtId="0" fontId="0" fillId="72" borderId="0" xfId="0" applyFill="1" applyAlignment="1">
      <alignment horizontal="left" vertical="center"/>
    </xf>
    <xf numFmtId="0" fontId="75" fillId="72" borderId="0" xfId="0" applyFont="1" applyFill="1" applyAlignment="1">
      <alignment horizontal="center" vertical="center"/>
    </xf>
    <xf numFmtId="0" fontId="0" fillId="0" borderId="25" xfId="0" applyBorder="1" applyAlignment="1">
      <alignment horizontal="center" vertical="center"/>
    </xf>
    <xf numFmtId="0" fontId="75" fillId="0" borderId="61" xfId="0" applyFont="1" applyBorder="1" applyAlignment="1">
      <alignment horizontal="center" vertical="center"/>
    </xf>
    <xf numFmtId="2" fontId="74" fillId="82" borderId="62" xfId="0" applyNumberFormat="1" applyFont="1" applyFill="1" applyBorder="1" applyAlignment="1">
      <alignment horizontal="center"/>
    </xf>
    <xf numFmtId="0" fontId="0" fillId="0" borderId="63" xfId="0" applyBorder="1" applyAlignment="1">
      <alignment horizontal="center" vertical="center"/>
    </xf>
    <xf numFmtId="0" fontId="0" fillId="0" borderId="53" xfId="0" applyBorder="1" applyAlignment="1">
      <alignment horizontal="center" vertical="center"/>
    </xf>
    <xf numFmtId="0" fontId="81" fillId="82" borderId="28" xfId="0" applyFont="1" applyFill="1" applyBorder="1" applyAlignment="1">
      <alignment horizontal="center" vertical="center"/>
    </xf>
    <xf numFmtId="0" fontId="0" fillId="0" borderId="64" xfId="0" applyBorder="1" applyAlignment="1">
      <alignment horizontal="center" vertical="center"/>
    </xf>
    <xf numFmtId="0" fontId="94" fillId="0" borderId="64" xfId="0" applyFont="1" applyBorder="1" applyAlignment="1">
      <alignment horizontal="center" vertical="center"/>
    </xf>
    <xf numFmtId="0" fontId="75" fillId="0" borderId="24" xfId="0" applyFont="1" applyBorder="1" applyAlignment="1">
      <alignment horizontal="center" vertical="center"/>
    </xf>
    <xf numFmtId="2" fontId="74" fillId="82" borderId="65" xfId="0" applyNumberFormat="1" applyFont="1" applyFill="1" applyBorder="1" applyAlignment="1">
      <alignment horizontal="center" vertical="center"/>
    </xf>
    <xf numFmtId="0" fontId="0" fillId="0" borderId="66" xfId="0" applyBorder="1" applyAlignment="1">
      <alignment horizontal="center" vertical="center"/>
    </xf>
    <xf numFmtId="0" fontId="0" fillId="0" borderId="39" xfId="0" applyBorder="1" applyAlignment="1">
      <alignment horizontal="center" vertical="center"/>
    </xf>
    <xf numFmtId="0" fontId="0" fillId="0" borderId="67" xfId="0" applyBorder="1" applyAlignment="1">
      <alignment horizontal="center" vertical="center"/>
    </xf>
    <xf numFmtId="0" fontId="81" fillId="82" borderId="32" xfId="0" applyFont="1" applyFill="1" applyBorder="1" applyAlignment="1">
      <alignment horizontal="center" vertical="center"/>
    </xf>
    <xf numFmtId="0" fontId="0" fillId="86" borderId="68" xfId="0" applyFill="1" applyBorder="1" applyAlignment="1">
      <alignment horizontal="center" vertical="center"/>
    </xf>
    <xf numFmtId="0" fontId="0" fillId="86" borderId="69" xfId="0" applyFill="1" applyBorder="1" applyAlignment="1">
      <alignment horizontal="center" vertical="center"/>
    </xf>
    <xf numFmtId="0" fontId="0" fillId="86" borderId="76" xfId="0" applyFill="1" applyBorder="1" applyAlignment="1">
      <alignment horizontal="center" vertical="center"/>
    </xf>
    <xf numFmtId="0" fontId="0" fillId="86" borderId="46" xfId="0" applyFill="1" applyBorder="1" applyAlignment="1">
      <alignment horizontal="center" vertical="center"/>
    </xf>
    <xf numFmtId="0" fontId="0" fillId="86" borderId="77" xfId="0" applyFill="1" applyBorder="1" applyAlignment="1">
      <alignment horizontal="center" vertical="center"/>
    </xf>
    <xf numFmtId="0" fontId="0" fillId="86" borderId="41" xfId="0" applyFill="1" applyBorder="1" applyAlignment="1">
      <alignment horizontal="center" vertical="center"/>
    </xf>
    <xf numFmtId="0" fontId="0" fillId="86" borderId="77" xfId="0" applyFill="1" applyBorder="1" applyAlignment="1">
      <alignment horizontal="center" vertical="center" wrapText="1"/>
    </xf>
    <xf numFmtId="0" fontId="0" fillId="86" borderId="8" xfId="0" applyFill="1" applyBorder="1" applyAlignment="1">
      <alignment horizontal="center" vertical="center"/>
    </xf>
    <xf numFmtId="0" fontId="0" fillId="86" borderId="40" xfId="0" applyFill="1" applyBorder="1" applyAlignment="1">
      <alignment horizontal="center" vertical="center"/>
    </xf>
    <xf numFmtId="0" fontId="75" fillId="86" borderId="79" xfId="0" applyFont="1" applyFill="1" applyBorder="1" applyAlignment="1">
      <alignment horizontal="center" vertical="center"/>
    </xf>
    <xf numFmtId="0" fontId="8" fillId="86" borderId="80" xfId="0" applyFont="1" applyFill="1" applyBorder="1" applyAlignment="1">
      <alignment horizontal="center" vertical="center"/>
    </xf>
    <xf numFmtId="2" fontId="8" fillId="86" borderId="80" xfId="0" applyNumberFormat="1" applyFont="1" applyFill="1" applyBorder="1" applyAlignment="1">
      <alignment horizontal="center" vertical="center"/>
    </xf>
    <xf numFmtId="0" fontId="0" fillId="86" borderId="80" xfId="0" applyFill="1" applyBorder="1" applyAlignment="1">
      <alignment horizontal="center" vertical="center"/>
    </xf>
    <xf numFmtId="0" fontId="0" fillId="86" borderId="43" xfId="0" applyFill="1" applyBorder="1" applyAlignment="1">
      <alignment horizontal="center" vertical="center"/>
    </xf>
    <xf numFmtId="0" fontId="0" fillId="86" borderId="39" xfId="0" applyFill="1" applyBorder="1" applyAlignment="1">
      <alignment horizontal="center" vertical="center"/>
    </xf>
    <xf numFmtId="0" fontId="0" fillId="86" borderId="44" xfId="0" applyFill="1" applyBorder="1" applyAlignment="1">
      <alignment horizontal="center" vertical="center"/>
    </xf>
    <xf numFmtId="0" fontId="75" fillId="86" borderId="81" xfId="0" applyFont="1" applyFill="1" applyBorder="1" applyAlignment="1">
      <alignment horizontal="center" vertical="center"/>
    </xf>
    <xf numFmtId="0" fontId="0" fillId="87" borderId="68" xfId="0" applyFill="1"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0" fillId="0" borderId="82" xfId="0" applyBorder="1" applyAlignment="1">
      <alignment horizontal="center" vertical="center"/>
    </xf>
    <xf numFmtId="0" fontId="0" fillId="0" borderId="83" xfId="0" applyBorder="1" applyAlignment="1">
      <alignment horizontal="center" vertical="center"/>
    </xf>
    <xf numFmtId="0" fontId="75" fillId="88" borderId="84" xfId="0" applyFont="1" applyFill="1" applyBorder="1" applyAlignment="1">
      <alignment horizontal="center" vertical="center"/>
    </xf>
    <xf numFmtId="0" fontId="86" fillId="72" borderId="0" xfId="0" applyFont="1" applyFill="1" applyAlignment="1">
      <alignment horizontal="left" vertical="center"/>
    </xf>
    <xf numFmtId="0" fontId="0" fillId="85" borderId="64" xfId="0" applyFill="1" applyBorder="1" applyAlignment="1">
      <alignment horizontal="center" vertical="center"/>
    </xf>
    <xf numFmtId="0" fontId="0" fillId="85" borderId="64" xfId="0" applyFill="1" applyBorder="1" applyAlignment="1">
      <alignment horizontal="left" vertical="center"/>
    </xf>
    <xf numFmtId="0" fontId="0" fillId="0" borderId="52" xfId="0" applyBorder="1" applyAlignment="1">
      <alignment horizontal="center" vertical="center"/>
    </xf>
    <xf numFmtId="0" fontId="0" fillId="0" borderId="45" xfId="0" applyBorder="1" applyAlignment="1">
      <alignment horizontal="center" vertical="center"/>
    </xf>
    <xf numFmtId="0" fontId="0" fillId="0" borderId="51" xfId="0" applyBorder="1" applyAlignment="1">
      <alignment horizontal="center" vertical="center"/>
    </xf>
    <xf numFmtId="0" fontId="75" fillId="88" borderId="27" xfId="0" applyFont="1" applyFill="1" applyBorder="1" applyAlignment="1">
      <alignment horizontal="center" vertical="center"/>
    </xf>
    <xf numFmtId="0" fontId="0" fillId="0" borderId="80"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75" fillId="88" borderId="81" xfId="0" applyFont="1" applyFill="1" applyBorder="1" applyAlignment="1">
      <alignment horizontal="center" vertical="center"/>
    </xf>
    <xf numFmtId="0" fontId="0" fillId="89" borderId="85" xfId="0" applyFill="1" applyBorder="1" applyAlignment="1">
      <alignment horizontal="center" vertical="center" wrapText="1"/>
    </xf>
    <xf numFmtId="0" fontId="0" fillId="90" borderId="85" xfId="0" applyFill="1" applyBorder="1" applyAlignment="1">
      <alignment horizontal="center" vertical="center" wrapText="1"/>
    </xf>
    <xf numFmtId="0" fontId="0" fillId="91" borderId="85" xfId="0" applyFill="1" applyBorder="1" applyAlignment="1">
      <alignment horizontal="center" vertical="center" wrapText="1"/>
    </xf>
    <xf numFmtId="0" fontId="0" fillId="89" borderId="86" xfId="0" applyFill="1" applyBorder="1" applyAlignment="1">
      <alignment horizontal="center" vertical="center" wrapText="1"/>
    </xf>
    <xf numFmtId="0" fontId="0" fillId="81" borderId="86" xfId="0" applyFill="1" applyBorder="1" applyAlignment="1">
      <alignment horizontal="center" vertical="center" wrapText="1"/>
    </xf>
    <xf numFmtId="0" fontId="0" fillId="89" borderId="86" xfId="0" applyFill="1" applyBorder="1" applyAlignment="1">
      <alignment horizontal="center" vertical="center"/>
    </xf>
    <xf numFmtId="0" fontId="0" fillId="81" borderId="86" xfId="0" applyFill="1" applyBorder="1" applyAlignment="1">
      <alignment horizontal="center" vertical="center"/>
    </xf>
    <xf numFmtId="0" fontId="0" fillId="81" borderId="87" xfId="0" applyFill="1" applyBorder="1" applyAlignment="1">
      <alignment horizontal="center" vertical="center"/>
    </xf>
    <xf numFmtId="0" fontId="0" fillId="89" borderId="28" xfId="0" applyFill="1" applyBorder="1" applyAlignment="1">
      <alignment horizontal="center" vertical="center"/>
    </xf>
    <xf numFmtId="0" fontId="0" fillId="0" borderId="0" xfId="0" applyAlignment="1">
      <alignment vertical="center"/>
    </xf>
    <xf numFmtId="0" fontId="0" fillId="0" borderId="0" xfId="0" applyAlignment="1">
      <alignment horizontal="center" wrapText="1"/>
    </xf>
    <xf numFmtId="0" fontId="0" fillId="73" borderId="29" xfId="0" applyFill="1" applyBorder="1" applyAlignment="1">
      <alignment horizontal="center" vertical="center"/>
    </xf>
    <xf numFmtId="0" fontId="0" fillId="73" borderId="30" xfId="0" applyFill="1" applyBorder="1" applyAlignment="1">
      <alignment horizontal="center" vertical="center"/>
    </xf>
    <xf numFmtId="0" fontId="0" fillId="73" borderId="31" xfId="0" applyFill="1" applyBorder="1" applyAlignment="1">
      <alignment horizontal="center" vertical="center" wrapText="1"/>
    </xf>
    <xf numFmtId="9" fontId="94" fillId="83" borderId="29" xfId="10379" applyFont="1" applyFill="1" applyBorder="1" applyAlignment="1">
      <alignment horizontal="center" vertical="center"/>
    </xf>
    <xf numFmtId="0" fontId="94" fillId="83" borderId="31" xfId="0" applyFont="1" applyFill="1" applyBorder="1" applyAlignment="1">
      <alignment horizontal="center" vertical="center"/>
    </xf>
    <xf numFmtId="0" fontId="81" fillId="85" borderId="29" xfId="0" applyFont="1" applyFill="1" applyBorder="1" applyAlignment="1">
      <alignment horizontal="center" vertical="center"/>
    </xf>
    <xf numFmtId="0" fontId="81" fillId="85" borderId="31" xfId="0" applyFont="1" applyFill="1" applyBorder="1" applyAlignment="1">
      <alignment horizontal="center" vertical="center" wrapText="1"/>
    </xf>
    <xf numFmtId="0" fontId="98" fillId="92" borderId="0" xfId="0" applyFont="1" applyFill="1"/>
    <xf numFmtId="0" fontId="0" fillId="0" borderId="24" xfId="0" applyBorder="1" applyAlignment="1">
      <alignment horizontal="center"/>
    </xf>
    <xf numFmtId="0" fontId="0" fillId="0" borderId="25" xfId="0" applyBorder="1" applyAlignment="1">
      <alignment horizontal="center"/>
    </xf>
    <xf numFmtId="0" fontId="0" fillId="0" borderId="32" xfId="0" applyBorder="1" applyAlignment="1">
      <alignment horizontal="center"/>
    </xf>
    <xf numFmtId="0" fontId="0" fillId="93" borderId="24" xfId="0" applyFill="1" applyBorder="1" applyAlignment="1">
      <alignment horizontal="center"/>
    </xf>
    <xf numFmtId="0" fontId="0" fillId="93" borderId="35" xfId="0" applyFill="1" applyBorder="1" applyAlignment="1">
      <alignment horizontal="center"/>
    </xf>
    <xf numFmtId="0" fontId="0" fillId="93" borderId="35" xfId="0" applyFill="1" applyBorder="1"/>
    <xf numFmtId="0" fontId="75" fillId="0" borderId="31" xfId="0" applyFont="1" applyBorder="1"/>
    <xf numFmtId="0" fontId="24" fillId="0" borderId="0" xfId="7297" applyFont="1"/>
    <xf numFmtId="0" fontId="102" fillId="0" borderId="8" xfId="7297" applyFont="1" applyBorder="1"/>
    <xf numFmtId="174" fontId="24" fillId="35" borderId="25" xfId="10381" applyBorder="1"/>
    <xf numFmtId="174" fontId="24" fillId="35" borderId="6" xfId="10381" applyBorder="1"/>
    <xf numFmtId="174" fontId="24" fillId="35" borderId="32" xfId="10381" applyBorder="1"/>
    <xf numFmtId="174" fontId="24" fillId="35" borderId="24" xfId="10381" applyBorder="1"/>
    <xf numFmtId="174" fontId="24" fillId="35" borderId="0" xfId="10381"/>
    <xf numFmtId="180" fontId="103" fillId="66" borderId="0" xfId="10381" applyNumberFormat="1" applyFont="1" applyFill="1"/>
    <xf numFmtId="174" fontId="24" fillId="35" borderId="35" xfId="10381" applyBorder="1"/>
    <xf numFmtId="174" fontId="24" fillId="35" borderId="33" xfId="10381" applyBorder="1"/>
    <xf numFmtId="174" fontId="24" fillId="35" borderId="7" xfId="10381" applyBorder="1"/>
    <xf numFmtId="181" fontId="84" fillId="66" borderId="7" xfId="10381" applyNumberFormat="1" applyFont="1" applyFill="1" applyBorder="1" applyProtection="1">
      <protection locked="0"/>
    </xf>
    <xf numFmtId="174" fontId="24" fillId="35" borderId="34" xfId="10381" applyBorder="1"/>
    <xf numFmtId="174" fontId="53" fillId="94" borderId="0" xfId="10381" applyFont="1" applyFill="1"/>
    <xf numFmtId="174" fontId="24" fillId="94" borderId="0" xfId="10381" applyFill="1"/>
    <xf numFmtId="174" fontId="10" fillId="35" borderId="6" xfId="10381" applyFont="1" applyBorder="1"/>
    <xf numFmtId="181" fontId="104" fillId="35" borderId="6" xfId="10381" applyNumberFormat="1" applyFont="1" applyBorder="1"/>
    <xf numFmtId="174" fontId="24" fillId="35" borderId="53" xfId="10381" applyBorder="1"/>
    <xf numFmtId="174" fontId="10" fillId="35" borderId="0" xfId="10381" applyFont="1"/>
    <xf numFmtId="181" fontId="104" fillId="35" borderId="0" xfId="10381" applyNumberFormat="1" applyFont="1"/>
    <xf numFmtId="174" fontId="24" fillId="35" borderId="51" xfId="10381" applyBorder="1"/>
    <xf numFmtId="181" fontId="105" fillId="35" borderId="0" xfId="10381" applyNumberFormat="1" applyFont="1"/>
    <xf numFmtId="182" fontId="24" fillId="94" borderId="0" xfId="10381" applyNumberFormat="1" applyFill="1"/>
    <xf numFmtId="183" fontId="10" fillId="35" borderId="0" xfId="10381" applyNumberFormat="1" applyFont="1"/>
    <xf numFmtId="181" fontId="10" fillId="35" borderId="0" xfId="10381" applyNumberFormat="1" applyFont="1"/>
    <xf numFmtId="4" fontId="104" fillId="35" borderId="0" xfId="10381" applyNumberFormat="1" applyFont="1"/>
    <xf numFmtId="174" fontId="10" fillId="66" borderId="0" xfId="10381" applyFont="1" applyFill="1" applyAlignment="1">
      <alignment horizontal="left"/>
    </xf>
    <xf numFmtId="4" fontId="10" fillId="35" borderId="0" xfId="10381" applyNumberFormat="1" applyFont="1"/>
    <xf numFmtId="174" fontId="10" fillId="35" borderId="24" xfId="10381" applyFont="1" applyBorder="1"/>
    <xf numFmtId="181" fontId="24" fillId="35" borderId="0" xfId="10381" applyNumberFormat="1"/>
    <xf numFmtId="174" fontId="24" fillId="35" borderId="52" xfId="10381" applyBorder="1"/>
    <xf numFmtId="2" fontId="40" fillId="35" borderId="0" xfId="10381" applyNumberFormat="1" applyFont="1"/>
    <xf numFmtId="2" fontId="22" fillId="35" borderId="0" xfId="10381" applyNumberFormat="1" applyFont="1"/>
    <xf numFmtId="2" fontId="24" fillId="35" borderId="0" xfId="10381" applyNumberFormat="1"/>
    <xf numFmtId="2" fontId="24" fillId="79" borderId="0" xfId="10381" applyNumberFormat="1" applyFill="1"/>
    <xf numFmtId="2" fontId="24" fillId="35" borderId="52" xfId="10381" applyNumberFormat="1" applyBorder="1"/>
    <xf numFmtId="174" fontId="103" fillId="81" borderId="0" xfId="10381" applyFont="1" applyFill="1"/>
    <xf numFmtId="174" fontId="103" fillId="81" borderId="52" xfId="10381" applyFont="1" applyFill="1" applyBorder="1"/>
    <xf numFmtId="180" fontId="40" fillId="66" borderId="0" xfId="10381" applyNumberFormat="1" applyFont="1" applyFill="1"/>
    <xf numFmtId="43" fontId="22" fillId="66" borderId="0" xfId="10381" applyNumberFormat="1" applyFont="1" applyFill="1"/>
    <xf numFmtId="184" fontId="40" fillId="66" borderId="0" xfId="10381" applyNumberFormat="1" applyFont="1" applyFill="1"/>
    <xf numFmtId="180" fontId="40" fillId="35" borderId="0" xfId="10381" applyNumberFormat="1" applyFont="1"/>
    <xf numFmtId="180" fontId="22" fillId="35" borderId="0" xfId="10381" applyNumberFormat="1" applyFont="1"/>
    <xf numFmtId="43" fontId="40" fillId="35" borderId="0" xfId="10381" applyNumberFormat="1" applyFont="1"/>
    <xf numFmtId="181" fontId="84" fillId="81" borderId="0" xfId="10381" applyNumberFormat="1" applyFont="1" applyFill="1"/>
    <xf numFmtId="174" fontId="24" fillId="35" borderId="36" xfId="10381" applyBorder="1"/>
    <xf numFmtId="174" fontId="106" fillId="35" borderId="9" xfId="10381" applyFont="1" applyBorder="1"/>
    <xf numFmtId="174" fontId="106" fillId="35" borderId="43" xfId="10381" applyFont="1" applyBorder="1"/>
    <xf numFmtId="174" fontId="106" fillId="35" borderId="44" xfId="10381" applyFont="1" applyBorder="1"/>
    <xf numFmtId="174" fontId="24" fillId="35" borderId="37" xfId="10381" applyBorder="1"/>
    <xf numFmtId="174" fontId="24" fillId="35" borderId="88" xfId="10381" applyBorder="1"/>
    <xf numFmtId="174" fontId="24" fillId="35" borderId="89" xfId="10381" applyBorder="1"/>
    <xf numFmtId="185" fontId="24" fillId="94" borderId="0" xfId="10381" applyNumberFormat="1" applyFill="1"/>
    <xf numFmtId="174" fontId="103" fillId="66" borderId="54" xfId="10381" applyFont="1" applyFill="1" applyBorder="1"/>
    <xf numFmtId="174" fontId="107" fillId="35" borderId="53" xfId="10381" applyFont="1" applyBorder="1"/>
    <xf numFmtId="174" fontId="108" fillId="66" borderId="32" xfId="10381" applyFont="1" applyFill="1" applyBorder="1"/>
    <xf numFmtId="178" fontId="10" fillId="35" borderId="0" xfId="10381" applyNumberFormat="1" applyFont="1" applyProtection="1">
      <protection locked="0"/>
    </xf>
    <xf numFmtId="178" fontId="24" fillId="66" borderId="0" xfId="10381" applyNumberFormat="1" applyFill="1" applyProtection="1">
      <protection locked="0"/>
    </xf>
    <xf numFmtId="178" fontId="24" fillId="66" borderId="52" xfId="10381" applyNumberFormat="1" applyFill="1" applyBorder="1" applyProtection="1">
      <protection locked="0"/>
    </xf>
    <xf numFmtId="174" fontId="106" fillId="35" borderId="51" xfId="10381" applyFont="1" applyBorder="1"/>
    <xf numFmtId="2" fontId="109" fillId="35" borderId="0" xfId="10381" applyNumberFormat="1" applyFont="1" applyProtection="1">
      <protection locked="0"/>
    </xf>
    <xf numFmtId="1" fontId="109" fillId="65" borderId="0" xfId="10381" applyNumberFormat="1" applyFont="1" applyFill="1" applyProtection="1">
      <protection locked="0"/>
    </xf>
    <xf numFmtId="1" fontId="109" fillId="65" borderId="52" xfId="10381" applyNumberFormat="1" applyFont="1" applyFill="1" applyBorder="1" applyProtection="1">
      <protection locked="0"/>
    </xf>
    <xf numFmtId="174" fontId="103" fillId="35" borderId="0" xfId="10381" applyFont="1"/>
    <xf numFmtId="174" fontId="103" fillId="35" borderId="52" xfId="10381" applyFont="1" applyBorder="1"/>
    <xf numFmtId="174" fontId="106" fillId="35" borderId="35" xfId="10381" applyFont="1" applyBorder="1"/>
    <xf numFmtId="178" fontId="109" fillId="66" borderId="0" xfId="10381" applyNumberFormat="1" applyFont="1" applyFill="1" applyProtection="1">
      <protection locked="0"/>
    </xf>
    <xf numFmtId="178" fontId="109" fillId="66" borderId="52" xfId="10381" applyNumberFormat="1" applyFont="1" applyFill="1" applyBorder="1" applyProtection="1">
      <protection locked="0"/>
    </xf>
    <xf numFmtId="174" fontId="103" fillId="35" borderId="0" xfId="10381" applyFont="1" applyProtection="1">
      <protection locked="0"/>
    </xf>
    <xf numFmtId="169" fontId="109" fillId="35" borderId="0" xfId="10381" applyNumberFormat="1" applyFont="1"/>
    <xf numFmtId="180" fontId="103" fillId="35" borderId="0" xfId="10381" applyNumberFormat="1" applyFont="1" applyProtection="1">
      <protection locked="0"/>
    </xf>
    <xf numFmtId="174" fontId="12" fillId="35" borderId="35" xfId="10381" applyFont="1" applyBorder="1"/>
    <xf numFmtId="174" fontId="24" fillId="35" borderId="35" xfId="10381" applyBorder="1" applyAlignment="1">
      <alignment horizontal="left" indent="1"/>
    </xf>
    <xf numFmtId="1" fontId="104" fillId="35" borderId="0" xfId="10381" applyNumberFormat="1" applyFont="1" applyProtection="1">
      <protection locked="0"/>
    </xf>
    <xf numFmtId="174" fontId="103" fillId="35" borderId="52" xfId="10381" applyFont="1" applyBorder="1" applyProtection="1">
      <protection locked="0"/>
    </xf>
    <xf numFmtId="2" fontId="109" fillId="66" borderId="0" xfId="10381" applyNumberFormat="1" applyFont="1" applyFill="1" applyProtection="1">
      <protection locked="0"/>
    </xf>
    <xf numFmtId="2" fontId="109" fillId="66" borderId="52" xfId="10381" applyNumberFormat="1" applyFont="1" applyFill="1" applyBorder="1" applyProtection="1">
      <protection locked="0"/>
    </xf>
    <xf numFmtId="169" fontId="109" fillId="35" borderId="52" xfId="10381" applyNumberFormat="1" applyFont="1" applyBorder="1"/>
    <xf numFmtId="1" fontId="104" fillId="79" borderId="0" xfId="10381" applyNumberFormat="1" applyFont="1" applyFill="1" applyProtection="1">
      <protection locked="0"/>
    </xf>
    <xf numFmtId="180" fontId="10" fillId="66" borderId="0" xfId="10381" applyNumberFormat="1" applyFont="1" applyFill="1" applyProtection="1">
      <protection locked="0"/>
    </xf>
    <xf numFmtId="180" fontId="10" fillId="79" borderId="0" xfId="10381" applyNumberFormat="1" applyFont="1" applyFill="1" applyProtection="1">
      <protection locked="0"/>
    </xf>
    <xf numFmtId="180" fontId="10" fillId="79" borderId="52" xfId="10381" applyNumberFormat="1" applyFont="1" applyFill="1" applyBorder="1" applyProtection="1">
      <protection locked="0"/>
    </xf>
    <xf numFmtId="174" fontId="10" fillId="35" borderId="35" xfId="10381" applyFont="1" applyBorder="1"/>
    <xf numFmtId="3" fontId="24" fillId="35" borderId="0" xfId="10381" applyNumberFormat="1"/>
    <xf numFmtId="174" fontId="107" fillId="35" borderId="51" xfId="10381" applyFont="1" applyBorder="1"/>
    <xf numFmtId="174" fontId="109" fillId="35" borderId="0" xfId="10381" applyFont="1" applyProtection="1">
      <protection locked="0"/>
    </xf>
    <xf numFmtId="174" fontId="109" fillId="66" borderId="52" xfId="10381" applyFont="1" applyFill="1" applyBorder="1" applyProtection="1">
      <protection locked="0"/>
    </xf>
    <xf numFmtId="174" fontId="103" fillId="79" borderId="0" xfId="10381" applyFont="1" applyFill="1" applyProtection="1">
      <protection locked="0"/>
    </xf>
    <xf numFmtId="174" fontId="103" fillId="79" borderId="52" xfId="10381" applyFont="1" applyFill="1" applyBorder="1" applyProtection="1">
      <protection locked="0"/>
    </xf>
    <xf numFmtId="186" fontId="105" fillId="35" borderId="0" xfId="10381" applyNumberFormat="1" applyFont="1" applyProtection="1">
      <protection locked="0"/>
    </xf>
    <xf numFmtId="43" fontId="40" fillId="66" borderId="0" xfId="10381" applyNumberFormat="1" applyFont="1" applyFill="1" applyProtection="1">
      <protection locked="0"/>
    </xf>
    <xf numFmtId="43" fontId="24" fillId="66" borderId="52" xfId="10381" applyNumberFormat="1" applyFill="1" applyBorder="1" applyProtection="1">
      <protection locked="0"/>
    </xf>
    <xf numFmtId="174" fontId="109" fillId="66" borderId="35" xfId="10381" applyFont="1" applyFill="1" applyBorder="1"/>
    <xf numFmtId="187" fontId="84" fillId="35" borderId="0" xfId="10381" applyNumberFormat="1" applyFont="1"/>
    <xf numFmtId="174" fontId="24" fillId="35" borderId="24" xfId="10381" quotePrefix="1" applyBorder="1"/>
    <xf numFmtId="181" fontId="10" fillId="35" borderId="0" xfId="10381" applyNumberFormat="1" applyFont="1" applyProtection="1">
      <protection locked="0"/>
    </xf>
    <xf numFmtId="43" fontId="40" fillId="35" borderId="0" xfId="10381" applyNumberFormat="1" applyFont="1" applyProtection="1">
      <protection locked="0"/>
    </xf>
    <xf numFmtId="43" fontId="40" fillId="35" borderId="52" xfId="10381" applyNumberFormat="1" applyFont="1" applyBorder="1" applyProtection="1">
      <protection locked="0"/>
    </xf>
    <xf numFmtId="174" fontId="110" fillId="35" borderId="0" xfId="10381" applyFont="1"/>
    <xf numFmtId="181" fontId="10" fillId="35" borderId="52" xfId="10381" applyNumberFormat="1" applyFont="1" applyBorder="1" applyProtection="1">
      <protection locked="0"/>
    </xf>
    <xf numFmtId="181" fontId="10" fillId="79" borderId="52" xfId="10381" applyNumberFormat="1" applyFont="1" applyFill="1" applyBorder="1" applyProtection="1">
      <protection locked="0"/>
    </xf>
    <xf numFmtId="174" fontId="106" fillId="35" borderId="0" xfId="10381" applyFont="1"/>
    <xf numFmtId="174" fontId="106" fillId="35" borderId="52" xfId="10381" applyFont="1" applyBorder="1"/>
    <xf numFmtId="174" fontId="24" fillId="35" borderId="9" xfId="10381" applyBorder="1"/>
    <xf numFmtId="174" fontId="106" fillId="79" borderId="9" xfId="10381" applyFont="1" applyFill="1" applyBorder="1"/>
    <xf numFmtId="174" fontId="106" fillId="79" borderId="43" xfId="10381" applyFont="1" applyFill="1" applyBorder="1"/>
    <xf numFmtId="43" fontId="24" fillId="94" borderId="0" xfId="10381" applyNumberFormat="1" applyFill="1"/>
    <xf numFmtId="9" fontId="24" fillId="94" borderId="0" xfId="10381" applyNumberFormat="1" applyFill="1"/>
    <xf numFmtId="174" fontId="12" fillId="94" borderId="0" xfId="10381" applyFont="1" applyFill="1"/>
    <xf numFmtId="3" fontId="24" fillId="94" borderId="0" xfId="10381" applyNumberFormat="1" applyFill="1"/>
    <xf numFmtId="174" fontId="111" fillId="35" borderId="35" xfId="10381" applyFont="1" applyBorder="1"/>
    <xf numFmtId="174" fontId="10" fillId="66" borderId="35" xfId="10382" applyFill="1" applyBorder="1"/>
    <xf numFmtId="174" fontId="111" fillId="35" borderId="34" xfId="10381" applyFont="1" applyBorder="1"/>
    <xf numFmtId="188" fontId="112" fillId="94" borderId="0" xfId="10381" applyNumberFormat="1" applyFont="1" applyFill="1"/>
    <xf numFmtId="1" fontId="50" fillId="81" borderId="0" xfId="10383" applyNumberFormat="1" applyFill="1"/>
    <xf numFmtId="2" fontId="50" fillId="81" borderId="0" xfId="10383" applyNumberFormat="1" applyFill="1"/>
    <xf numFmtId="174" fontId="50" fillId="81" borderId="0" xfId="10383" applyNumberFormat="1" applyFill="1"/>
    <xf numFmtId="0" fontId="113" fillId="0" borderId="90" xfId="0" applyFont="1" applyBorder="1" applyAlignment="1">
      <alignment horizontal="left" vertical="top" wrapText="1"/>
    </xf>
    <xf numFmtId="0" fontId="114" fillId="0" borderId="90" xfId="0" applyFont="1" applyBorder="1" applyAlignment="1">
      <alignment horizontal="left" vertical="top" wrapText="1"/>
    </xf>
    <xf numFmtId="1" fontId="114" fillId="0" borderId="90" xfId="0" applyNumberFormat="1" applyFont="1" applyBorder="1" applyAlignment="1">
      <alignment horizontal="center" vertical="top" wrapText="1"/>
    </xf>
    <xf numFmtId="0" fontId="115" fillId="0" borderId="90" xfId="0" applyFont="1" applyBorder="1" applyAlignment="1">
      <alignment horizontal="left" vertical="top" wrapText="1"/>
    </xf>
    <xf numFmtId="0" fontId="115" fillId="0" borderId="90" xfId="0" applyFont="1" applyBorder="1" applyAlignment="1">
      <alignment horizontal="center" vertical="top" wrapText="1"/>
    </xf>
    <xf numFmtId="9" fontId="115" fillId="0" borderId="90" xfId="0" applyNumberFormat="1" applyFont="1" applyBorder="1" applyAlignment="1">
      <alignment horizontal="left" vertical="top" wrapText="1" indent="1"/>
    </xf>
    <xf numFmtId="9" fontId="115" fillId="0" borderId="90" xfId="0" applyNumberFormat="1" applyFont="1" applyBorder="1" applyAlignment="1">
      <alignment horizontal="center" vertical="top" wrapText="1"/>
    </xf>
    <xf numFmtId="2" fontId="115" fillId="0" borderId="90" xfId="0" applyNumberFormat="1" applyFont="1" applyBorder="1" applyAlignment="1">
      <alignment horizontal="center" vertical="top" wrapText="1"/>
    </xf>
    <xf numFmtId="2" fontId="115" fillId="0" borderId="90" xfId="0" applyNumberFormat="1" applyFont="1" applyBorder="1" applyAlignment="1">
      <alignment horizontal="right" vertical="top" wrapText="1" indent="1"/>
    </xf>
    <xf numFmtId="1" fontId="115" fillId="0" borderId="90" xfId="0" applyNumberFormat="1" applyFont="1" applyBorder="1" applyAlignment="1">
      <alignment horizontal="right" vertical="top" wrapText="1" indent="1"/>
    </xf>
    <xf numFmtId="0" fontId="116" fillId="0" borderId="90" xfId="0" applyFont="1" applyBorder="1" applyAlignment="1">
      <alignment horizontal="center" vertical="top" wrapText="1"/>
    </xf>
    <xf numFmtId="169" fontId="115" fillId="0" borderId="90" xfId="0" applyNumberFormat="1" applyFont="1" applyBorder="1" applyAlignment="1">
      <alignment horizontal="right" vertical="top" wrapText="1" indent="1"/>
    </xf>
    <xf numFmtId="169" fontId="115" fillId="0" borderId="90" xfId="0" applyNumberFormat="1" applyFont="1" applyBorder="1" applyAlignment="1">
      <alignment horizontal="center" vertical="top" wrapText="1"/>
    </xf>
    <xf numFmtId="0" fontId="114" fillId="0" borderId="90" xfId="0" applyFont="1" applyBorder="1" applyAlignment="1">
      <alignment horizontal="center" vertical="top" wrapText="1"/>
    </xf>
    <xf numFmtId="1" fontId="114" fillId="0" borderId="90" xfId="0" applyNumberFormat="1" applyFont="1" applyBorder="1" applyAlignment="1">
      <alignment horizontal="right" vertical="top" wrapText="1"/>
    </xf>
    <xf numFmtId="0" fontId="113" fillId="0" borderId="0" xfId="0" applyFont="1" applyAlignment="1">
      <alignment vertical="top" wrapText="1"/>
    </xf>
    <xf numFmtId="0" fontId="118" fillId="0" borderId="0" xfId="0" applyFont="1" applyAlignment="1">
      <alignment horizontal="left" vertical="top"/>
    </xf>
    <xf numFmtId="0" fontId="119" fillId="0" borderId="0" xfId="7297" applyFont="1"/>
    <xf numFmtId="0" fontId="120" fillId="0" borderId="0" xfId="7297" applyFont="1"/>
    <xf numFmtId="0" fontId="120" fillId="0" borderId="0" xfId="7297" applyFont="1" applyAlignment="1">
      <alignment horizontal="left" vertical="top" wrapText="1"/>
    </xf>
    <xf numFmtId="0" fontId="121" fillId="0" borderId="0" xfId="7297" applyFont="1" applyAlignment="1">
      <alignment horizontal="left" vertical="top" wrapText="1"/>
    </xf>
    <xf numFmtId="1" fontId="122" fillId="35" borderId="0" xfId="7297" applyNumberFormat="1" applyFont="1" applyFill="1" applyAlignment="1">
      <alignment vertical="top"/>
    </xf>
    <xf numFmtId="0" fontId="119" fillId="0" borderId="0" xfId="7297" applyFont="1" applyAlignment="1">
      <alignment horizontal="right" vertical="top"/>
    </xf>
    <xf numFmtId="0" fontId="119" fillId="0" borderId="0" xfId="7297" applyFont="1" applyAlignment="1">
      <alignment horizontal="right"/>
    </xf>
    <xf numFmtId="0" fontId="119" fillId="35" borderId="0" xfId="7297" applyFont="1" applyFill="1" applyAlignment="1">
      <alignment horizontal="right" vertical="top"/>
    </xf>
    <xf numFmtId="169" fontId="10" fillId="0" borderId="8" xfId="7297" applyNumberFormat="1" applyBorder="1"/>
    <xf numFmtId="189" fontId="0" fillId="0" borderId="8" xfId="10385" applyNumberFormat="1" applyFont="1" applyBorder="1"/>
    <xf numFmtId="167" fontId="119" fillId="35" borderId="0" xfId="10384" applyFont="1" applyFill="1" applyAlignment="1">
      <alignment vertical="top" wrapText="1"/>
    </xf>
    <xf numFmtId="189" fontId="10" fillId="0" borderId="0" xfId="7297" applyNumberFormat="1"/>
    <xf numFmtId="2" fontId="10" fillId="0" borderId="8" xfId="7297" applyNumberFormat="1" applyBorder="1"/>
    <xf numFmtId="0" fontId="10" fillId="0" borderId="8" xfId="7297" applyBorder="1" applyAlignment="1">
      <alignment horizontal="center" wrapText="1"/>
    </xf>
    <xf numFmtId="0" fontId="10" fillId="0" borderId="8" xfId="7297" applyBorder="1" applyAlignment="1">
      <alignment wrapText="1"/>
    </xf>
    <xf numFmtId="0" fontId="122" fillId="35" borderId="0" xfId="7297" applyFont="1" applyFill="1" applyAlignment="1">
      <alignment vertical="top" wrapText="1"/>
    </xf>
    <xf numFmtId="0" fontId="119" fillId="35" borderId="0" xfId="7297" applyFont="1" applyFill="1" applyAlignment="1">
      <alignment vertical="top" wrapText="1"/>
    </xf>
    <xf numFmtId="1" fontId="119" fillId="35" borderId="0" xfId="7297" applyNumberFormat="1" applyFont="1" applyFill="1" applyAlignment="1">
      <alignment vertical="top"/>
    </xf>
    <xf numFmtId="1" fontId="119" fillId="35" borderId="0" xfId="10384" applyNumberFormat="1" applyFont="1" applyFill="1" applyAlignment="1">
      <alignment vertical="top"/>
    </xf>
    <xf numFmtId="0" fontId="119" fillId="35" borderId="52" xfId="7297" applyFont="1" applyFill="1" applyBorder="1" applyAlignment="1">
      <alignment vertical="top" wrapText="1"/>
    </xf>
    <xf numFmtId="0" fontId="122" fillId="35" borderId="0" xfId="7297" applyFont="1" applyFill="1"/>
    <xf numFmtId="0" fontId="119" fillId="35" borderId="8" xfId="7297" applyFont="1" applyFill="1" applyBorder="1" applyAlignment="1">
      <alignment horizontal="center" vertical="top" wrapText="1"/>
    </xf>
    <xf numFmtId="0" fontId="119" fillId="35" borderId="44" xfId="7297" applyFont="1" applyFill="1" applyBorder="1" applyAlignment="1">
      <alignment horizontal="center" vertical="top" wrapText="1"/>
    </xf>
    <xf numFmtId="169" fontId="119" fillId="35" borderId="44" xfId="7297" applyNumberFormat="1" applyFont="1" applyFill="1" applyBorder="1" applyAlignment="1">
      <alignment horizontal="center" vertical="top" wrapText="1"/>
    </xf>
    <xf numFmtId="0" fontId="119" fillId="0" borderId="39" xfId="7297" applyFont="1" applyBorder="1" applyAlignment="1">
      <alignment vertical="top" wrapText="1"/>
    </xf>
    <xf numFmtId="0" fontId="119" fillId="35" borderId="44" xfId="7297" quotePrefix="1" applyFont="1" applyFill="1" applyBorder="1" applyAlignment="1">
      <alignment horizontal="center" vertical="top" wrapText="1"/>
    </xf>
    <xf numFmtId="0" fontId="119" fillId="35" borderId="51" xfId="7297" applyFont="1" applyFill="1" applyBorder="1" applyAlignment="1">
      <alignment horizontal="center" vertical="top" wrapText="1"/>
    </xf>
    <xf numFmtId="0" fontId="12" fillId="35" borderId="5" xfId="7297" applyFont="1" applyFill="1" applyBorder="1" applyAlignment="1">
      <alignment vertical="top" wrapText="1"/>
    </xf>
    <xf numFmtId="0" fontId="12" fillId="35" borderId="9" xfId="7297" applyFont="1" applyFill="1" applyBorder="1" applyAlignment="1">
      <alignment vertical="top" wrapText="1"/>
    </xf>
    <xf numFmtId="49" fontId="119" fillId="35" borderId="44" xfId="7297" quotePrefix="1" applyNumberFormat="1" applyFont="1" applyFill="1" applyBorder="1" applyAlignment="1">
      <alignment horizontal="center" vertical="top" wrapText="1"/>
    </xf>
    <xf numFmtId="0" fontId="10" fillId="0" borderId="8" xfId="7297" applyBorder="1" applyAlignment="1">
      <alignment horizontal="center"/>
    </xf>
    <xf numFmtId="0" fontId="119" fillId="35" borderId="8" xfId="7297" applyFont="1" applyFill="1" applyBorder="1" applyAlignment="1">
      <alignment horizontal="center" vertical="top"/>
    </xf>
    <xf numFmtId="169" fontId="119" fillId="72" borderId="8" xfId="7297" applyNumberFormat="1" applyFont="1" applyFill="1" applyBorder="1" applyAlignment="1">
      <alignment horizontal="center" vertical="top"/>
    </xf>
    <xf numFmtId="0" fontId="119" fillId="72" borderId="39" xfId="7297" applyFont="1" applyFill="1" applyBorder="1" applyAlignment="1">
      <alignment vertical="top" wrapText="1"/>
    </xf>
    <xf numFmtId="0" fontId="12" fillId="35" borderId="8" xfId="7297" applyFont="1" applyFill="1" applyBorder="1" applyAlignment="1">
      <alignment vertical="top"/>
    </xf>
    <xf numFmtId="0" fontId="122" fillId="72" borderId="39" xfId="7297" applyFont="1" applyFill="1" applyBorder="1" applyAlignment="1">
      <alignment vertical="top" wrapText="1"/>
    </xf>
    <xf numFmtId="169" fontId="119" fillId="72" borderId="8" xfId="7297" applyNumberFormat="1" applyFont="1" applyFill="1" applyBorder="1" applyAlignment="1">
      <alignment horizontal="center" vertical="top" wrapText="1"/>
    </xf>
    <xf numFmtId="2" fontId="119" fillId="0" borderId="8" xfId="7297" applyNumberFormat="1" applyFont="1" applyBorder="1" applyAlignment="1">
      <alignment horizontal="center" vertical="top"/>
    </xf>
    <xf numFmtId="169" fontId="119" fillId="0" borderId="8" xfId="7297" applyNumberFormat="1" applyFont="1" applyBorder="1" applyAlignment="1">
      <alignment horizontal="center" vertical="top"/>
    </xf>
    <xf numFmtId="0" fontId="122" fillId="0" borderId="39" xfId="7297" applyFont="1" applyBorder="1" applyAlignment="1">
      <alignment vertical="top" wrapText="1"/>
    </xf>
    <xf numFmtId="16" fontId="119" fillId="35" borderId="44" xfId="7297" quotePrefix="1" applyNumberFormat="1" applyFont="1" applyFill="1" applyBorder="1" applyAlignment="1">
      <alignment horizontal="center" vertical="top" wrapText="1"/>
    </xf>
    <xf numFmtId="190" fontId="119" fillId="0" borderId="8" xfId="10384" applyNumberFormat="1" applyFont="1" applyBorder="1" applyAlignment="1">
      <alignment horizontal="center" vertical="top"/>
    </xf>
    <xf numFmtId="0" fontId="119" fillId="35" borderId="39" xfId="7297" applyFont="1" applyFill="1" applyBorder="1" applyAlignment="1">
      <alignment vertical="top" wrapText="1"/>
    </xf>
    <xf numFmtId="0" fontId="119" fillId="0" borderId="39" xfId="7297" quotePrefix="1" applyFont="1" applyBorder="1" applyAlignment="1">
      <alignment vertical="top" wrapText="1"/>
    </xf>
    <xf numFmtId="16" fontId="119" fillId="35" borderId="8" xfId="7297" quotePrefix="1" applyNumberFormat="1" applyFont="1" applyFill="1" applyBorder="1" applyAlignment="1">
      <alignment horizontal="center" vertical="top" wrapText="1"/>
    </xf>
    <xf numFmtId="2" fontId="119" fillId="35" borderId="8" xfId="7297" applyNumberFormat="1" applyFont="1" applyFill="1" applyBorder="1" applyAlignment="1">
      <alignment horizontal="center" vertical="top" wrapText="1"/>
    </xf>
    <xf numFmtId="0" fontId="119" fillId="35" borderId="8" xfId="7297" applyFont="1" applyFill="1" applyBorder="1" applyAlignment="1">
      <alignment vertical="top" wrapText="1"/>
    </xf>
    <xf numFmtId="1" fontId="119" fillId="0" borderId="8" xfId="7297" applyNumberFormat="1" applyFont="1" applyBorder="1" applyAlignment="1">
      <alignment horizontal="center" vertical="top"/>
    </xf>
    <xf numFmtId="0" fontId="119" fillId="0" borderId="8" xfId="7297" applyFont="1" applyBorder="1" applyAlignment="1">
      <alignment vertical="top" wrapText="1"/>
    </xf>
    <xf numFmtId="16" fontId="119" fillId="35" borderId="8" xfId="7297" applyNumberFormat="1" applyFont="1" applyFill="1" applyBorder="1" applyAlignment="1">
      <alignment horizontal="center" vertical="top" wrapText="1"/>
    </xf>
    <xf numFmtId="2" fontId="119" fillId="0" borderId="8" xfId="7297" applyNumberFormat="1" applyFont="1" applyBorder="1" applyAlignment="1">
      <alignment horizontal="center" vertical="top" wrapText="1"/>
    </xf>
    <xf numFmtId="0" fontId="12" fillId="35" borderId="8" xfId="7297" applyFont="1" applyFill="1" applyBorder="1" applyAlignment="1">
      <alignment vertical="top" wrapText="1"/>
    </xf>
    <xf numFmtId="0" fontId="12" fillId="35" borderId="8" xfId="7297" applyFont="1" applyFill="1" applyBorder="1" applyAlignment="1">
      <alignment horizontal="center" vertical="top" wrapText="1"/>
    </xf>
    <xf numFmtId="3" fontId="119" fillId="0" borderId="8" xfId="7297" applyNumberFormat="1" applyFont="1" applyBorder="1" applyAlignment="1">
      <alignment horizontal="center" vertical="top" wrapText="1"/>
    </xf>
    <xf numFmtId="3" fontId="119" fillId="35" borderId="8" xfId="7297" applyNumberFormat="1" applyFont="1" applyFill="1" applyBorder="1" applyAlignment="1">
      <alignment horizontal="center" vertical="top" wrapText="1"/>
    </xf>
    <xf numFmtId="0" fontId="119" fillId="0" borderId="8" xfId="7297" applyFont="1" applyBorder="1" applyAlignment="1">
      <alignment horizontal="center" vertical="top" wrapText="1"/>
    </xf>
    <xf numFmtId="0" fontId="119" fillId="0" borderId="8" xfId="7297" applyFont="1" applyBorder="1"/>
    <xf numFmtId="49" fontId="119" fillId="35" borderId="8" xfId="7297" applyNumberFormat="1" applyFont="1" applyFill="1" applyBorder="1" applyAlignment="1">
      <alignment horizontal="center" vertical="top" wrapText="1"/>
    </xf>
    <xf numFmtId="4" fontId="119" fillId="35" borderId="8" xfId="7297" applyNumberFormat="1" applyFont="1" applyFill="1" applyBorder="1" applyAlignment="1">
      <alignment horizontal="center" vertical="top" wrapText="1"/>
    </xf>
    <xf numFmtId="16" fontId="119" fillId="0" borderId="8" xfId="7297" applyNumberFormat="1" applyFont="1" applyBorder="1" applyAlignment="1">
      <alignment horizontal="center" vertical="top" wrapText="1"/>
    </xf>
    <xf numFmtId="191" fontId="119" fillId="0" borderId="8" xfId="10384" applyNumberFormat="1" applyFont="1" applyBorder="1" applyAlignment="1">
      <alignment horizontal="center" vertical="top"/>
    </xf>
    <xf numFmtId="0" fontId="119" fillId="0" borderId="8" xfId="7297" quotePrefix="1" applyFont="1" applyBorder="1" applyAlignment="1">
      <alignment vertical="top" wrapText="1"/>
    </xf>
    <xf numFmtId="0" fontId="66" fillId="0" borderId="0" xfId="7297" applyFont="1"/>
    <xf numFmtId="9" fontId="0" fillId="0" borderId="0" xfId="8839" applyFont="1"/>
    <xf numFmtId="0" fontId="10" fillId="0" borderId="8" xfId="7297" applyBorder="1" applyAlignment="1">
      <alignment vertical="top" wrapText="1"/>
    </xf>
    <xf numFmtId="191" fontId="119" fillId="0" borderId="8" xfId="10384" applyNumberFormat="1" applyFont="1" applyBorder="1" applyAlignment="1">
      <alignment vertical="top" wrapText="1"/>
    </xf>
    <xf numFmtId="0" fontId="124" fillId="0" borderId="8" xfId="7297" quotePrefix="1" applyFont="1" applyBorder="1" applyAlignment="1">
      <alignment vertical="top" wrapText="1"/>
    </xf>
    <xf numFmtId="0" fontId="66" fillId="0" borderId="52" xfId="7297" applyFont="1" applyBorder="1"/>
    <xf numFmtId="9" fontId="119" fillId="0" borderId="8" xfId="7297" applyNumberFormat="1" applyFont="1" applyBorder="1" applyAlignment="1">
      <alignment horizontal="center" vertical="top" wrapText="1"/>
    </xf>
    <xf numFmtId="9" fontId="119" fillId="0" borderId="8" xfId="10385" applyFont="1" applyBorder="1" applyAlignment="1">
      <alignment vertical="top" wrapText="1"/>
    </xf>
    <xf numFmtId="9" fontId="0" fillId="0" borderId="44" xfId="8839" applyFont="1" applyBorder="1"/>
    <xf numFmtId="169" fontId="119" fillId="0" borderId="8" xfId="7297" applyNumberFormat="1" applyFont="1" applyBorder="1" applyAlignment="1">
      <alignment horizontal="center" vertical="top" wrapText="1"/>
    </xf>
    <xf numFmtId="0" fontId="10" fillId="0" borderId="8" xfId="7297" applyBorder="1" applyAlignment="1">
      <alignment horizontal="left" indent="1"/>
    </xf>
    <xf numFmtId="0" fontId="10" fillId="0" borderId="8" xfId="7297" applyBorder="1" applyAlignment="1">
      <alignment horizontal="left" vertical="top" wrapText="1" indent="1"/>
    </xf>
    <xf numFmtId="3" fontId="119" fillId="0" borderId="8" xfId="7297" applyNumberFormat="1" applyFont="1" applyBorder="1"/>
    <xf numFmtId="0" fontId="124" fillId="35" borderId="8" xfId="7297" quotePrefix="1" applyFont="1" applyFill="1" applyBorder="1" applyAlignment="1">
      <alignment vertical="top" wrapText="1"/>
    </xf>
    <xf numFmtId="190" fontId="119" fillId="35" borderId="8" xfId="7297" applyNumberFormat="1" applyFont="1" applyFill="1" applyBorder="1" applyAlignment="1">
      <alignment horizontal="center" vertical="top" wrapText="1"/>
    </xf>
    <xf numFmtId="0" fontId="119" fillId="35" borderId="42" xfId="7297" applyFont="1" applyFill="1" applyBorder="1" applyAlignment="1">
      <alignment horizontal="center" vertical="top" wrapText="1"/>
    </xf>
    <xf numFmtId="0" fontId="119" fillId="35" borderId="42" xfId="7297" applyFont="1" applyFill="1" applyBorder="1" applyAlignment="1">
      <alignment vertical="top" wrapText="1"/>
    </xf>
    <xf numFmtId="0" fontId="12" fillId="35" borderId="40" xfId="7297" applyFont="1" applyFill="1" applyBorder="1" applyAlignment="1">
      <alignment vertical="top" wrapText="1"/>
    </xf>
    <xf numFmtId="0" fontId="12" fillId="35" borderId="41" xfId="7297" applyFont="1" applyFill="1" applyBorder="1" applyAlignment="1">
      <alignment vertical="top" wrapText="1"/>
    </xf>
    <xf numFmtId="0" fontId="12" fillId="35" borderId="44" xfId="7297" applyFont="1" applyFill="1" applyBorder="1" applyAlignment="1">
      <alignment horizontal="center" vertical="top" wrapText="1"/>
    </xf>
    <xf numFmtId="0" fontId="119" fillId="35" borderId="0" xfId="7297" applyFont="1" applyFill="1"/>
    <xf numFmtId="0" fontId="125" fillId="35" borderId="0" xfId="7297" applyFont="1" applyFill="1"/>
    <xf numFmtId="0" fontId="10" fillId="0" borderId="0" xfId="7297" applyAlignment="1">
      <alignment horizontal="left" vertical="center"/>
    </xf>
    <xf numFmtId="167" fontId="0" fillId="0" borderId="0" xfId="10384" applyFont="1"/>
    <xf numFmtId="49" fontId="119" fillId="35" borderId="8" xfId="7297" quotePrefix="1" applyNumberFormat="1" applyFont="1" applyFill="1" applyBorder="1" applyAlignment="1">
      <alignment horizontal="center" vertical="top" wrapText="1"/>
    </xf>
    <xf numFmtId="0" fontId="122" fillId="0" borderId="8" xfId="7297" applyFont="1" applyBorder="1" applyAlignment="1">
      <alignment vertical="top" wrapText="1"/>
    </xf>
    <xf numFmtId="1" fontId="119" fillId="35" borderId="8" xfId="7297" applyNumberFormat="1" applyFont="1" applyFill="1" applyBorder="1" applyAlignment="1">
      <alignment horizontal="center" vertical="top" wrapText="1"/>
    </xf>
    <xf numFmtId="190" fontId="119" fillId="0" borderId="8" xfId="10384" applyNumberFormat="1" applyFont="1" applyBorder="1" applyAlignment="1">
      <alignment horizontal="center" vertical="top" wrapText="1"/>
    </xf>
    <xf numFmtId="0" fontId="12" fillId="0" borderId="8" xfId="7297" applyFont="1" applyBorder="1" applyAlignment="1">
      <alignment vertical="top" wrapText="1"/>
    </xf>
    <xf numFmtId="0" fontId="10" fillId="35" borderId="8" xfId="7297" applyFill="1" applyBorder="1" applyAlignment="1">
      <alignment vertical="top" wrapText="1"/>
    </xf>
    <xf numFmtId="10" fontId="10" fillId="0" borderId="94" xfId="7297" applyNumberFormat="1" applyBorder="1"/>
    <xf numFmtId="10" fontId="10" fillId="0" borderId="95" xfId="7297" applyNumberFormat="1" applyBorder="1"/>
    <xf numFmtId="10" fontId="10" fillId="0" borderId="96" xfId="7297" applyNumberFormat="1" applyBorder="1"/>
    <xf numFmtId="10" fontId="10" fillId="0" borderId="97" xfId="7297" applyNumberFormat="1" applyBorder="1"/>
    <xf numFmtId="10" fontId="10" fillId="0" borderId="98" xfId="7297" applyNumberFormat="1" applyBorder="1"/>
    <xf numFmtId="0" fontId="10" fillId="0" borderId="99" xfId="7297" applyBorder="1" applyAlignment="1">
      <alignment vertical="top" wrapText="1"/>
    </xf>
    <xf numFmtId="10" fontId="10" fillId="0" borderId="100" xfId="7297" applyNumberFormat="1" applyBorder="1"/>
    <xf numFmtId="10" fontId="10" fillId="0" borderId="101" xfId="7297" applyNumberFormat="1" applyBorder="1"/>
    <xf numFmtId="10" fontId="10" fillId="0" borderId="38" xfId="7297" applyNumberFormat="1" applyBorder="1"/>
    <xf numFmtId="10" fontId="10" fillId="0" borderId="102" xfId="7297" applyNumberFormat="1" applyBorder="1"/>
    <xf numFmtId="10" fontId="10" fillId="0" borderId="103" xfId="7297" applyNumberFormat="1" applyBorder="1"/>
    <xf numFmtId="0" fontId="10" fillId="0" borderId="104" xfId="7297" applyBorder="1" applyAlignment="1">
      <alignment vertical="top" wrapText="1"/>
    </xf>
    <xf numFmtId="2" fontId="10" fillId="0" borderId="76" xfId="7297" applyNumberFormat="1" applyBorder="1"/>
    <xf numFmtId="2" fontId="10" fillId="0" borderId="42" xfId="7297" applyNumberFormat="1" applyBorder="1"/>
    <xf numFmtId="2" fontId="10" fillId="0" borderId="105" xfId="7297" applyNumberFormat="1" applyBorder="1"/>
    <xf numFmtId="2" fontId="10" fillId="0" borderId="47" xfId="7297" applyNumberFormat="1" applyBorder="1"/>
    <xf numFmtId="0" fontId="10" fillId="0" borderId="49" xfId="7297" applyBorder="1" applyAlignment="1">
      <alignment vertical="top" wrapText="1"/>
    </xf>
    <xf numFmtId="189" fontId="119" fillId="0" borderId="8" xfId="10385" applyNumberFormat="1" applyFont="1" applyBorder="1" applyAlignment="1">
      <alignment vertical="top" wrapText="1"/>
    </xf>
    <xf numFmtId="0" fontId="10" fillId="0" borderId="8" xfId="7297" quotePrefix="1" applyBorder="1" applyAlignment="1">
      <alignment vertical="top" wrapText="1"/>
    </xf>
    <xf numFmtId="2" fontId="10" fillId="0" borderId="77" xfId="7297" applyNumberFormat="1" applyBorder="1"/>
    <xf numFmtId="2" fontId="10" fillId="0" borderId="106" xfId="7297" applyNumberFormat="1" applyBorder="1"/>
    <xf numFmtId="2" fontId="10" fillId="0" borderId="41" xfId="7297" applyNumberFormat="1" applyBorder="1"/>
    <xf numFmtId="2" fontId="10" fillId="0" borderId="40" xfId="7297" applyNumberFormat="1" applyBorder="1"/>
    <xf numFmtId="0" fontId="10" fillId="0" borderId="13" xfId="7297" applyBorder="1" applyAlignment="1">
      <alignment vertical="top" wrapText="1"/>
    </xf>
    <xf numFmtId="0" fontId="127" fillId="0" borderId="8" xfId="7297" quotePrefix="1" applyFont="1" applyBorder="1" applyAlignment="1">
      <alignment vertical="top" wrapText="1"/>
    </xf>
    <xf numFmtId="4" fontId="10" fillId="0" borderId="77" xfId="7297" applyNumberFormat="1" applyBorder="1"/>
    <xf numFmtId="4" fontId="10" fillId="0" borderId="8" xfId="7297" applyNumberFormat="1" applyBorder="1"/>
    <xf numFmtId="4" fontId="10" fillId="0" borderId="106" xfId="7297" applyNumberFormat="1" applyBorder="1"/>
    <xf numFmtId="0" fontId="10" fillId="0" borderId="13" xfId="7297" applyBorder="1"/>
    <xf numFmtId="0" fontId="100" fillId="0" borderId="8" xfId="7297" applyFont="1" applyBorder="1"/>
    <xf numFmtId="0" fontId="10" fillId="0" borderId="77" xfId="7297" applyBorder="1"/>
    <xf numFmtId="0" fontId="10" fillId="0" borderId="106" xfId="7297" applyBorder="1"/>
    <xf numFmtId="0" fontId="10" fillId="0" borderId="41" xfId="7297" applyBorder="1"/>
    <xf numFmtId="0" fontId="10" fillId="0" borderId="40" xfId="7297" applyBorder="1"/>
    <xf numFmtId="167" fontId="119" fillId="0" borderId="8" xfId="10384" applyFont="1" applyBorder="1" applyAlignment="1">
      <alignment vertical="top" wrapText="1"/>
    </xf>
    <xf numFmtId="10" fontId="119" fillId="0" borderId="8" xfId="10385" applyNumberFormat="1" applyFont="1" applyBorder="1" applyAlignment="1">
      <alignment vertical="top" wrapText="1"/>
    </xf>
    <xf numFmtId="10" fontId="119" fillId="0" borderId="8" xfId="7297" applyNumberFormat="1" applyFont="1" applyBorder="1" applyAlignment="1">
      <alignment horizontal="center" vertical="top" wrapText="1"/>
    </xf>
    <xf numFmtId="190" fontId="119" fillId="0" borderId="8" xfId="10384" applyNumberFormat="1" applyFont="1" applyBorder="1" applyAlignment="1">
      <alignment vertical="top" wrapText="1"/>
    </xf>
    <xf numFmtId="9" fontId="119" fillId="0" borderId="8" xfId="10385" applyFont="1" applyBorder="1" applyAlignment="1">
      <alignment horizontal="center" vertical="top" wrapText="1"/>
    </xf>
    <xf numFmtId="0" fontId="66" fillId="0" borderId="32" xfId="7297" applyFont="1" applyBorder="1"/>
    <xf numFmtId="0" fontId="127" fillId="35" borderId="8" xfId="7297" quotePrefix="1" applyFont="1" applyFill="1" applyBorder="1" applyAlignment="1">
      <alignment vertical="top" wrapText="1"/>
    </xf>
    <xf numFmtId="165" fontId="10" fillId="0" borderId="108" xfId="7297" applyNumberFormat="1" applyBorder="1"/>
    <xf numFmtId="0" fontId="121" fillId="0" borderId="0" xfId="7297" applyFont="1" applyAlignment="1">
      <alignment horizontal="left" vertical="top"/>
    </xf>
    <xf numFmtId="1" fontId="119" fillId="35" borderId="0" xfId="7297" quotePrefix="1" applyNumberFormat="1" applyFont="1" applyFill="1" applyAlignment="1">
      <alignment horizontal="center" vertical="top" wrapText="1"/>
    </xf>
    <xf numFmtId="0" fontId="10" fillId="0" borderId="0" xfId="7297" applyAlignment="1">
      <alignment horizontal="center"/>
    </xf>
    <xf numFmtId="0" fontId="119" fillId="35" borderId="0" xfId="7297" applyFont="1" applyFill="1" applyAlignment="1">
      <alignment horizontal="center" vertical="top"/>
    </xf>
    <xf numFmtId="169" fontId="119" fillId="0" borderId="0" xfId="7297" applyNumberFormat="1" applyFont="1" applyAlignment="1">
      <alignment horizontal="center" vertical="top"/>
    </xf>
    <xf numFmtId="169" fontId="119" fillId="35" borderId="8" xfId="7297" applyNumberFormat="1" applyFont="1" applyFill="1" applyBorder="1" applyAlignment="1">
      <alignment horizontal="center" vertical="top"/>
    </xf>
    <xf numFmtId="0" fontId="119" fillId="35" borderId="8" xfId="7297" quotePrefix="1" applyFont="1" applyFill="1" applyBorder="1" applyAlignment="1">
      <alignment horizontal="center" vertical="top" wrapText="1"/>
    </xf>
    <xf numFmtId="0" fontId="119" fillId="0" borderId="8" xfId="7297" applyFont="1" applyBorder="1" applyAlignment="1">
      <alignment horizontal="left" vertical="top" wrapText="1" indent="1"/>
    </xf>
    <xf numFmtId="1" fontId="12" fillId="0" borderId="8" xfId="7297" applyNumberFormat="1" applyFont="1" applyBorder="1" applyAlignment="1">
      <alignment vertical="top" wrapText="1"/>
    </xf>
    <xf numFmtId="0" fontId="121" fillId="0" borderId="8" xfId="7297" applyFont="1" applyBorder="1" applyAlignment="1">
      <alignment horizontal="left" indent="1"/>
    </xf>
    <xf numFmtId="0" fontId="121" fillId="0" borderId="8" xfId="7297" applyFont="1" applyBorder="1"/>
    <xf numFmtId="9" fontId="119" fillId="0" borderId="8" xfId="10385" applyFont="1" applyBorder="1" applyAlignment="1">
      <alignment horizontal="right" vertical="top" wrapText="1"/>
    </xf>
    <xf numFmtId="0" fontId="17" fillId="95" borderId="0" xfId="7297" applyFont="1" applyFill="1"/>
    <xf numFmtId="1" fontId="122" fillId="95" borderId="0" xfId="7297" applyNumberFormat="1" applyFont="1" applyFill="1" applyAlignment="1">
      <alignment vertical="top"/>
    </xf>
    <xf numFmtId="0" fontId="128" fillId="95" borderId="0" xfId="7297" applyFont="1" applyFill="1"/>
    <xf numFmtId="0" fontId="129" fillId="95" borderId="0" xfId="7297" applyFont="1" applyFill="1"/>
    <xf numFmtId="0" fontId="119" fillId="95" borderId="0" xfId="7297" applyFont="1" applyFill="1" applyAlignment="1">
      <alignment horizontal="right" vertical="top"/>
    </xf>
    <xf numFmtId="0" fontId="122" fillId="95" borderId="0" xfId="7297" applyFont="1" applyFill="1" applyAlignment="1">
      <alignment vertical="top" wrapText="1"/>
    </xf>
    <xf numFmtId="0" fontId="119" fillId="95" borderId="0" xfId="7297" applyFont="1" applyFill="1" applyAlignment="1">
      <alignment vertical="top" wrapText="1"/>
    </xf>
    <xf numFmtId="1" fontId="119" fillId="95" borderId="0" xfId="7297" applyNumberFormat="1" applyFont="1" applyFill="1" applyAlignment="1">
      <alignment vertical="top"/>
    </xf>
    <xf numFmtId="0" fontId="119" fillId="95" borderId="0" xfId="7297" applyFont="1" applyFill="1"/>
    <xf numFmtId="0" fontId="119" fillId="95" borderId="8" xfId="7297" applyFont="1" applyFill="1" applyBorder="1" applyAlignment="1">
      <alignment horizontal="center" vertical="top" wrapText="1"/>
    </xf>
    <xf numFmtId="0" fontId="119" fillId="95" borderId="8" xfId="7297" applyFont="1" applyFill="1" applyBorder="1" applyAlignment="1">
      <alignment vertical="top" wrapText="1"/>
    </xf>
    <xf numFmtId="0" fontId="17" fillId="95" borderId="8" xfId="7297" applyFont="1" applyFill="1" applyBorder="1" applyAlignment="1">
      <alignment horizontal="center"/>
    </xf>
    <xf numFmtId="0" fontId="17" fillId="95" borderId="8" xfId="7297" applyFont="1" applyFill="1" applyBorder="1"/>
    <xf numFmtId="1" fontId="119" fillId="95" borderId="8" xfId="7297" applyNumberFormat="1" applyFont="1" applyFill="1" applyBorder="1" applyAlignment="1">
      <alignment horizontal="center" vertical="top" wrapText="1"/>
    </xf>
    <xf numFmtId="0" fontId="12" fillId="95" borderId="8" xfId="7297" applyFont="1" applyFill="1" applyBorder="1" applyAlignment="1">
      <alignment horizontal="center" vertical="top" wrapText="1"/>
    </xf>
    <xf numFmtId="0" fontId="12" fillId="95" borderId="8" xfId="7297" applyFont="1" applyFill="1" applyBorder="1" applyAlignment="1">
      <alignment vertical="top" wrapText="1"/>
    </xf>
    <xf numFmtId="189" fontId="119" fillId="95" borderId="8" xfId="7297" applyNumberFormat="1" applyFont="1" applyFill="1" applyBorder="1" applyAlignment="1">
      <alignment horizontal="center" vertical="top" wrapText="1"/>
    </xf>
    <xf numFmtId="9" fontId="119" fillId="95" borderId="8" xfId="7297" applyNumberFormat="1" applyFont="1" applyFill="1" applyBorder="1" applyAlignment="1">
      <alignment horizontal="center" vertical="top" wrapText="1"/>
    </xf>
    <xf numFmtId="0" fontId="119" fillId="95" borderId="8" xfId="7297" applyFont="1" applyFill="1" applyBorder="1" applyAlignment="1">
      <alignment horizontal="center" vertical="top"/>
    </xf>
    <xf numFmtId="2" fontId="119" fillId="95" borderId="8" xfId="7297" applyNumberFormat="1" applyFont="1" applyFill="1" applyBorder="1" applyAlignment="1">
      <alignment horizontal="center" vertical="top"/>
    </xf>
    <xf numFmtId="0" fontId="122" fillId="95" borderId="8" xfId="7297" applyFont="1" applyFill="1" applyBorder="1" applyAlignment="1">
      <alignment vertical="top" wrapText="1"/>
    </xf>
    <xf numFmtId="192" fontId="119" fillId="95" borderId="8" xfId="7297" applyNumberFormat="1" applyFont="1" applyFill="1" applyBorder="1" applyAlignment="1">
      <alignment horizontal="center" vertical="top" wrapText="1"/>
    </xf>
    <xf numFmtId="49" fontId="119" fillId="95" borderId="8" xfId="7297" applyNumberFormat="1" applyFont="1" applyFill="1" applyBorder="1" applyAlignment="1">
      <alignment horizontal="center" vertical="top" wrapText="1"/>
    </xf>
    <xf numFmtId="167" fontId="119" fillId="95" borderId="8" xfId="7297" applyNumberFormat="1" applyFont="1" applyFill="1" applyBorder="1" applyAlignment="1">
      <alignment horizontal="center" vertical="top" wrapText="1"/>
    </xf>
    <xf numFmtId="0" fontId="119" fillId="95" borderId="8" xfId="7297" quotePrefix="1" applyFont="1" applyFill="1" applyBorder="1" applyAlignment="1">
      <alignment vertical="top" wrapText="1"/>
    </xf>
    <xf numFmtId="190" fontId="119" fillId="95" borderId="8" xfId="7297" applyNumberFormat="1" applyFont="1" applyFill="1" applyBorder="1" applyAlignment="1">
      <alignment horizontal="center" vertical="top" wrapText="1"/>
    </xf>
    <xf numFmtId="43" fontId="10" fillId="0" borderId="0" xfId="7297" applyNumberFormat="1"/>
    <xf numFmtId="1" fontId="119" fillId="95" borderId="8" xfId="7297" applyNumberFormat="1" applyFont="1" applyFill="1" applyBorder="1" applyAlignment="1">
      <alignment horizontal="center" vertical="top"/>
    </xf>
    <xf numFmtId="190" fontId="119" fillId="95" borderId="8" xfId="7297" applyNumberFormat="1" applyFont="1" applyFill="1" applyBorder="1" applyAlignment="1">
      <alignment horizontal="center" vertical="top"/>
    </xf>
    <xf numFmtId="193" fontId="10" fillId="0" borderId="0" xfId="7297" applyNumberFormat="1"/>
    <xf numFmtId="190" fontId="10" fillId="0" borderId="0" xfId="7297" applyNumberFormat="1"/>
    <xf numFmtId="0" fontId="119" fillId="95" borderId="8" xfId="7297" applyFont="1" applyFill="1" applyBorder="1" applyAlignment="1">
      <alignment horizontal="center"/>
    </xf>
    <xf numFmtId="0" fontId="17" fillId="95" borderId="8" xfId="7297" applyFont="1" applyFill="1" applyBorder="1" applyAlignment="1">
      <alignment vertical="top" wrapText="1"/>
    </xf>
    <xf numFmtId="189" fontId="119" fillId="95" borderId="8" xfId="7297" applyNumberFormat="1" applyFont="1" applyFill="1" applyBorder="1" applyAlignment="1">
      <alignment vertical="top" wrapText="1"/>
    </xf>
    <xf numFmtId="9" fontId="119" fillId="95" borderId="8" xfId="7297" applyNumberFormat="1" applyFont="1" applyFill="1" applyBorder="1" applyAlignment="1">
      <alignment vertical="top" wrapText="1"/>
    </xf>
    <xf numFmtId="191" fontId="119" fillId="95" borderId="8" xfId="7297" applyNumberFormat="1" applyFont="1" applyFill="1" applyBorder="1" applyAlignment="1">
      <alignment vertical="top" wrapText="1"/>
    </xf>
    <xf numFmtId="0" fontId="124" fillId="95" borderId="8" xfId="7297" quotePrefix="1" applyFont="1" applyFill="1" applyBorder="1" applyAlignment="1">
      <alignment vertical="top" wrapText="1"/>
    </xf>
    <xf numFmtId="0" fontId="130" fillId="95" borderId="8" xfId="7297" applyFont="1" applyFill="1" applyBorder="1"/>
    <xf numFmtId="169" fontId="119" fillId="95" borderId="8" xfId="7297" applyNumberFormat="1" applyFont="1" applyFill="1" applyBorder="1" applyAlignment="1">
      <alignment horizontal="center" vertical="top" wrapText="1"/>
    </xf>
    <xf numFmtId="3" fontId="119" fillId="95" borderId="8" xfId="7297" applyNumberFormat="1" applyFont="1" applyFill="1" applyBorder="1" applyAlignment="1">
      <alignment horizontal="center"/>
    </xf>
    <xf numFmtId="4" fontId="119" fillId="95" borderId="8" xfId="7297" applyNumberFormat="1" applyFont="1" applyFill="1" applyBorder="1" applyAlignment="1">
      <alignment horizontal="center" vertical="top" wrapText="1"/>
    </xf>
    <xf numFmtId="0" fontId="12" fillId="95" borderId="47" xfId="7297" applyFont="1" applyFill="1" applyBorder="1" applyAlignment="1">
      <alignment vertical="top" wrapText="1"/>
    </xf>
    <xf numFmtId="0" fontId="12" fillId="95" borderId="22" xfId="7297" applyFont="1" applyFill="1" applyBorder="1" applyAlignment="1">
      <alignment vertical="top" wrapText="1"/>
    </xf>
    <xf numFmtId="0" fontId="12" fillId="95" borderId="46" xfId="7297" applyFont="1" applyFill="1" applyBorder="1" applyAlignment="1">
      <alignment vertical="top" wrapText="1"/>
    </xf>
    <xf numFmtId="0" fontId="12" fillId="95" borderId="44" xfId="7297" applyFont="1" applyFill="1" applyBorder="1" applyAlignment="1">
      <alignment horizontal="center" vertical="top" wrapText="1"/>
    </xf>
    <xf numFmtId="0" fontId="119" fillId="95" borderId="39" xfId="7297" applyFont="1" applyFill="1" applyBorder="1" applyAlignment="1">
      <alignment vertical="top" wrapText="1"/>
    </xf>
    <xf numFmtId="0" fontId="131" fillId="95" borderId="0" xfId="7297" applyFont="1" applyFill="1"/>
    <xf numFmtId="0" fontId="119" fillId="95" borderId="0" xfId="7297" applyFont="1" applyFill="1" applyAlignment="1">
      <alignment horizontal="right" vertical="top" wrapText="1"/>
    </xf>
    <xf numFmtId="0" fontId="119" fillId="0" borderId="43" xfId="7297" applyFont="1" applyBorder="1" applyAlignment="1">
      <alignment vertical="top" wrapText="1"/>
    </xf>
    <xf numFmtId="0" fontId="12" fillId="0" borderId="43" xfId="7297" applyFont="1" applyBorder="1" applyAlignment="1">
      <alignment vertical="top" wrapText="1"/>
    </xf>
    <xf numFmtId="0" fontId="119" fillId="0" borderId="0" xfId="7297" applyFont="1" applyAlignment="1">
      <alignment horizontal="center" vertical="top" wrapText="1"/>
    </xf>
    <xf numFmtId="1" fontId="119" fillId="0" borderId="0" xfId="7297" applyNumberFormat="1" applyFont="1" applyAlignment="1">
      <alignment horizontal="center" vertical="top" wrapText="1"/>
    </xf>
    <xf numFmtId="2" fontId="119" fillId="0" borderId="0" xfId="7297" applyNumberFormat="1" applyFont="1" applyAlignment="1">
      <alignment horizontal="center" vertical="top" wrapText="1"/>
    </xf>
    <xf numFmtId="0" fontId="119" fillId="0" borderId="40" xfId="7297" applyFont="1" applyBorder="1" applyAlignment="1">
      <alignment horizontal="center" vertical="top" wrapText="1"/>
    </xf>
    <xf numFmtId="169" fontId="129" fillId="0" borderId="8" xfId="7297" applyNumberFormat="1" applyFont="1" applyBorder="1" applyAlignment="1">
      <alignment horizontal="center" vertical="center" wrapText="1"/>
    </xf>
    <xf numFmtId="190" fontId="119" fillId="95" borderId="8" xfId="7297" applyNumberFormat="1" applyFont="1" applyFill="1" applyBorder="1" applyAlignment="1">
      <alignment horizontal="center" vertical="center"/>
    </xf>
    <xf numFmtId="0" fontId="129" fillId="0" borderId="42" xfId="7297" applyFont="1" applyBorder="1" applyAlignment="1">
      <alignment horizontal="center" vertical="center" wrapText="1"/>
    </xf>
    <xf numFmtId="0" fontId="129" fillId="0" borderId="8" xfId="7297" applyFont="1" applyBorder="1" applyAlignment="1">
      <alignment horizontal="center" vertical="center" wrapText="1"/>
    </xf>
    <xf numFmtId="0" fontId="12" fillId="0" borderId="40" xfId="7297" applyFont="1" applyBorder="1" applyAlignment="1">
      <alignment vertical="top" wrapText="1"/>
    </xf>
    <xf numFmtId="0" fontId="12" fillId="0" borderId="5" xfId="7297" applyFont="1" applyBorder="1" applyAlignment="1">
      <alignment vertical="top" wrapText="1"/>
    </xf>
    <xf numFmtId="0" fontId="12" fillId="0" borderId="22" xfId="7297" applyFont="1" applyBorder="1" applyAlignment="1">
      <alignment vertical="top" wrapText="1"/>
    </xf>
    <xf numFmtId="0" fontId="12" fillId="0" borderId="42" xfId="7297" applyFont="1" applyBorder="1" applyAlignment="1">
      <alignment vertical="top" wrapText="1"/>
    </xf>
    <xf numFmtId="0" fontId="129" fillId="0" borderId="8" xfId="7297" applyFont="1" applyBorder="1" applyAlignment="1">
      <alignment vertical="center" wrapText="1"/>
    </xf>
    <xf numFmtId="0" fontId="12" fillId="0" borderId="41" xfId="7297" quotePrefix="1" applyFont="1" applyBorder="1" applyAlignment="1">
      <alignment vertical="top" wrapText="1"/>
    </xf>
    <xf numFmtId="0" fontId="10" fillId="0" borderId="41" xfId="7297" applyBorder="1" applyAlignment="1">
      <alignment vertical="top" wrapText="1"/>
    </xf>
    <xf numFmtId="0" fontId="119" fillId="0" borderId="41" xfId="7297" applyFont="1" applyBorder="1" applyAlignment="1">
      <alignment vertical="top" wrapText="1"/>
    </xf>
    <xf numFmtId="0" fontId="12" fillId="0" borderId="43" xfId="7297" quotePrefix="1" applyFont="1" applyBorder="1" applyAlignment="1">
      <alignment vertical="top" wrapText="1"/>
    </xf>
    <xf numFmtId="0" fontId="115" fillId="0" borderId="8" xfId="7297" applyFont="1" applyBorder="1" applyAlignment="1">
      <alignment vertical="center" wrapText="1"/>
    </xf>
    <xf numFmtId="0" fontId="119" fillId="0" borderId="42" xfId="7297" applyFont="1" applyBorder="1" applyAlignment="1">
      <alignment vertical="top" wrapText="1"/>
    </xf>
    <xf numFmtId="0" fontId="122" fillId="0" borderId="8" xfId="7297" applyFont="1" applyBorder="1" applyAlignment="1">
      <alignment horizontal="center" vertical="top" wrapText="1"/>
    </xf>
    <xf numFmtId="0" fontId="12" fillId="0" borderId="41" xfId="7297" applyFont="1" applyBorder="1" applyAlignment="1">
      <alignment vertical="top" wrapText="1"/>
    </xf>
    <xf numFmtId="0" fontId="122" fillId="95" borderId="44" xfId="7297" applyFont="1" applyFill="1" applyBorder="1" applyAlignment="1">
      <alignment horizontal="center" vertical="top" wrapText="1"/>
    </xf>
    <xf numFmtId="0" fontId="119" fillId="95" borderId="0" xfId="7297" applyFont="1" applyFill="1" applyAlignment="1">
      <alignment horizontal="center" vertical="top" wrapText="1"/>
    </xf>
    <xf numFmtId="167" fontId="119" fillId="95" borderId="0" xfId="7297" applyNumberFormat="1" applyFont="1" applyFill="1" applyAlignment="1">
      <alignment vertical="top" wrapText="1"/>
    </xf>
    <xf numFmtId="0" fontId="122" fillId="95" borderId="0" xfId="7297" applyFont="1" applyFill="1" applyAlignment="1">
      <alignment horizontal="center" vertical="top" wrapText="1"/>
    </xf>
    <xf numFmtId="1" fontId="122" fillId="95" borderId="0" xfId="7297" applyNumberFormat="1" applyFont="1" applyFill="1"/>
    <xf numFmtId="0" fontId="45" fillId="0" borderId="8" xfId="7297" applyFont="1" applyBorder="1" applyAlignment="1">
      <alignment horizontal="center" vertical="center" wrapText="1"/>
    </xf>
    <xf numFmtId="0" fontId="119" fillId="0" borderId="8" xfId="7297" applyFont="1" applyBorder="1" applyAlignment="1">
      <alignment horizontal="center" vertical="center" wrapText="1"/>
    </xf>
    <xf numFmtId="169" fontId="119" fillId="0" borderId="8" xfId="7297" applyNumberFormat="1" applyFont="1" applyBorder="1" applyAlignment="1">
      <alignment horizontal="center" vertical="center" wrapText="1"/>
    </xf>
    <xf numFmtId="0" fontId="119" fillId="0" borderId="8" xfId="7297" applyFont="1" applyBorder="1" applyAlignment="1">
      <alignment vertical="center" wrapText="1"/>
    </xf>
    <xf numFmtId="0" fontId="134" fillId="0" borderId="8" xfId="7297" applyFont="1" applyBorder="1" applyAlignment="1">
      <alignment horizontal="center" vertical="center" wrapText="1"/>
    </xf>
    <xf numFmtId="0" fontId="12" fillId="0" borderId="8" xfId="7297" applyFont="1" applyBorder="1" applyAlignment="1">
      <alignment vertical="center" wrapText="1"/>
    </xf>
    <xf numFmtId="0" fontId="12" fillId="0" borderId="8" xfId="7297" applyFont="1" applyBorder="1" applyAlignment="1">
      <alignment vertical="center"/>
    </xf>
    <xf numFmtId="1" fontId="119" fillId="0" borderId="8" xfId="7297" applyNumberFormat="1" applyFont="1" applyBorder="1" applyAlignment="1">
      <alignment horizontal="center" vertical="center" wrapText="1"/>
    </xf>
    <xf numFmtId="2" fontId="119" fillId="0" borderId="8" xfId="7297" applyNumberFormat="1" applyFont="1" applyBorder="1" applyAlignment="1">
      <alignment horizontal="center" vertical="center" wrapText="1"/>
    </xf>
    <xf numFmtId="0" fontId="45" fillId="95" borderId="8" xfId="7297" applyFont="1" applyFill="1" applyBorder="1" applyAlignment="1">
      <alignment horizontal="center" vertical="center" wrapText="1"/>
    </xf>
    <xf numFmtId="0" fontId="119" fillId="0" borderId="8" xfId="7297" applyFont="1" applyBorder="1" applyAlignment="1">
      <alignment vertical="center"/>
    </xf>
    <xf numFmtId="0" fontId="12" fillId="0" borderId="8" xfId="7297" quotePrefix="1" applyFont="1" applyBorder="1" applyAlignment="1">
      <alignment vertical="center" wrapText="1"/>
    </xf>
    <xf numFmtId="0" fontId="10" fillId="0" borderId="8" xfId="7297" applyBorder="1" applyAlignment="1">
      <alignment vertical="center" wrapText="1"/>
    </xf>
    <xf numFmtId="194" fontId="10" fillId="0" borderId="0" xfId="7297" applyNumberFormat="1"/>
    <xf numFmtId="195" fontId="10" fillId="0" borderId="0" xfId="7297" applyNumberFormat="1"/>
    <xf numFmtId="0" fontId="45" fillId="0" borderId="8" xfId="7297" applyFont="1" applyBorder="1" applyAlignment="1">
      <alignment vertical="center" wrapText="1"/>
    </xf>
    <xf numFmtId="0" fontId="12" fillId="0" borderId="8" xfId="7297" applyFont="1" applyBorder="1" applyAlignment="1">
      <alignment horizontal="center" vertical="center" wrapText="1"/>
    </xf>
    <xf numFmtId="0" fontId="122" fillId="0" borderId="8" xfId="7297" applyFont="1" applyBorder="1" applyAlignment="1">
      <alignment horizontal="center" vertical="center" wrapText="1"/>
    </xf>
    <xf numFmtId="0" fontId="12" fillId="95" borderId="8" xfId="7297" applyFont="1" applyFill="1" applyBorder="1" applyAlignment="1">
      <alignment horizontal="center" vertical="center" wrapText="1"/>
    </xf>
    <xf numFmtId="0" fontId="119" fillId="95" borderId="8" xfId="7297" applyFont="1" applyFill="1" applyBorder="1" applyAlignment="1">
      <alignment vertical="center" wrapText="1"/>
    </xf>
    <xf numFmtId="0" fontId="12" fillId="95" borderId="8" xfId="7297" applyFont="1" applyFill="1" applyBorder="1" applyAlignment="1">
      <alignment vertical="center" wrapText="1"/>
    </xf>
    <xf numFmtId="0" fontId="119" fillId="0" borderId="0" xfId="7297" applyFont="1" applyAlignment="1">
      <alignment horizontal="center"/>
    </xf>
    <xf numFmtId="0" fontId="0" fillId="35" borderId="0" xfId="0" applyFill="1"/>
    <xf numFmtId="0" fontId="135" fillId="35" borderId="0" xfId="0" applyFont="1" applyFill="1"/>
    <xf numFmtId="0" fontId="136" fillId="35" borderId="0" xfId="0" applyFont="1" applyFill="1" applyAlignment="1">
      <alignment horizontal="left"/>
    </xf>
    <xf numFmtId="0" fontId="136" fillId="35" borderId="0" xfId="0" applyFont="1" applyFill="1"/>
    <xf numFmtId="0" fontId="121" fillId="35" borderId="0" xfId="0" applyFont="1" applyFill="1" applyAlignment="1">
      <alignment horizontal="left" vertical="center"/>
    </xf>
    <xf numFmtId="0" fontId="121" fillId="35" borderId="0" xfId="0" applyFont="1" applyFill="1" applyAlignment="1">
      <alignment horizontal="right"/>
    </xf>
    <xf numFmtId="0" fontId="137" fillId="35" borderId="0" xfId="0" applyFont="1" applyFill="1" applyAlignment="1">
      <alignment vertical="center"/>
    </xf>
    <xf numFmtId="0" fontId="121" fillId="0" borderId="0" xfId="0" applyFont="1"/>
    <xf numFmtId="0" fontId="12" fillId="35" borderId="0" xfId="0" applyFont="1" applyFill="1"/>
    <xf numFmtId="0" fontId="119" fillId="35" borderId="0" xfId="0" applyFont="1" applyFill="1" applyAlignment="1">
      <alignment horizontal="right" vertical="top"/>
    </xf>
    <xf numFmtId="0" fontId="119" fillId="35" borderId="0" xfId="0" applyFont="1" applyFill="1" applyAlignment="1">
      <alignment horizontal="center" vertical="top" wrapText="1"/>
    </xf>
    <xf numFmtId="0" fontId="119" fillId="35" borderId="0" xfId="0" quotePrefix="1" applyFont="1" applyFill="1" applyAlignment="1">
      <alignment horizontal="center" vertical="top" wrapText="1"/>
    </xf>
    <xf numFmtId="0" fontId="119" fillId="35" borderId="0" xfId="0" applyFont="1" applyFill="1" applyAlignment="1">
      <alignment vertical="top" wrapText="1"/>
    </xf>
    <xf numFmtId="0" fontId="138" fillId="35" borderId="8" xfId="0" applyFont="1" applyFill="1" applyBorder="1" applyAlignment="1">
      <alignment horizontal="center" vertical="center" wrapText="1"/>
    </xf>
    <xf numFmtId="0" fontId="138" fillId="35" borderId="8" xfId="0" applyFont="1" applyFill="1" applyBorder="1" applyAlignment="1">
      <alignment vertical="center" wrapText="1"/>
    </xf>
    <xf numFmtId="0" fontId="138" fillId="35" borderId="39" xfId="0" applyFont="1" applyFill="1" applyBorder="1" applyAlignment="1">
      <alignment horizontal="center" vertical="center" wrapText="1"/>
    </xf>
    <xf numFmtId="0" fontId="138" fillId="35" borderId="42" xfId="0" applyFont="1" applyFill="1" applyBorder="1" applyAlignment="1">
      <alignment horizontal="center" vertical="center" wrapText="1"/>
    </xf>
    <xf numFmtId="0" fontId="138" fillId="35" borderId="42" xfId="0" applyFont="1" applyFill="1" applyBorder="1" applyAlignment="1">
      <alignment vertical="center" wrapText="1"/>
    </xf>
    <xf numFmtId="9" fontId="138" fillId="35" borderId="8" xfId="10379" applyFont="1" applyFill="1" applyBorder="1" applyAlignment="1">
      <alignment horizontal="center" vertical="center" wrapText="1"/>
    </xf>
    <xf numFmtId="3" fontId="45" fillId="35" borderId="39" xfId="0" applyNumberFormat="1" applyFont="1" applyFill="1" applyBorder="1" applyAlignment="1">
      <alignment horizontal="center" vertical="center" wrapText="1"/>
    </xf>
    <xf numFmtId="3" fontId="138" fillId="35" borderId="42" xfId="0" applyNumberFormat="1" applyFont="1" applyFill="1" applyBorder="1" applyAlignment="1">
      <alignment horizontal="center" vertical="center" wrapText="1"/>
    </xf>
    <xf numFmtId="3" fontId="138" fillId="35" borderId="8" xfId="0" applyNumberFormat="1" applyFont="1" applyFill="1" applyBorder="1" applyAlignment="1">
      <alignment horizontal="center" vertical="center" wrapText="1"/>
    </xf>
    <xf numFmtId="0" fontId="138" fillId="0" borderId="42" xfId="0" applyFont="1" applyBorder="1" applyAlignment="1">
      <alignment vertical="center" wrapText="1"/>
    </xf>
    <xf numFmtId="3" fontId="138" fillId="35" borderId="39" xfId="0" applyNumberFormat="1" applyFont="1" applyFill="1" applyBorder="1" applyAlignment="1">
      <alignment horizontal="center" vertical="center" wrapText="1"/>
    </xf>
    <xf numFmtId="0" fontId="138" fillId="0" borderId="45" xfId="0" applyFont="1" applyBorder="1" applyAlignment="1">
      <alignment vertical="center" wrapText="1"/>
    </xf>
    <xf numFmtId="169" fontId="138" fillId="35" borderId="39" xfId="0" applyNumberFormat="1" applyFont="1" applyFill="1" applyBorder="1" applyAlignment="1">
      <alignment horizontal="center" vertical="center" wrapText="1"/>
    </xf>
    <xf numFmtId="4" fontId="138" fillId="35" borderId="39" xfId="0" applyNumberFormat="1" applyFont="1" applyFill="1" applyBorder="1" applyAlignment="1">
      <alignment horizontal="center" vertical="center" wrapText="1"/>
    </xf>
    <xf numFmtId="0" fontId="139" fillId="35" borderId="8" xfId="0" applyFont="1" applyFill="1" applyBorder="1" applyAlignment="1">
      <alignment vertical="center" wrapText="1"/>
    </xf>
    <xf numFmtId="0" fontId="45" fillId="35" borderId="42" xfId="0" applyFont="1" applyFill="1" applyBorder="1" applyAlignment="1">
      <alignment vertical="center" wrapText="1"/>
    </xf>
    <xf numFmtId="1" fontId="138" fillId="35" borderId="8" xfId="0" applyNumberFormat="1" applyFont="1" applyFill="1" applyBorder="1" applyAlignment="1">
      <alignment horizontal="center" vertical="center" wrapText="1"/>
    </xf>
    <xf numFmtId="1" fontId="138" fillId="35" borderId="39" xfId="0" applyNumberFormat="1" applyFont="1" applyFill="1" applyBorder="1" applyAlignment="1">
      <alignment horizontal="center" vertical="center" wrapText="1"/>
    </xf>
    <xf numFmtId="0" fontId="138" fillId="35" borderId="45" xfId="0" applyFont="1" applyFill="1" applyBorder="1" applyAlignment="1">
      <alignment vertical="center" wrapText="1"/>
    </xf>
    <xf numFmtId="0" fontId="138" fillId="0" borderId="39" xfId="0" applyFont="1" applyBorder="1" applyAlignment="1">
      <alignment horizontal="center" vertical="center" wrapText="1"/>
    </xf>
    <xf numFmtId="0" fontId="140" fillId="35" borderId="40" xfId="0" applyFont="1" applyFill="1" applyBorder="1" applyAlignment="1">
      <alignment vertical="center" wrapText="1"/>
    </xf>
    <xf numFmtId="0" fontId="140" fillId="35" borderId="5" xfId="0" applyFont="1" applyFill="1" applyBorder="1" applyAlignment="1">
      <alignment vertical="center" wrapText="1"/>
    </xf>
    <xf numFmtId="0" fontId="139" fillId="35" borderId="41" xfId="0" applyFont="1" applyFill="1" applyBorder="1" applyAlignment="1">
      <alignment vertical="center" wrapText="1"/>
    </xf>
    <xf numFmtId="0" fontId="140" fillId="35" borderId="5" xfId="0" applyFont="1" applyFill="1" applyBorder="1" applyAlignment="1">
      <alignment horizontal="center" vertical="center" wrapText="1"/>
    </xf>
    <xf numFmtId="0" fontId="140" fillId="35" borderId="41" xfId="0" applyFont="1" applyFill="1" applyBorder="1" applyAlignment="1">
      <alignment vertical="center" wrapText="1"/>
    </xf>
    <xf numFmtId="0" fontId="138" fillId="35" borderId="41" xfId="0" applyFont="1" applyFill="1" applyBorder="1" applyAlignment="1">
      <alignment vertical="center" wrapText="1"/>
    </xf>
    <xf numFmtId="0" fontId="140" fillId="35" borderId="51" xfId="0" applyFont="1" applyFill="1" applyBorder="1" applyAlignment="1">
      <alignment horizontal="center" vertical="center" wrapText="1"/>
    </xf>
    <xf numFmtId="0" fontId="140" fillId="35" borderId="8" xfId="0" applyFont="1" applyFill="1" applyBorder="1" applyAlignment="1">
      <alignment horizontal="center" vertical="center" wrapText="1"/>
    </xf>
    <xf numFmtId="0" fontId="140" fillId="35" borderId="0" xfId="0" applyFont="1" applyFill="1" applyAlignment="1">
      <alignment horizontal="center" vertical="center" wrapText="1"/>
    </xf>
    <xf numFmtId="0" fontId="141" fillId="35" borderId="46" xfId="0" applyFont="1" applyFill="1" applyBorder="1" applyAlignment="1">
      <alignment vertical="center" wrapText="1"/>
    </xf>
    <xf numFmtId="0" fontId="121" fillId="0" borderId="0" xfId="0" applyFont="1" applyAlignment="1">
      <alignment vertical="top"/>
    </xf>
    <xf numFmtId="0" fontId="119" fillId="35" borderId="0" xfId="0" applyFont="1" applyFill="1" applyAlignment="1">
      <alignment vertical="top"/>
    </xf>
    <xf numFmtId="0" fontId="119" fillId="35" borderId="0" xfId="0" applyFont="1" applyFill="1"/>
    <xf numFmtId="0" fontId="45" fillId="0" borderId="8" xfId="0" applyFont="1" applyBorder="1" applyAlignment="1">
      <alignment horizontal="center" vertical="center" wrapText="1"/>
    </xf>
    <xf numFmtId="0" fontId="45" fillId="0" borderId="8" xfId="0" applyFont="1" applyBorder="1" applyAlignment="1">
      <alignment vertical="center" wrapText="1"/>
    </xf>
    <xf numFmtId="0" fontId="45" fillId="0" borderId="39" xfId="0" applyFont="1" applyBorder="1" applyAlignment="1">
      <alignment horizontal="center" vertical="center" wrapText="1"/>
    </xf>
    <xf numFmtId="0" fontId="45" fillId="0" borderId="42" xfId="0" applyFont="1" applyBorder="1" applyAlignment="1">
      <alignment vertical="center" wrapText="1"/>
    </xf>
    <xf numFmtId="0" fontId="45" fillId="0" borderId="42" xfId="0" applyFont="1" applyBorder="1" applyAlignment="1">
      <alignment horizontal="center" vertical="center" wrapText="1"/>
    </xf>
    <xf numFmtId="3" fontId="45" fillId="0" borderId="42" xfId="0" applyNumberFormat="1" applyFont="1" applyBorder="1" applyAlignment="1">
      <alignment horizontal="center" vertical="center" wrapText="1"/>
    </xf>
    <xf numFmtId="3" fontId="45" fillId="0" borderId="8" xfId="0" applyNumberFormat="1" applyFont="1" applyBorder="1" applyAlignment="1">
      <alignment horizontal="center" vertical="center" wrapText="1"/>
    </xf>
    <xf numFmtId="3" fontId="45" fillId="0" borderId="39" xfId="0" applyNumberFormat="1" applyFont="1" applyBorder="1" applyAlignment="1">
      <alignment horizontal="center" vertical="center" wrapText="1"/>
    </xf>
    <xf numFmtId="0" fontId="45" fillId="0" borderId="45" xfId="0" applyFont="1" applyBorder="1" applyAlignment="1">
      <alignment vertical="center" wrapText="1"/>
    </xf>
    <xf numFmtId="0" fontId="45" fillId="35" borderId="39" xfId="0" applyFont="1" applyFill="1" applyBorder="1" applyAlignment="1">
      <alignment horizontal="center" vertical="center" wrapText="1"/>
    </xf>
    <xf numFmtId="0" fontId="45" fillId="35" borderId="45" xfId="0" applyFont="1" applyFill="1" applyBorder="1" applyAlignment="1">
      <alignment vertical="center" wrapText="1"/>
    </xf>
    <xf numFmtId="0" fontId="144" fillId="35" borderId="8" xfId="0" applyFont="1" applyFill="1" applyBorder="1" applyAlignment="1">
      <alignment horizontal="center" vertical="center" wrapText="1"/>
    </xf>
    <xf numFmtId="0" fontId="138" fillId="0" borderId="8" xfId="0" applyFont="1" applyBorder="1" applyAlignment="1">
      <alignment horizontal="center" vertical="center" wrapText="1"/>
    </xf>
    <xf numFmtId="0" fontId="140" fillId="0" borderId="40" xfId="0" applyFont="1" applyBorder="1" applyAlignment="1">
      <alignment vertical="center" wrapText="1"/>
    </xf>
    <xf numFmtId="0" fontId="140" fillId="0" borderId="5" xfId="0" applyFont="1" applyBorder="1" applyAlignment="1">
      <alignment vertical="center" wrapText="1"/>
    </xf>
    <xf numFmtId="0" fontId="139" fillId="0" borderId="41" xfId="0" applyFont="1" applyBorder="1" applyAlignment="1">
      <alignment vertical="center" wrapText="1"/>
    </xf>
    <xf numFmtId="0" fontId="140" fillId="0" borderId="5" xfId="0" applyFont="1" applyBorder="1" applyAlignment="1">
      <alignment horizontal="center" vertical="center" wrapText="1"/>
    </xf>
    <xf numFmtId="0" fontId="140" fillId="0" borderId="41" xfId="0" applyFont="1" applyBorder="1" applyAlignment="1">
      <alignment vertical="center" wrapText="1"/>
    </xf>
    <xf numFmtId="0" fontId="138" fillId="0" borderId="41" xfId="0" applyFont="1" applyBorder="1" applyAlignment="1">
      <alignment vertical="center" wrapText="1"/>
    </xf>
    <xf numFmtId="0" fontId="140" fillId="0" borderId="51" xfId="0" applyFont="1" applyBorder="1" applyAlignment="1">
      <alignment horizontal="center" vertical="center" wrapText="1"/>
    </xf>
    <xf numFmtId="0" fontId="140" fillId="0" borderId="8" xfId="0" applyFont="1" applyBorder="1" applyAlignment="1">
      <alignment horizontal="center" vertical="center" wrapText="1"/>
    </xf>
    <xf numFmtId="0" fontId="140" fillId="0" borderId="0" xfId="0" applyFont="1" applyAlignment="1">
      <alignment horizontal="center" vertical="center" wrapText="1"/>
    </xf>
    <xf numFmtId="0" fontId="141" fillId="0" borderId="46" xfId="0" applyFont="1" applyBorder="1" applyAlignment="1">
      <alignment vertical="center" wrapText="1"/>
    </xf>
    <xf numFmtId="0" fontId="138" fillId="95" borderId="8" xfId="0" applyFont="1" applyFill="1" applyBorder="1" applyAlignment="1">
      <alignment horizontal="center" vertical="center" wrapText="1"/>
    </xf>
    <xf numFmtId="0" fontId="138" fillId="95" borderId="8" xfId="0" applyFont="1" applyFill="1" applyBorder="1" applyAlignment="1">
      <alignment vertical="center" wrapText="1"/>
    </xf>
    <xf numFmtId="0" fontId="0" fillId="0" borderId="8" xfId="0" applyBorder="1"/>
    <xf numFmtId="0" fontId="140" fillId="95" borderId="8" xfId="0" applyFont="1" applyFill="1" applyBorder="1" applyAlignment="1">
      <alignment horizontal="center" vertical="center" wrapText="1"/>
    </xf>
    <xf numFmtId="0" fontId="142" fillId="0" borderId="0" xfId="10386" applyAlignment="1" applyProtection="1"/>
    <xf numFmtId="0" fontId="138" fillId="0" borderId="0" xfId="0" applyFont="1" applyAlignment="1">
      <alignment horizontal="left" vertical="center"/>
    </xf>
    <xf numFmtId="0" fontId="140" fillId="0" borderId="0" xfId="0" applyFont="1" applyAlignment="1">
      <alignment horizontal="left" vertical="center"/>
    </xf>
    <xf numFmtId="0" fontId="138" fillId="0" borderId="8" xfId="0" applyFont="1" applyBorder="1" applyAlignment="1">
      <alignment horizontal="center"/>
    </xf>
    <xf numFmtId="9" fontId="138" fillId="0" borderId="8" xfId="0" applyNumberFormat="1" applyFont="1" applyBorder="1"/>
    <xf numFmtId="177" fontId="138" fillId="0" borderId="41" xfId="0" applyNumberFormat="1" applyFont="1" applyBorder="1"/>
    <xf numFmtId="177" fontId="138" fillId="0" borderId="8" xfId="0" applyNumberFormat="1" applyFont="1" applyBorder="1"/>
    <xf numFmtId="0" fontId="138" fillId="0" borderId="8" xfId="0" applyFont="1" applyBorder="1" applyAlignment="1">
      <alignment wrapText="1"/>
    </xf>
    <xf numFmtId="0" fontId="138" fillId="0" borderId="8" xfId="0" applyFont="1" applyBorder="1"/>
    <xf numFmtId="0" fontId="138" fillId="0" borderId="41" xfId="0" applyFont="1" applyBorder="1"/>
    <xf numFmtId="0" fontId="138" fillId="0" borderId="8" xfId="0" applyFont="1" applyBorder="1" applyAlignment="1">
      <alignment horizontal="right"/>
    </xf>
    <xf numFmtId="2" fontId="138" fillId="0" borderId="41" xfId="0" applyNumberFormat="1" applyFont="1" applyBorder="1"/>
    <xf numFmtId="0" fontId="138" fillId="0" borderId="40" xfId="0" applyFont="1" applyBorder="1" applyAlignment="1">
      <alignment horizontal="center"/>
    </xf>
    <xf numFmtId="0" fontId="138" fillId="0" borderId="5" xfId="0" applyFont="1" applyBorder="1" applyAlignment="1">
      <alignment horizontal="center"/>
    </xf>
    <xf numFmtId="0" fontId="138" fillId="0" borderId="5" xfId="0" applyFont="1" applyBorder="1"/>
    <xf numFmtId="0" fontId="140" fillId="0" borderId="41" xfId="0" applyFont="1" applyBorder="1" applyAlignment="1">
      <alignment wrapText="1"/>
    </xf>
    <xf numFmtId="2" fontId="138" fillId="0" borderId="8" xfId="0" applyNumberFormat="1" applyFont="1" applyBorder="1"/>
    <xf numFmtId="0" fontId="140" fillId="0" borderId="8" xfId="0" applyFont="1" applyBorder="1" applyAlignment="1">
      <alignment wrapText="1"/>
    </xf>
    <xf numFmtId="0" fontId="138" fillId="0" borderId="39" xfId="0" applyFont="1" applyBorder="1" applyAlignment="1">
      <alignment horizontal="center"/>
    </xf>
    <xf numFmtId="9" fontId="138" fillId="0" borderId="39" xfId="0" applyNumberFormat="1" applyFont="1" applyBorder="1"/>
    <xf numFmtId="0" fontId="138" fillId="0" borderId="43" xfId="0" applyFont="1" applyBorder="1"/>
    <xf numFmtId="0" fontId="138" fillId="0" borderId="39" xfId="0" applyFont="1" applyBorder="1"/>
    <xf numFmtId="0" fontId="138" fillId="0" borderId="39" xfId="0" applyFont="1" applyBorder="1" applyAlignment="1">
      <alignment wrapText="1"/>
    </xf>
    <xf numFmtId="0" fontId="138" fillId="0" borderId="42" xfId="0" applyFont="1" applyBorder="1" applyAlignment="1">
      <alignment horizontal="center"/>
    </xf>
    <xf numFmtId="9" fontId="138" fillId="0" borderId="42" xfId="10379" applyFont="1" applyBorder="1"/>
    <xf numFmtId="0" fontId="138" fillId="0" borderId="46" xfId="0" applyFont="1" applyBorder="1"/>
    <xf numFmtId="0" fontId="138" fillId="0" borderId="42" xfId="0" applyFont="1" applyBorder="1"/>
    <xf numFmtId="0" fontId="138" fillId="0" borderId="42" xfId="0" applyFont="1" applyBorder="1" applyAlignment="1">
      <alignment wrapText="1"/>
    </xf>
    <xf numFmtId="9" fontId="138" fillId="0" borderId="8" xfId="10379" applyFont="1" applyBorder="1"/>
    <xf numFmtId="0" fontId="138" fillId="0" borderId="51" xfId="0" applyFont="1" applyBorder="1" applyAlignment="1">
      <alignment horizontal="center"/>
    </xf>
    <xf numFmtId="0" fontId="138" fillId="0" borderId="0" xfId="0" applyFont="1" applyAlignment="1">
      <alignment horizontal="center"/>
    </xf>
    <xf numFmtId="0" fontId="138" fillId="0" borderId="0" xfId="0" applyFont="1"/>
    <xf numFmtId="0" fontId="138" fillId="0" borderId="52" xfId="0" applyFont="1" applyBorder="1"/>
    <xf numFmtId="0" fontId="140" fillId="0" borderId="52" xfId="0" applyFont="1" applyBorder="1" applyAlignment="1">
      <alignment wrapText="1"/>
    </xf>
    <xf numFmtId="0" fontId="140" fillId="0" borderId="8" xfId="0" applyFont="1" applyBorder="1" applyAlignment="1">
      <alignment horizontal="center"/>
    </xf>
    <xf numFmtId="0" fontId="140" fillId="0" borderId="41" xfId="0" applyFont="1" applyBorder="1" applyAlignment="1">
      <alignment horizontal="center"/>
    </xf>
    <xf numFmtId="0" fontId="140" fillId="0" borderId="40" xfId="0" applyFont="1" applyBorder="1"/>
    <xf numFmtId="0" fontId="140" fillId="0" borderId="5" xfId="0" applyFont="1" applyBorder="1"/>
    <xf numFmtId="0" fontId="140" fillId="0" borderId="41" xfId="0" applyFont="1" applyBorder="1"/>
    <xf numFmtId="0" fontId="140" fillId="0" borderId="8" xfId="0" applyFont="1" applyBorder="1" applyAlignment="1">
      <alignment horizontal="left" vertical="center"/>
    </xf>
    <xf numFmtId="0" fontId="66" fillId="0" borderId="8" xfId="0" applyFont="1" applyBorder="1" applyAlignment="1">
      <alignment wrapText="1"/>
    </xf>
    <xf numFmtId="9" fontId="66" fillId="0" borderId="8" xfId="10379" applyFont="1" applyBorder="1" applyAlignment="1"/>
    <xf numFmtId="0" fontId="83" fillId="0" borderId="41" xfId="0" applyFont="1" applyBorder="1" applyAlignment="1">
      <alignment wrapText="1"/>
    </xf>
    <xf numFmtId="0" fontId="66" fillId="0" borderId="39" xfId="0" applyFont="1" applyBorder="1" applyAlignment="1">
      <alignment wrapText="1"/>
    </xf>
    <xf numFmtId="0" fontId="83" fillId="0" borderId="42" xfId="0" applyFont="1" applyBorder="1" applyAlignment="1">
      <alignment horizontal="center"/>
    </xf>
    <xf numFmtId="0" fontId="83" fillId="0" borderId="42" xfId="0" applyFont="1" applyBorder="1"/>
    <xf numFmtId="0" fontId="83" fillId="0" borderId="8" xfId="0" applyFont="1" applyBorder="1" applyAlignment="1">
      <alignment horizontal="center"/>
    </xf>
    <xf numFmtId="0" fontId="146" fillId="0" borderId="0" xfId="0" applyFont="1" applyAlignment="1">
      <alignment horizontal="justify" vertical="center"/>
    </xf>
    <xf numFmtId="177" fontId="66" fillId="0" borderId="42" xfId="0" applyNumberFormat="1" applyFont="1" applyBorder="1"/>
    <xf numFmtId="169" fontId="66" fillId="0" borderId="39" xfId="0" applyNumberFormat="1" applyFont="1" applyBorder="1"/>
    <xf numFmtId="0" fontId="66" fillId="0" borderId="5" xfId="0" applyFont="1" applyBorder="1" applyAlignment="1">
      <alignment horizontal="right"/>
    </xf>
    <xf numFmtId="0" fontId="83" fillId="0" borderId="40" xfId="0" applyFont="1" applyBorder="1"/>
    <xf numFmtId="0" fontId="83" fillId="0" borderId="5" xfId="0" applyFont="1" applyBorder="1"/>
    <xf numFmtId="1" fontId="66" fillId="0" borderId="8" xfId="0" applyNumberFormat="1" applyFont="1" applyBorder="1"/>
    <xf numFmtId="1" fontId="66" fillId="0" borderId="8" xfId="0" applyNumberFormat="1" applyFont="1" applyBorder="1" applyAlignment="1">
      <alignment horizontal="right"/>
    </xf>
    <xf numFmtId="9" fontId="66" fillId="0" borderId="45" xfId="0" applyNumberFormat="1" applyFont="1" applyBorder="1"/>
    <xf numFmtId="1" fontId="66" fillId="0" borderId="45" xfId="0" applyNumberFormat="1" applyFont="1" applyBorder="1"/>
    <xf numFmtId="9" fontId="66" fillId="0" borderId="8" xfId="10379" applyFont="1" applyBorder="1" applyAlignment="1">
      <alignment horizontal="right"/>
    </xf>
    <xf numFmtId="9" fontId="66" fillId="0" borderId="39" xfId="10379" applyFont="1" applyBorder="1" applyAlignment="1">
      <alignment horizontal="right"/>
    </xf>
    <xf numFmtId="0" fontId="66" fillId="0" borderId="39" xfId="0" applyFont="1" applyBorder="1" applyAlignment="1">
      <alignment horizontal="right"/>
    </xf>
    <xf numFmtId="9" fontId="66" fillId="0" borderId="5" xfId="10379" applyFont="1" applyBorder="1" applyAlignment="1">
      <alignment horizontal="right"/>
    </xf>
    <xf numFmtId="9" fontId="66" fillId="0" borderId="42" xfId="10379" applyFont="1" applyBorder="1" applyAlignment="1">
      <alignment horizontal="right"/>
    </xf>
    <xf numFmtId="169" fontId="66" fillId="0" borderId="8" xfId="0" applyNumberFormat="1" applyFont="1" applyBorder="1" applyAlignment="1">
      <alignment horizontal="right"/>
    </xf>
    <xf numFmtId="2" fontId="66" fillId="0" borderId="39" xfId="0" applyNumberFormat="1" applyFont="1" applyBorder="1" applyAlignment="1">
      <alignment horizontal="right"/>
    </xf>
    <xf numFmtId="16" fontId="66" fillId="0" borderId="42" xfId="0" quotePrefix="1" applyNumberFormat="1" applyFont="1" applyBorder="1" applyAlignment="1">
      <alignment horizontal="right"/>
    </xf>
    <xf numFmtId="9" fontId="66" fillId="0" borderId="8" xfId="0" applyNumberFormat="1" applyFont="1" applyBorder="1" applyAlignment="1">
      <alignment horizontal="right"/>
    </xf>
    <xf numFmtId="9" fontId="66" fillId="0" borderId="39" xfId="0" applyNumberFormat="1" applyFont="1" applyBorder="1" applyAlignment="1">
      <alignment horizontal="right"/>
    </xf>
    <xf numFmtId="9" fontId="66" fillId="0" borderId="5" xfId="0" applyNumberFormat="1" applyFont="1" applyBorder="1" applyAlignment="1">
      <alignment horizontal="right"/>
    </xf>
    <xf numFmtId="9" fontId="66" fillId="0" borderId="42" xfId="0" applyNumberFormat="1" applyFont="1" applyBorder="1" applyAlignment="1">
      <alignment horizontal="right"/>
    </xf>
    <xf numFmtId="9" fontId="66" fillId="0" borderId="45" xfId="0" applyNumberFormat="1" applyFont="1" applyBorder="1" applyAlignment="1">
      <alignment horizontal="right"/>
    </xf>
    <xf numFmtId="0" fontId="66" fillId="0" borderId="45" xfId="0" applyFont="1" applyBorder="1" applyAlignment="1">
      <alignment horizontal="right"/>
    </xf>
    <xf numFmtId="0" fontId="66" fillId="0" borderId="47" xfId="0" applyFont="1" applyBorder="1" applyAlignment="1">
      <alignment horizontal="right"/>
    </xf>
    <xf numFmtId="0" fontId="66" fillId="0" borderId="8" xfId="0" applyFont="1" applyBorder="1" applyAlignment="1">
      <alignment horizontal="right" vertical="center"/>
    </xf>
    <xf numFmtId="177" fontId="66" fillId="0" borderId="8" xfId="0" applyNumberFormat="1" applyFont="1" applyBorder="1" applyAlignment="1">
      <alignment horizontal="right" vertical="center"/>
    </xf>
    <xf numFmtId="2" fontId="66" fillId="0" borderId="8" xfId="0" applyNumberFormat="1" applyFont="1" applyBorder="1" applyAlignment="1">
      <alignment horizontal="right" vertical="center"/>
    </xf>
    <xf numFmtId="9" fontId="0" fillId="0" borderId="0" xfId="0" applyNumberFormat="1"/>
    <xf numFmtId="0" fontId="0" fillId="0" borderId="0" xfId="0" applyAlignment="1">
      <alignment horizontal="right"/>
    </xf>
    <xf numFmtId="9" fontId="66" fillId="0" borderId="8" xfId="0" applyNumberFormat="1" applyFont="1" applyBorder="1" applyAlignment="1">
      <alignment horizontal="center"/>
    </xf>
    <xf numFmtId="9" fontId="66" fillId="0" borderId="8" xfId="10379" applyFont="1" applyBorder="1" applyAlignment="1">
      <alignment horizontal="center"/>
    </xf>
    <xf numFmtId="177" fontId="66" fillId="0" borderId="8" xfId="0" applyNumberFormat="1" applyFont="1" applyBorder="1" applyAlignment="1">
      <alignment horizontal="center"/>
    </xf>
    <xf numFmtId="2" fontId="66" fillId="0" borderId="8" xfId="0" applyNumberFormat="1" applyFont="1" applyBorder="1" applyAlignment="1">
      <alignment horizontal="center"/>
    </xf>
    <xf numFmtId="2" fontId="66" fillId="0" borderId="39" xfId="0" applyNumberFormat="1" applyFont="1" applyBorder="1" applyAlignment="1">
      <alignment horizontal="center"/>
    </xf>
    <xf numFmtId="0" fontId="66" fillId="0" borderId="40" xfId="0" applyFont="1" applyBorder="1"/>
    <xf numFmtId="9" fontId="66" fillId="0" borderId="5" xfId="10379" applyFont="1" applyBorder="1" applyAlignment="1">
      <alignment horizontal="center"/>
    </xf>
    <xf numFmtId="1" fontId="66" fillId="0" borderId="42" xfId="0" applyNumberFormat="1" applyFont="1" applyBorder="1" applyAlignment="1">
      <alignment horizontal="center"/>
    </xf>
    <xf numFmtId="0" fontId="156" fillId="0" borderId="0" xfId="0" applyFont="1" applyAlignment="1">
      <alignment horizontal="justify" vertical="center"/>
    </xf>
    <xf numFmtId="0" fontId="155" fillId="0" borderId="0" xfId="0" applyFont="1" applyAlignment="1">
      <alignment horizontal="justify" vertical="center"/>
    </xf>
    <xf numFmtId="0" fontId="0" fillId="0" borderId="0" xfId="0" applyAlignment="1">
      <alignment vertical="center" wrapText="1"/>
    </xf>
    <xf numFmtId="0" fontId="66" fillId="0" borderId="8" xfId="0" applyFont="1" applyBorder="1" applyAlignment="1">
      <alignment horizontal="center" vertical="center" wrapText="1"/>
    </xf>
    <xf numFmtId="0" fontId="66" fillId="0" borderId="8" xfId="0" applyFont="1" applyBorder="1" applyAlignment="1">
      <alignment horizontal="justify" vertical="center" wrapText="1"/>
    </xf>
    <xf numFmtId="0" fontId="83" fillId="0" borderId="8" xfId="0" applyFont="1" applyBorder="1" applyAlignment="1">
      <alignment horizontal="justify" vertical="center" wrapText="1"/>
    </xf>
    <xf numFmtId="0" fontId="158" fillId="0" borderId="8" xfId="0" applyFont="1" applyBorder="1" applyAlignment="1">
      <alignment horizontal="center" vertical="center" wrapText="1"/>
    </xf>
    <xf numFmtId="0" fontId="158" fillId="0" borderId="8" xfId="0" applyFont="1" applyBorder="1" applyAlignment="1">
      <alignment horizontal="justify" vertical="center" wrapText="1"/>
    </xf>
    <xf numFmtId="0" fontId="159" fillId="0" borderId="8" xfId="0" applyFont="1" applyBorder="1"/>
    <xf numFmtId="0" fontId="159" fillId="0" borderId="39" xfId="0" applyFont="1" applyBorder="1"/>
    <xf numFmtId="9" fontId="158" fillId="0" borderId="8" xfId="0" applyNumberFormat="1" applyFont="1" applyBorder="1" applyAlignment="1">
      <alignment horizontal="center" vertical="center" wrapText="1"/>
    </xf>
    <xf numFmtId="9" fontId="66" fillId="0" borderId="8" xfId="0" applyNumberFormat="1" applyFont="1" applyBorder="1" applyAlignment="1">
      <alignment horizontal="center" vertical="center" wrapText="1"/>
    </xf>
    <xf numFmtId="0" fontId="66" fillId="0" borderId="8" xfId="0" applyFont="1" applyBorder="1" applyAlignment="1">
      <alignment horizontal="left" vertical="center" wrapText="1"/>
    </xf>
    <xf numFmtId="0" fontId="0" fillId="0" borderId="8" xfId="0" applyBorder="1" applyAlignment="1">
      <alignment vertical="top" wrapText="1"/>
    </xf>
    <xf numFmtId="0" fontId="83" fillId="0" borderId="8" xfId="0" applyFont="1" applyBorder="1" applyAlignment="1">
      <alignment horizontal="center" vertical="center" wrapText="1"/>
    </xf>
    <xf numFmtId="0" fontId="83" fillId="0" borderId="8" xfId="0" applyFont="1" applyBorder="1" applyAlignment="1">
      <alignment vertical="center" wrapText="1"/>
    </xf>
    <xf numFmtId="0" fontId="122" fillId="0" borderId="40" xfId="0" applyFont="1" applyBorder="1" applyAlignment="1">
      <alignment vertical="center" wrapText="1"/>
    </xf>
    <xf numFmtId="0" fontId="122" fillId="0" borderId="5" xfId="0" applyFont="1" applyBorder="1" applyAlignment="1">
      <alignment vertical="center" wrapText="1"/>
    </xf>
    <xf numFmtId="0" fontId="122" fillId="0" borderId="41" xfId="0" applyFont="1" applyBorder="1" applyAlignment="1">
      <alignment vertical="center" wrapText="1"/>
    </xf>
    <xf numFmtId="3" fontId="45" fillId="72" borderId="39" xfId="0" applyNumberFormat="1" applyFont="1" applyFill="1" applyBorder="1" applyAlignment="1">
      <alignment horizontal="center" vertical="center" wrapText="1"/>
    </xf>
    <xf numFmtId="0" fontId="138" fillId="72" borderId="39" xfId="0" applyFont="1" applyFill="1" applyBorder="1" applyAlignment="1">
      <alignment horizontal="center" vertical="center" wrapText="1"/>
    </xf>
    <xf numFmtId="0" fontId="139" fillId="35" borderId="40" xfId="0" applyFont="1" applyFill="1" applyBorder="1" applyAlignment="1">
      <alignment vertical="center" wrapText="1"/>
    </xf>
    <xf numFmtId="0" fontId="139" fillId="35" borderId="5" xfId="0" applyFont="1" applyFill="1" applyBorder="1" applyAlignment="1">
      <alignment vertical="center" wrapText="1"/>
    </xf>
    <xf numFmtId="0" fontId="45" fillId="72" borderId="8" xfId="0" applyFont="1" applyFill="1" applyBorder="1" applyAlignment="1">
      <alignment horizontal="center" vertical="center" wrapText="1"/>
    </xf>
    <xf numFmtId="0" fontId="136" fillId="95" borderId="40" xfId="0" applyFont="1" applyFill="1" applyBorder="1" applyAlignment="1">
      <alignment vertical="center" wrapText="1"/>
    </xf>
    <xf numFmtId="0" fontId="136" fillId="95" borderId="5" xfId="0" applyFont="1" applyFill="1" applyBorder="1" applyAlignment="1">
      <alignment vertical="center" wrapText="1"/>
    </xf>
    <xf numFmtId="0" fontId="136" fillId="95" borderId="41" xfId="0" applyFont="1" applyFill="1" applyBorder="1" applyAlignment="1">
      <alignment vertical="center" wrapText="1"/>
    </xf>
    <xf numFmtId="0" fontId="0" fillId="82" borderId="0" xfId="0" applyFill="1"/>
    <xf numFmtId="0" fontId="74" fillId="82" borderId="0" xfId="0" applyFont="1" applyFill="1"/>
    <xf numFmtId="0" fontId="75" fillId="0" borderId="0" xfId="0" applyFont="1" applyAlignment="1">
      <alignment horizontal="left" vertical="center"/>
    </xf>
    <xf numFmtId="0" fontId="161" fillId="72" borderId="0" xfId="0" applyFont="1" applyFill="1"/>
    <xf numFmtId="4" fontId="45" fillId="72" borderId="45" xfId="0" applyNumberFormat="1" applyFont="1" applyFill="1" applyBorder="1" applyAlignment="1">
      <alignment horizontal="center" vertical="center" wrapText="1"/>
    </xf>
    <xf numFmtId="4" fontId="45" fillId="72" borderId="39" xfId="0" applyNumberFormat="1" applyFont="1" applyFill="1" applyBorder="1" applyAlignment="1">
      <alignment horizontal="center" vertical="center" wrapText="1"/>
    </xf>
    <xf numFmtId="0" fontId="138" fillId="72" borderId="8" xfId="0" applyFont="1" applyFill="1" applyBorder="1" applyAlignment="1">
      <alignment horizontal="center" vertical="center" wrapText="1"/>
    </xf>
    <xf numFmtId="0" fontId="10" fillId="74" borderId="23" xfId="7036" applyFill="1" applyBorder="1" applyAlignment="1">
      <alignment horizontal="left"/>
    </xf>
    <xf numFmtId="0" fontId="10" fillId="34" borderId="0" xfId="7036" applyFill="1" applyAlignment="1">
      <alignment horizontal="left"/>
    </xf>
    <xf numFmtId="0" fontId="10" fillId="34" borderId="22" xfId="7036" applyFill="1" applyBorder="1" applyAlignment="1">
      <alignment horizontal="center"/>
    </xf>
    <xf numFmtId="0" fontId="10" fillId="0" borderId="0" xfId="7297" applyBorder="1"/>
    <xf numFmtId="0" fontId="0" fillId="0" borderId="0" xfId="0" applyBorder="1"/>
    <xf numFmtId="0" fontId="10" fillId="0" borderId="0" xfId="7297"/>
    <xf numFmtId="0" fontId="79" fillId="0" borderId="0" xfId="7297" applyFont="1" applyBorder="1"/>
    <xf numFmtId="0" fontId="10" fillId="0" borderId="0" xfId="7297"/>
    <xf numFmtId="0" fontId="10" fillId="0" borderId="0" xfId="7297"/>
    <xf numFmtId="0" fontId="83" fillId="95" borderId="8" xfId="0" applyFont="1" applyFill="1" applyBorder="1" applyAlignment="1">
      <alignment horizontal="center" vertical="center" wrapText="1"/>
    </xf>
    <xf numFmtId="0" fontId="120" fillId="0" borderId="0" xfId="0" applyFont="1" applyAlignment="1">
      <alignment vertical="center" wrapText="1"/>
    </xf>
    <xf numFmtId="0" fontId="1" fillId="95" borderId="8" xfId="0" applyFont="1" applyFill="1" applyBorder="1" applyAlignment="1">
      <alignment vertical="center" wrapText="1"/>
    </xf>
    <xf numFmtId="0" fontId="83" fillId="95" borderId="42" xfId="0" applyFont="1" applyFill="1" applyBorder="1" applyAlignment="1">
      <alignment horizontal="center" vertical="center" wrapText="1"/>
    </xf>
    <xf numFmtId="0" fontId="1" fillId="95" borderId="42" xfId="0" applyFont="1" applyFill="1" applyBorder="1" applyAlignment="1">
      <alignment vertical="center" wrapText="1"/>
    </xf>
    <xf numFmtId="0" fontId="83" fillId="95" borderId="41" xfId="0" applyFont="1" applyFill="1" applyBorder="1" applyAlignment="1">
      <alignment vertical="center" wrapText="1"/>
    </xf>
    <xf numFmtId="0" fontId="83" fillId="95" borderId="5" xfId="0" applyFont="1" applyFill="1" applyBorder="1" applyAlignment="1">
      <alignment vertical="center" wrapText="1"/>
    </xf>
    <xf numFmtId="0" fontId="83" fillId="95" borderId="40" xfId="0" applyFont="1" applyFill="1" applyBorder="1" applyAlignment="1">
      <alignment vertical="center" wrapText="1"/>
    </xf>
    <xf numFmtId="0" fontId="66" fillId="95" borderId="39" xfId="0" applyFont="1" applyFill="1" applyBorder="1" applyAlignment="1">
      <alignment vertical="center" wrapText="1"/>
    </xf>
    <xf numFmtId="0" fontId="66" fillId="95" borderId="39" xfId="0" applyFont="1" applyFill="1" applyBorder="1" applyAlignment="1">
      <alignment horizontal="center" vertical="center" wrapText="1"/>
    </xf>
    <xf numFmtId="9" fontId="66" fillId="95" borderId="39" xfId="0" applyNumberFormat="1" applyFont="1" applyFill="1" applyBorder="1" applyAlignment="1">
      <alignment horizontal="center" vertical="center" wrapText="1"/>
    </xf>
    <xf numFmtId="0" fontId="66" fillId="95" borderId="42" xfId="0" applyFont="1" applyFill="1" applyBorder="1" applyAlignment="1">
      <alignment vertical="center" wrapText="1"/>
    </xf>
    <xf numFmtId="0" fontId="66" fillId="95" borderId="42" xfId="0" applyFont="1" applyFill="1" applyBorder="1" applyAlignment="1">
      <alignment horizontal="center" vertical="center" wrapText="1"/>
    </xf>
    <xf numFmtId="9" fontId="66" fillId="95" borderId="42" xfId="0" applyNumberFormat="1" applyFont="1" applyFill="1" applyBorder="1" applyAlignment="1">
      <alignment horizontal="center" vertical="center" wrapText="1"/>
    </xf>
    <xf numFmtId="0" fontId="83" fillId="95" borderId="41" xfId="0" applyFont="1" applyFill="1" applyBorder="1" applyAlignment="1">
      <alignment vertical="center"/>
    </xf>
    <xf numFmtId="0" fontId="83" fillId="95" borderId="5" xfId="0" applyFont="1" applyFill="1" applyBorder="1" applyAlignment="1">
      <alignment horizontal="center" vertical="center" wrapText="1"/>
    </xf>
    <xf numFmtId="0" fontId="66" fillId="95" borderId="8" xfId="0" applyFont="1" applyFill="1" applyBorder="1" applyAlignment="1">
      <alignment vertical="center" wrapText="1"/>
    </xf>
    <xf numFmtId="0" fontId="66" fillId="95" borderId="8" xfId="0" applyFont="1" applyFill="1" applyBorder="1" applyAlignment="1">
      <alignment horizontal="center" vertical="center" wrapText="1"/>
    </xf>
    <xf numFmtId="9" fontId="66" fillId="95" borderId="8" xfId="0" applyNumberFormat="1" applyFont="1" applyFill="1" applyBorder="1" applyAlignment="1">
      <alignment horizontal="center" vertical="center" wrapText="1"/>
    </xf>
    <xf numFmtId="0" fontId="158" fillId="95" borderId="39" xfId="0" applyFont="1" applyFill="1" applyBorder="1" applyAlignment="1">
      <alignment horizontal="center" vertical="center" wrapText="1"/>
    </xf>
    <xf numFmtId="0" fontId="1" fillId="95" borderId="8" xfId="0" applyFont="1" applyFill="1" applyBorder="1" applyAlignment="1">
      <alignment horizontal="center" vertical="center" wrapText="1"/>
    </xf>
    <xf numFmtId="0" fontId="158" fillId="95" borderId="8" xfId="0" applyFont="1" applyFill="1" applyBorder="1" applyAlignment="1">
      <alignment horizontal="center" vertical="center" wrapText="1"/>
    </xf>
    <xf numFmtId="0" fontId="66" fillId="95" borderId="5" xfId="0" applyFont="1" applyFill="1" applyBorder="1" applyAlignment="1">
      <alignment vertical="center" wrapText="1"/>
    </xf>
    <xf numFmtId="0" fontId="66" fillId="95" borderId="40" xfId="0" applyFont="1" applyFill="1" applyBorder="1" applyAlignment="1">
      <alignment vertical="center" wrapText="1"/>
    </xf>
    <xf numFmtId="0" fontId="164" fillId="0" borderId="0" xfId="0" applyFont="1"/>
    <xf numFmtId="0" fontId="100" fillId="0" borderId="0" xfId="0" applyFont="1"/>
    <xf numFmtId="0" fontId="46" fillId="95" borderId="8" xfId="0" applyFont="1" applyFill="1" applyBorder="1" applyAlignment="1">
      <alignment vertical="center" wrapText="1"/>
    </xf>
    <xf numFmtId="0" fontId="165" fillId="95" borderId="8" xfId="0" applyFont="1" applyFill="1" applyBorder="1" applyAlignment="1">
      <alignment horizontal="center" vertical="center" wrapText="1"/>
    </xf>
    <xf numFmtId="9" fontId="152" fillId="95" borderId="8" xfId="0" applyNumberFormat="1" applyFont="1" applyFill="1" applyBorder="1" applyAlignment="1">
      <alignment horizontal="center" vertical="center" wrapText="1"/>
    </xf>
    <xf numFmtId="0" fontId="152" fillId="95" borderId="8" xfId="0" applyFont="1" applyFill="1" applyBorder="1" applyAlignment="1">
      <alignment horizontal="center" vertical="center" wrapText="1"/>
    </xf>
    <xf numFmtId="0" fontId="152" fillId="95" borderId="8" xfId="0" applyFont="1" applyFill="1" applyBorder="1" applyAlignment="1">
      <alignment vertical="center" wrapText="1"/>
    </xf>
    <xf numFmtId="0" fontId="46" fillId="0" borderId="8" xfId="0" applyFont="1" applyBorder="1" applyAlignment="1">
      <alignment horizontal="center" vertical="center"/>
    </xf>
    <xf numFmtId="0" fontId="149" fillId="95" borderId="8" xfId="0" applyFont="1" applyFill="1" applyBorder="1" applyAlignment="1">
      <alignment horizontal="center" vertical="center" wrapText="1"/>
    </xf>
    <xf numFmtId="0" fontId="46" fillId="95" borderId="8" xfId="0" applyFont="1" applyFill="1" applyBorder="1" applyAlignment="1">
      <alignment horizontal="center" vertical="center" wrapText="1"/>
    </xf>
    <xf numFmtId="0" fontId="146" fillId="95" borderId="8" xfId="0" applyFont="1" applyFill="1" applyBorder="1" applyAlignment="1">
      <alignment horizontal="center" vertical="center" wrapText="1"/>
    </xf>
    <xf numFmtId="0" fontId="140" fillId="95" borderId="8" xfId="0" applyFont="1" applyFill="1" applyBorder="1" applyAlignment="1">
      <alignment vertical="center" wrapText="1"/>
    </xf>
    <xf numFmtId="0" fontId="0" fillId="0" borderId="0" xfId="0" applyAlignment="1">
      <alignment horizontal="center"/>
    </xf>
    <xf numFmtId="0" fontId="66" fillId="0" borderId="40" xfId="0" applyFont="1" applyBorder="1" applyAlignment="1">
      <alignment horizontal="center"/>
    </xf>
    <xf numFmtId="0" fontId="66" fillId="0" borderId="8" xfId="0" applyFont="1" applyBorder="1" applyAlignment="1">
      <alignment horizontal="center"/>
    </xf>
    <xf numFmtId="0" fontId="10" fillId="0" borderId="0" xfId="7297"/>
    <xf numFmtId="9" fontId="66" fillId="0" borderId="8" xfId="0" applyNumberFormat="1" applyFont="1" applyBorder="1" applyAlignment="1">
      <alignment horizontal="center" vertical="center" wrapText="1"/>
    </xf>
    <xf numFmtId="0" fontId="83" fillId="0" borderId="8" xfId="0" applyFont="1" applyBorder="1" applyAlignment="1">
      <alignment horizontal="center" vertical="center" wrapText="1"/>
    </xf>
    <xf numFmtId="0" fontId="83" fillId="0" borderId="8" xfId="0" applyFont="1" applyBorder="1" applyAlignment="1">
      <alignment horizontal="justify" vertical="center" wrapText="1"/>
    </xf>
    <xf numFmtId="0" fontId="66" fillId="0" borderId="8" xfId="0" applyFont="1" applyBorder="1" applyAlignment="1">
      <alignment horizontal="center" vertical="center" wrapText="1"/>
    </xf>
    <xf numFmtId="0" fontId="158" fillId="0" borderId="8" xfId="0" applyFont="1" applyBorder="1" applyAlignment="1">
      <alignment horizontal="center" vertical="center" wrapText="1"/>
    </xf>
    <xf numFmtId="0" fontId="87" fillId="0" borderId="0" xfId="0" applyFont="1"/>
    <xf numFmtId="0" fontId="90" fillId="0" borderId="0" xfId="0" applyFont="1"/>
    <xf numFmtId="0" fontId="168" fillId="0" borderId="0" xfId="0" applyFont="1"/>
    <xf numFmtId="0" fontId="0" fillId="0" borderId="0" xfId="0" quotePrefix="1"/>
    <xf numFmtId="0" fontId="0" fillId="0" borderId="0" xfId="0" applyAlignment="1"/>
    <xf numFmtId="0" fontId="0" fillId="0" borderId="0" xfId="0" quotePrefix="1" applyAlignment="1">
      <alignment wrapText="1"/>
    </xf>
    <xf numFmtId="2" fontId="158" fillId="0" borderId="8" xfId="0" applyNumberFormat="1" applyFont="1" applyBorder="1" applyAlignment="1">
      <alignment horizontal="center" vertical="center" wrapText="1"/>
    </xf>
    <xf numFmtId="1" fontId="8" fillId="0" borderId="0" xfId="0" applyNumberFormat="1" applyFont="1"/>
    <xf numFmtId="177" fontId="66" fillId="59" borderId="8" xfId="0" applyNumberFormat="1" applyFont="1" applyFill="1" applyBorder="1" applyAlignment="1">
      <alignment horizontal="center"/>
    </xf>
    <xf numFmtId="0" fontId="10" fillId="0" borderId="0" xfId="7297" applyBorder="1" applyAlignment="1">
      <alignment horizontal="right"/>
    </xf>
    <xf numFmtId="2" fontId="10" fillId="0" borderId="0" xfId="7297" applyNumberFormat="1" applyBorder="1"/>
    <xf numFmtId="177" fontId="10" fillId="0" borderId="0" xfId="7297" applyNumberFormat="1" applyBorder="1"/>
    <xf numFmtId="1" fontId="10" fillId="0" borderId="0" xfId="7297" applyNumberFormat="1" applyBorder="1"/>
    <xf numFmtId="176" fontId="10" fillId="0" borderId="0" xfId="7297" applyNumberFormat="1" applyBorder="1"/>
    <xf numFmtId="168" fontId="10" fillId="0" borderId="0" xfId="7297" applyNumberFormat="1" applyBorder="1"/>
    <xf numFmtId="0" fontId="0" fillId="75" borderId="0" xfId="0" applyFill="1" applyBorder="1"/>
    <xf numFmtId="0" fontId="10" fillId="0" borderId="0" xfId="7297"/>
    <xf numFmtId="168" fontId="10" fillId="0" borderId="5" xfId="7297" applyNumberFormat="1" applyBorder="1"/>
    <xf numFmtId="0" fontId="68" fillId="69" borderId="0" xfId="0" applyFont="1" applyFill="1" applyBorder="1" applyAlignment="1">
      <alignment vertical="top" wrapText="1"/>
    </xf>
    <xf numFmtId="0" fontId="67" fillId="0" borderId="0" xfId="0" applyFont="1" applyBorder="1"/>
    <xf numFmtId="0" fontId="10" fillId="0" borderId="0" xfId="7297"/>
    <xf numFmtId="168" fontId="0" fillId="96" borderId="0" xfId="7305" applyNumberFormat="1" applyFont="1" applyFill="1"/>
    <xf numFmtId="168" fontId="68" fillId="0" borderId="0" xfId="7305" applyNumberFormat="1" applyFont="1"/>
    <xf numFmtId="168" fontId="88" fillId="33" borderId="22" xfId="7305" applyNumberFormat="1" applyFont="1" applyFill="1" applyBorder="1"/>
    <xf numFmtId="168" fontId="88" fillId="33" borderId="22" xfId="7305" applyNumberFormat="1" applyFont="1" applyFill="1" applyBorder="1" applyAlignment="1">
      <alignment horizontal="left"/>
    </xf>
    <xf numFmtId="168" fontId="68" fillId="34" borderId="23" xfId="7305" quotePrefix="1" applyNumberFormat="1" applyFont="1" applyFill="1" applyBorder="1" applyAlignment="1">
      <alignment horizontal="left" vertical="top"/>
    </xf>
    <xf numFmtId="168" fontId="88" fillId="97" borderId="22" xfId="7305" applyNumberFormat="1" applyFont="1" applyFill="1" applyBorder="1" applyAlignment="1">
      <alignment wrapText="1"/>
    </xf>
    <xf numFmtId="0" fontId="10" fillId="0" borderId="0" xfId="7297"/>
    <xf numFmtId="0" fontId="10" fillId="0" borderId="0" xfId="7297"/>
    <xf numFmtId="0" fontId="169" fillId="0" borderId="0" xfId="7297" applyFont="1"/>
    <xf numFmtId="1" fontId="10" fillId="0" borderId="24" xfId="7297" applyNumberFormat="1" applyBorder="1"/>
    <xf numFmtId="2" fontId="10" fillId="0" borderId="24" xfId="7297" applyNumberFormat="1" applyBorder="1"/>
    <xf numFmtId="169" fontId="10" fillId="0" borderId="24" xfId="7297" applyNumberFormat="1" applyBorder="1"/>
    <xf numFmtId="189" fontId="10" fillId="0" borderId="24" xfId="7297" applyNumberFormat="1" applyBorder="1"/>
    <xf numFmtId="9" fontId="10" fillId="0" borderId="6" xfId="7297" applyNumberFormat="1" applyBorder="1"/>
    <xf numFmtId="9" fontId="10" fillId="0" borderId="25" xfId="7297" applyNumberFormat="1" applyBorder="1"/>
    <xf numFmtId="1" fontId="10" fillId="0" borderId="52" xfId="7297" applyNumberFormat="1" applyBorder="1"/>
    <xf numFmtId="169" fontId="10" fillId="0" borderId="52" xfId="7297" applyNumberFormat="1" applyBorder="1"/>
    <xf numFmtId="1" fontId="10" fillId="0" borderId="46" xfId="7297" applyNumberFormat="1" applyBorder="1"/>
    <xf numFmtId="1" fontId="10" fillId="0" borderId="43" xfId="7297" applyNumberFormat="1" applyBorder="1"/>
    <xf numFmtId="1" fontId="10" fillId="0" borderId="9" xfId="7297" applyNumberFormat="1" applyBorder="1"/>
    <xf numFmtId="2" fontId="10" fillId="0" borderId="43" xfId="7297" applyNumberFormat="1" applyBorder="1"/>
    <xf numFmtId="169" fontId="10" fillId="0" borderId="46" xfId="7297" applyNumberFormat="1" applyBorder="1"/>
    <xf numFmtId="169" fontId="10" fillId="0" borderId="22" xfId="7297" applyNumberFormat="1" applyBorder="1"/>
    <xf numFmtId="169" fontId="10" fillId="0" borderId="43" xfId="7297" applyNumberFormat="1" applyBorder="1"/>
    <xf numFmtId="169" fontId="10" fillId="0" borderId="9" xfId="7297" applyNumberFormat="1" applyBorder="1"/>
    <xf numFmtId="189" fontId="10" fillId="0" borderId="9" xfId="7297" applyNumberFormat="1" applyBorder="1"/>
    <xf numFmtId="0" fontId="10" fillId="0" borderId="104" xfId="7297" applyBorder="1"/>
    <xf numFmtId="0" fontId="10" fillId="0" borderId="48" xfId="7297" applyBorder="1"/>
    <xf numFmtId="0" fontId="10" fillId="0" borderId="102" xfId="7297" applyBorder="1"/>
    <xf numFmtId="0" fontId="10" fillId="0" borderId="107" xfId="7297" applyBorder="1"/>
    <xf numFmtId="1" fontId="10" fillId="0" borderId="50" xfId="7297" applyNumberFormat="1" applyBorder="1"/>
    <xf numFmtId="1" fontId="10" fillId="0" borderId="36" xfId="7297" applyNumberFormat="1" applyBorder="1"/>
    <xf numFmtId="2" fontId="10" fillId="0" borderId="36" xfId="7297" applyNumberFormat="1" applyBorder="1"/>
    <xf numFmtId="169" fontId="10" fillId="0" borderId="50" xfId="7297" applyNumberFormat="1" applyBorder="1"/>
    <xf numFmtId="169" fontId="10" fillId="0" borderId="36" xfId="7297" applyNumberFormat="1" applyBorder="1"/>
    <xf numFmtId="2" fontId="10" fillId="0" borderId="50" xfId="7297" applyNumberFormat="1" applyBorder="1"/>
    <xf numFmtId="189" fontId="10" fillId="0" borderId="36" xfId="7297" applyNumberFormat="1" applyBorder="1"/>
    <xf numFmtId="9" fontId="10" fillId="0" borderId="54" xfId="7297" applyNumberFormat="1" applyBorder="1"/>
    <xf numFmtId="177" fontId="10" fillId="0" borderId="36" xfId="7297" applyNumberFormat="1" applyBorder="1"/>
    <xf numFmtId="0" fontId="10" fillId="0" borderId="0" xfId="7297" applyFill="1"/>
    <xf numFmtId="0" fontId="0" fillId="0" borderId="0" xfId="0" applyAlignment="1">
      <alignment horizontal="center"/>
    </xf>
    <xf numFmtId="0" fontId="66" fillId="0" borderId="8" xfId="0" applyFont="1" applyBorder="1" applyAlignment="1">
      <alignment horizontal="center" vertical="center" wrapText="1"/>
    </xf>
    <xf numFmtId="0" fontId="170" fillId="0" borderId="0" xfId="0" applyFont="1"/>
    <xf numFmtId="0" fontId="171" fillId="0" borderId="0" xfId="0" applyFont="1" applyFill="1" applyBorder="1"/>
    <xf numFmtId="0" fontId="170" fillId="0" borderId="0" xfId="0" applyFont="1" applyAlignment="1">
      <alignment horizontal="right"/>
    </xf>
    <xf numFmtId="0" fontId="171" fillId="0" borderId="39" xfId="0" applyFont="1" applyBorder="1"/>
    <xf numFmtId="2" fontId="171" fillId="0" borderId="39" xfId="0" applyNumberFormat="1" applyFont="1" applyBorder="1" applyAlignment="1">
      <alignment horizontal="center"/>
    </xf>
    <xf numFmtId="2" fontId="171" fillId="0" borderId="0" xfId="0" applyNumberFormat="1" applyFont="1" applyFill="1" applyBorder="1"/>
    <xf numFmtId="0" fontId="66" fillId="0" borderId="40" xfId="0" applyFont="1" applyBorder="1" applyAlignment="1">
      <alignment horizontal="center"/>
    </xf>
    <xf numFmtId="0" fontId="83" fillId="0" borderId="8" xfId="0" applyFont="1" applyBorder="1" applyAlignment="1">
      <alignment horizontal="center"/>
    </xf>
    <xf numFmtId="0" fontId="66" fillId="0" borderId="8" xfId="0" applyFont="1" applyBorder="1" applyAlignment="1">
      <alignment horizontal="center"/>
    </xf>
    <xf numFmtId="0" fontId="119" fillId="35" borderId="0" xfId="0" applyFont="1" applyFill="1" applyAlignment="1">
      <alignment vertical="top" wrapText="1"/>
    </xf>
    <xf numFmtId="0" fontId="66" fillId="0" borderId="8" xfId="0" applyFont="1" applyBorder="1" applyAlignment="1">
      <alignment horizontal="right"/>
    </xf>
    <xf numFmtId="0" fontId="139" fillId="0" borderId="8" xfId="0" applyFont="1" applyBorder="1"/>
    <xf numFmtId="0" fontId="121" fillId="0" borderId="8" xfId="0" applyFont="1" applyBorder="1"/>
    <xf numFmtId="0" fontId="121" fillId="0" borderId="8" xfId="0" applyFont="1" applyBorder="1" applyAlignment="1">
      <alignment horizontal="center"/>
    </xf>
    <xf numFmtId="0" fontId="121" fillId="0" borderId="42" xfId="0" applyFont="1" applyBorder="1"/>
    <xf numFmtId="0" fontId="121" fillId="0" borderId="42" xfId="0" applyFont="1" applyBorder="1" applyAlignment="1">
      <alignment horizontal="center"/>
    </xf>
    <xf numFmtId="0" fontId="139" fillId="0" borderId="41" xfId="0" applyFont="1" applyBorder="1"/>
    <xf numFmtId="0" fontId="121" fillId="0" borderId="5" xfId="0" applyFont="1" applyBorder="1"/>
    <xf numFmtId="0" fontId="121" fillId="0" borderId="5" xfId="0" applyFont="1" applyBorder="1" applyAlignment="1">
      <alignment horizontal="center"/>
    </xf>
    <xf numFmtId="0" fontId="121" fillId="0" borderId="40" xfId="0" applyFont="1" applyBorder="1" applyAlignment="1">
      <alignment horizontal="center"/>
    </xf>
    <xf numFmtId="0" fontId="121" fillId="0" borderId="39" xfId="0" applyFont="1" applyBorder="1"/>
    <xf numFmtId="9" fontId="121" fillId="0" borderId="39" xfId="10379" applyFont="1" applyBorder="1"/>
    <xf numFmtId="0" fontId="121" fillId="0" borderId="39" xfId="0" applyFont="1" applyBorder="1" applyAlignment="1">
      <alignment horizontal="center"/>
    </xf>
    <xf numFmtId="9" fontId="121" fillId="0" borderId="42" xfId="10379" applyFont="1" applyBorder="1"/>
    <xf numFmtId="0" fontId="121" fillId="35" borderId="45" xfId="0" applyFont="1" applyFill="1" applyBorder="1"/>
    <xf numFmtId="1" fontId="121" fillId="0" borderId="45" xfId="0" applyNumberFormat="1" applyFont="1" applyBorder="1"/>
    <xf numFmtId="9" fontId="121" fillId="0" borderId="45" xfId="0" applyNumberFormat="1" applyFont="1" applyBorder="1"/>
    <xf numFmtId="0" fontId="121" fillId="0" borderId="45" xfId="0" applyFont="1" applyBorder="1" applyAlignment="1">
      <alignment horizontal="center"/>
    </xf>
    <xf numFmtId="9" fontId="121" fillId="0" borderId="5" xfId="0" applyNumberFormat="1" applyFont="1" applyBorder="1"/>
    <xf numFmtId="177" fontId="121" fillId="0" borderId="39" xfId="0" applyNumberFormat="1" applyFont="1" applyBorder="1"/>
    <xf numFmtId="9" fontId="121" fillId="0" borderId="39" xfId="0" applyNumberFormat="1" applyFont="1" applyBorder="1"/>
    <xf numFmtId="177" fontId="121" fillId="0" borderId="8" xfId="0" applyNumberFormat="1" applyFont="1" applyBorder="1"/>
    <xf numFmtId="9" fontId="121" fillId="0" borderId="8" xfId="0" applyNumberFormat="1" applyFont="1" applyBorder="1"/>
    <xf numFmtId="177" fontId="121" fillId="0" borderId="42" xfId="0" applyNumberFormat="1" applyFont="1" applyBorder="1"/>
    <xf numFmtId="9" fontId="121" fillId="0" borderId="42" xfId="0" applyNumberFormat="1" applyFont="1" applyBorder="1"/>
    <xf numFmtId="0" fontId="121" fillId="0" borderId="41" xfId="0" applyFont="1" applyBorder="1"/>
    <xf numFmtId="0" fontId="121" fillId="0" borderId="40" xfId="0" applyFont="1" applyBorder="1"/>
    <xf numFmtId="0" fontId="121" fillId="0" borderId="8" xfId="0" applyFont="1" applyBorder="1" applyAlignment="1">
      <alignment horizontal="right"/>
    </xf>
    <xf numFmtId="2" fontId="121" fillId="0" borderId="39" xfId="0" applyNumberFormat="1" applyFont="1" applyBorder="1"/>
    <xf numFmtId="9" fontId="121" fillId="0" borderId="8" xfId="10379" applyFont="1" applyBorder="1"/>
    <xf numFmtId="0" fontId="121" fillId="0" borderId="42" xfId="0" applyFont="1" applyBorder="1" applyAlignment="1">
      <alignment horizontal="right"/>
    </xf>
    <xf numFmtId="2" fontId="121" fillId="0" borderId="8" xfId="0" applyNumberFormat="1" applyFont="1" applyBorder="1"/>
    <xf numFmtId="0" fontId="119" fillId="0" borderId="0" xfId="0" applyFont="1"/>
    <xf numFmtId="0" fontId="12" fillId="35" borderId="8" xfId="0" applyFont="1" applyFill="1" applyBorder="1" applyAlignment="1">
      <alignment vertical="top" wrapText="1"/>
    </xf>
    <xf numFmtId="0" fontId="10" fillId="35" borderId="8" xfId="0" applyFont="1" applyFill="1" applyBorder="1" applyAlignment="1">
      <alignment vertical="top" wrapText="1"/>
    </xf>
    <xf numFmtId="0" fontId="12" fillId="35" borderId="8" xfId="0" applyFont="1" applyFill="1" applyBorder="1" applyAlignment="1">
      <alignment horizontal="center" vertical="top" wrapText="1"/>
    </xf>
    <xf numFmtId="1" fontId="119" fillId="35" borderId="8" xfId="0" quotePrefix="1" applyNumberFormat="1" applyFont="1" applyFill="1" applyBorder="1" applyAlignment="1">
      <alignment horizontal="center" vertical="top" wrapText="1"/>
    </xf>
    <xf numFmtId="1" fontId="119" fillId="35" borderId="8" xfId="0" applyNumberFormat="1" applyFont="1" applyFill="1" applyBorder="1" applyAlignment="1">
      <alignment horizontal="center" vertical="top" wrapText="1"/>
    </xf>
    <xf numFmtId="0" fontId="119" fillId="35" borderId="8" xfId="0" applyFont="1" applyFill="1" applyBorder="1" applyAlignment="1">
      <alignment horizontal="center" vertical="top" wrapText="1"/>
    </xf>
    <xf numFmtId="0" fontId="127" fillId="35" borderId="8" xfId="0" quotePrefix="1" applyFont="1" applyFill="1" applyBorder="1" applyAlignment="1">
      <alignment vertical="top" wrapText="1"/>
    </xf>
    <xf numFmtId="0" fontId="10" fillId="0" borderId="8" xfId="0" applyFont="1" applyBorder="1" applyAlignment="1">
      <alignment vertical="top" wrapText="1"/>
    </xf>
    <xf numFmtId="10" fontId="0" fillId="0" borderId="0" xfId="10379" applyNumberFormat="1" applyFont="1" applyBorder="1"/>
    <xf numFmtId="0" fontId="127" fillId="0" borderId="8" xfId="0" quotePrefix="1" applyFont="1" applyBorder="1" applyAlignment="1">
      <alignment vertical="top" wrapText="1"/>
    </xf>
    <xf numFmtId="2" fontId="119" fillId="35" borderId="8" xfId="0" applyNumberFormat="1" applyFont="1" applyFill="1" applyBorder="1" applyAlignment="1">
      <alignment horizontal="center" vertical="top" wrapText="1"/>
    </xf>
    <xf numFmtId="169" fontId="119" fillId="35" borderId="8" xfId="0" applyNumberFormat="1" applyFont="1" applyFill="1" applyBorder="1" applyAlignment="1">
      <alignment horizontal="center" vertical="top" wrapText="1"/>
    </xf>
    <xf numFmtId="189" fontId="0" fillId="0" borderId="0" xfId="10379" applyNumberFormat="1" applyFont="1" applyBorder="1"/>
    <xf numFmtId="1" fontId="119" fillId="35" borderId="8" xfId="10379" applyNumberFormat="1" applyFont="1" applyFill="1" applyBorder="1" applyAlignment="1">
      <alignment horizontal="center" vertical="top" wrapText="1"/>
    </xf>
    <xf numFmtId="0" fontId="12" fillId="0" borderId="8" xfId="0" applyFont="1" applyBorder="1" applyAlignment="1">
      <alignment vertical="top" wrapText="1"/>
    </xf>
    <xf numFmtId="190" fontId="0" fillId="0" borderId="0" xfId="0" applyNumberFormat="1"/>
    <xf numFmtId="0" fontId="119" fillId="0" borderId="8" xfId="0" applyFont="1" applyBorder="1" applyAlignment="1">
      <alignment vertical="top" wrapText="1"/>
    </xf>
    <xf numFmtId="167" fontId="0" fillId="0" borderId="0" xfId="10384" applyFont="1" applyBorder="1"/>
    <xf numFmtId="169" fontId="119" fillId="35" borderId="8" xfId="0" applyNumberFormat="1" applyFont="1" applyFill="1" applyBorder="1" applyAlignment="1">
      <alignment horizontal="center" vertical="center" wrapText="1"/>
    </xf>
    <xf numFmtId="0" fontId="119" fillId="35" borderId="8" xfId="0" applyFont="1" applyFill="1" applyBorder="1" applyAlignment="1">
      <alignment horizontal="center" vertical="center" wrapText="1"/>
    </xf>
    <xf numFmtId="1" fontId="119" fillId="35" borderId="8" xfId="0" quotePrefix="1" applyNumberFormat="1" applyFont="1" applyFill="1" applyBorder="1" applyAlignment="1">
      <alignment horizontal="center" vertical="center" wrapText="1"/>
    </xf>
    <xf numFmtId="0" fontId="119" fillId="0" borderId="39" xfId="0" applyFont="1" applyBorder="1" applyAlignment="1">
      <alignment vertical="top" wrapText="1"/>
    </xf>
    <xf numFmtId="169" fontId="119" fillId="0" borderId="8" xfId="0" applyNumberFormat="1" applyFont="1" applyBorder="1" applyAlignment="1">
      <alignment horizontal="center" vertical="top"/>
    </xf>
    <xf numFmtId="0" fontId="119" fillId="35" borderId="8" xfId="0" applyFont="1" applyFill="1" applyBorder="1" applyAlignment="1">
      <alignment horizontal="center" vertical="top"/>
    </xf>
    <xf numFmtId="0" fontId="0" fillId="0" borderId="8" xfId="0" applyBorder="1" applyAlignment="1">
      <alignment horizontal="center"/>
    </xf>
    <xf numFmtId="49" fontId="119" fillId="35" borderId="44" xfId="0" quotePrefix="1" applyNumberFormat="1" applyFont="1" applyFill="1" applyBorder="1" applyAlignment="1">
      <alignment horizontal="center" vertical="top" wrapText="1"/>
    </xf>
    <xf numFmtId="167" fontId="0" fillId="0" borderId="0" xfId="0" applyNumberFormat="1"/>
    <xf numFmtId="0" fontId="122" fillId="35" borderId="0" xfId="0" applyFont="1" applyFill="1" applyAlignment="1">
      <alignment vertical="top" wrapText="1"/>
    </xf>
    <xf numFmtId="2" fontId="119" fillId="35" borderId="0" xfId="0" applyNumberFormat="1" applyFont="1" applyFill="1" applyAlignment="1">
      <alignment horizontal="center" vertical="top"/>
    </xf>
    <xf numFmtId="0" fontId="119" fillId="35" borderId="0" xfId="0" applyFont="1" applyFill="1" applyAlignment="1">
      <alignment horizontal="center" vertical="top"/>
    </xf>
    <xf numFmtId="1" fontId="119" fillId="35" borderId="0" xfId="0" applyNumberFormat="1" applyFont="1" applyFill="1" applyAlignment="1">
      <alignment vertical="top"/>
    </xf>
    <xf numFmtId="1" fontId="119" fillId="35" borderId="0" xfId="10384" applyNumberFormat="1" applyFont="1" applyFill="1" applyBorder="1" applyAlignment="1">
      <alignment vertical="top"/>
    </xf>
    <xf numFmtId="190" fontId="119" fillId="35" borderId="0" xfId="0" applyNumberFormat="1" applyFont="1" applyFill="1" applyAlignment="1">
      <alignment vertical="top" wrapText="1"/>
    </xf>
    <xf numFmtId="49" fontId="119" fillId="35" borderId="0" xfId="10384" applyNumberFormat="1" applyFont="1" applyFill="1" applyBorder="1" applyAlignment="1">
      <alignment vertical="top"/>
    </xf>
    <xf numFmtId="49" fontId="0" fillId="0" borderId="0" xfId="0" applyNumberFormat="1" applyAlignment="1">
      <alignment vertical="top"/>
    </xf>
    <xf numFmtId="0" fontId="0" fillId="0" borderId="0" xfId="0" applyAlignment="1">
      <alignment vertical="top"/>
    </xf>
    <xf numFmtId="167" fontId="0" fillId="0" borderId="0" xfId="10384" applyFont="1" applyBorder="1" applyAlignment="1"/>
    <xf numFmtId="167" fontId="119" fillId="35" borderId="0" xfId="10384" applyFont="1" applyFill="1" applyBorder="1" applyAlignment="1">
      <alignment vertical="top"/>
    </xf>
    <xf numFmtId="0" fontId="121" fillId="0" borderId="0" xfId="0" applyFont="1" applyAlignment="1">
      <alignment horizontal="left" vertical="top"/>
    </xf>
    <xf numFmtId="0" fontId="120" fillId="0" borderId="0" xfId="0" applyFont="1" applyAlignment="1">
      <alignment horizontal="left" vertical="top"/>
    </xf>
    <xf numFmtId="1" fontId="122" fillId="35" borderId="0" xfId="0" applyNumberFormat="1" applyFont="1" applyFill="1" applyAlignment="1">
      <alignment vertical="top"/>
    </xf>
    <xf numFmtId="0" fontId="122" fillId="35" borderId="0" xfId="0" applyFont="1" applyFill="1" applyAlignment="1">
      <alignment vertical="top"/>
    </xf>
    <xf numFmtId="0" fontId="0" fillId="0" borderId="0" xfId="0" applyAlignment="1">
      <alignment horizontal="left" vertical="center"/>
    </xf>
    <xf numFmtId="0" fontId="134" fillId="0" borderId="8" xfId="0" applyFont="1" applyBorder="1" applyAlignment="1">
      <alignment horizontal="center" vertical="center" wrapText="1"/>
    </xf>
    <xf numFmtId="169" fontId="45" fillId="0" borderId="8" xfId="0" applyNumberFormat="1" applyFont="1" applyBorder="1" applyAlignment="1">
      <alignment horizontal="center" vertical="center" wrapText="1"/>
    </xf>
    <xf numFmtId="169" fontId="134" fillId="0" borderId="8" xfId="0" applyNumberFormat="1" applyFont="1" applyBorder="1" applyAlignment="1">
      <alignment horizontal="center" vertical="center" wrapText="1"/>
    </xf>
    <xf numFmtId="0" fontId="85" fillId="0" borderId="39" xfId="0" applyFont="1" applyBorder="1"/>
    <xf numFmtId="0" fontId="85" fillId="0" borderId="42" xfId="0" applyFont="1" applyBorder="1"/>
    <xf numFmtId="0" fontId="85" fillId="0" borderId="8" xfId="0" applyFont="1" applyBorder="1"/>
    <xf numFmtId="2" fontId="85" fillId="0" borderId="8" xfId="0" applyNumberFormat="1" applyFont="1" applyBorder="1"/>
    <xf numFmtId="2" fontId="66" fillId="0" borderId="5" xfId="0" applyNumberFormat="1" applyFont="1" applyBorder="1"/>
    <xf numFmtId="2" fontId="66" fillId="35" borderId="39" xfId="0" applyNumberFormat="1" applyFont="1" applyFill="1" applyBorder="1"/>
    <xf numFmtId="2" fontId="66" fillId="35" borderId="45" xfId="0" applyNumberFormat="1" applyFont="1" applyFill="1" applyBorder="1"/>
    <xf numFmtId="2" fontId="66" fillId="0" borderId="45" xfId="0" applyNumberFormat="1" applyFont="1" applyBorder="1"/>
    <xf numFmtId="2" fontId="66" fillId="35" borderId="42" xfId="0" applyNumberFormat="1" applyFont="1" applyFill="1" applyBorder="1"/>
    <xf numFmtId="169" fontId="66" fillId="0" borderId="39" xfId="10379" applyNumberFormat="1" applyFont="1" applyBorder="1"/>
    <xf numFmtId="0" fontId="85" fillId="95" borderId="8" xfId="0" applyFont="1" applyFill="1" applyBorder="1" applyAlignment="1">
      <alignment vertical="center" wrapText="1"/>
    </xf>
    <xf numFmtId="9" fontId="85" fillId="0" borderId="39" xfId="10379" applyFont="1" applyBorder="1"/>
    <xf numFmtId="0" fontId="85" fillId="0" borderId="39" xfId="0" applyFont="1" applyBorder="1" applyAlignment="1">
      <alignment horizontal="center"/>
    </xf>
    <xf numFmtId="0" fontId="45" fillId="0" borderId="0" xfId="0" applyFont="1" applyAlignment="1">
      <alignment horizontal="left" vertical="center"/>
    </xf>
    <xf numFmtId="0" fontId="146" fillId="35" borderId="8" xfId="0" applyFont="1" applyFill="1" applyBorder="1" applyAlignment="1">
      <alignment horizontal="left" vertical="center" wrapText="1"/>
    </xf>
    <xf numFmtId="0" fontId="146" fillId="35" borderId="8" xfId="0" applyFont="1" applyFill="1" applyBorder="1" applyAlignment="1">
      <alignment horizontal="center" vertical="center" wrapText="1"/>
    </xf>
    <xf numFmtId="0" fontId="146" fillId="35" borderId="40" xfId="0" applyFont="1" applyFill="1" applyBorder="1" applyAlignment="1">
      <alignment horizontal="center" vertical="center" wrapText="1"/>
    </xf>
    <xf numFmtId="0" fontId="176" fillId="35" borderId="8" xfId="0" applyFont="1" applyFill="1" applyBorder="1" applyAlignment="1">
      <alignment horizontal="center" vertical="center" wrapText="1"/>
    </xf>
    <xf numFmtId="0" fontId="176" fillId="35" borderId="40" xfId="0" applyFont="1" applyFill="1" applyBorder="1" applyAlignment="1">
      <alignment horizontal="center" vertical="center" wrapText="1"/>
    </xf>
    <xf numFmtId="0" fontId="0" fillId="35" borderId="8" xfId="0" applyFill="1" applyBorder="1" applyAlignment="1">
      <alignment horizontal="center" vertical="center" wrapText="1"/>
    </xf>
    <xf numFmtId="1" fontId="176" fillId="35" borderId="8" xfId="0" applyNumberFormat="1" applyFont="1" applyFill="1" applyBorder="1" applyAlignment="1">
      <alignment horizontal="center" vertical="center" wrapText="1"/>
    </xf>
    <xf numFmtId="1" fontId="0" fillId="0" borderId="0" xfId="0" applyNumberFormat="1"/>
    <xf numFmtId="10" fontId="0" fillId="0" borderId="0" xfId="0" applyNumberFormat="1"/>
    <xf numFmtId="0" fontId="10" fillId="0" borderId="0" xfId="7297"/>
    <xf numFmtId="0" fontId="10" fillId="0" borderId="0" xfId="7297"/>
    <xf numFmtId="176" fontId="10" fillId="0" borderId="7" xfId="7297" applyNumberFormat="1" applyBorder="1"/>
    <xf numFmtId="176" fontId="10" fillId="0" borderId="0" xfId="7297" applyNumberFormat="1" applyBorder="1" applyAlignment="1">
      <alignment horizontal="right"/>
    </xf>
    <xf numFmtId="1" fontId="10" fillId="0" borderId="7" xfId="7297" applyNumberFormat="1" applyBorder="1"/>
    <xf numFmtId="0" fontId="10" fillId="74" borderId="0" xfId="7036" applyFill="1" applyBorder="1" applyAlignment="1">
      <alignment horizontal="center" wrapText="1"/>
    </xf>
    <xf numFmtId="0" fontId="10" fillId="74" borderId="0" xfId="7036" applyFill="1" applyBorder="1" applyAlignment="1">
      <alignment horizontal="center"/>
    </xf>
    <xf numFmtId="0" fontId="10" fillId="74" borderId="0" xfId="7036" applyFill="1" applyBorder="1" applyAlignment="1">
      <alignment horizontal="left" wrapText="1"/>
    </xf>
    <xf numFmtId="2" fontId="10" fillId="0" borderId="0" xfId="7297" quotePrefix="1" applyNumberFormat="1"/>
    <xf numFmtId="169" fontId="10" fillId="0" borderId="0" xfId="7297" applyNumberFormat="1"/>
    <xf numFmtId="0" fontId="12" fillId="33" borderId="0" xfId="7297" applyFont="1" applyFill="1" applyBorder="1"/>
    <xf numFmtId="0" fontId="177" fillId="0" borderId="0" xfId="7297" applyFont="1" applyBorder="1"/>
    <xf numFmtId="0" fontId="68" fillId="0" borderId="0" xfId="0" applyFont="1" applyBorder="1"/>
    <xf numFmtId="0" fontId="70" fillId="0" borderId="0" xfId="0" applyFont="1" applyBorder="1"/>
    <xf numFmtId="2" fontId="67" fillId="0" borderId="0" xfId="0" applyNumberFormat="1" applyFont="1" applyBorder="1"/>
    <xf numFmtId="0" fontId="67" fillId="0" borderId="0" xfId="0" applyFont="1" applyBorder="1" applyAlignment="1">
      <alignment horizontal="right"/>
    </xf>
    <xf numFmtId="0" fontId="24" fillId="0" borderId="0" xfId="0" applyFont="1" applyBorder="1" applyAlignment="1">
      <alignment horizontal="left"/>
    </xf>
    <xf numFmtId="0" fontId="69" fillId="0" borderId="0" xfId="0" applyFont="1" applyBorder="1"/>
    <xf numFmtId="2" fontId="69" fillId="0" borderId="0" xfId="0" applyNumberFormat="1" applyFont="1" applyBorder="1"/>
    <xf numFmtId="0" fontId="69" fillId="0" borderId="7" xfId="0" applyFont="1" applyBorder="1"/>
    <xf numFmtId="177" fontId="69" fillId="0" borderId="0" xfId="0" applyNumberFormat="1" applyFont="1"/>
    <xf numFmtId="0" fontId="24" fillId="71" borderId="0" xfId="10378" applyNumberFormat="1" applyFont="1" applyFill="1" applyAlignment="1"/>
    <xf numFmtId="0" fontId="178" fillId="0" borderId="0" xfId="0" applyFont="1"/>
    <xf numFmtId="2" fontId="68" fillId="0" borderId="0" xfId="0" applyNumberFormat="1" applyFont="1" applyBorder="1"/>
    <xf numFmtId="0" fontId="10" fillId="0" borderId="0" xfId="7297"/>
    <xf numFmtId="0" fontId="10" fillId="0" borderId="0" xfId="7297" applyNumberFormat="1"/>
    <xf numFmtId="0" fontId="10" fillId="0" borderId="0" xfId="7297" applyFont="1"/>
    <xf numFmtId="0" fontId="10" fillId="0" borderId="9" xfId="7297" applyFont="1" applyBorder="1"/>
    <xf numFmtId="2" fontId="10" fillId="0" borderId="0" xfId="7297" applyNumberFormat="1" applyFont="1"/>
    <xf numFmtId="1" fontId="10" fillId="0" borderId="0" xfId="7297" applyNumberFormat="1" applyFont="1"/>
    <xf numFmtId="177" fontId="10" fillId="0" borderId="9" xfId="7297" applyNumberFormat="1" applyFont="1" applyBorder="1"/>
    <xf numFmtId="0" fontId="68" fillId="0" borderId="0" xfId="7297" applyFont="1" applyBorder="1"/>
    <xf numFmtId="0" fontId="10" fillId="0" borderId="0" xfId="7297" applyFont="1" applyBorder="1"/>
    <xf numFmtId="177" fontId="10" fillId="0" borderId="0" xfId="7297" applyNumberFormat="1" applyFont="1" applyBorder="1"/>
    <xf numFmtId="177" fontId="68" fillId="0" borderId="0" xfId="7297" applyNumberFormat="1" applyFont="1" applyBorder="1"/>
    <xf numFmtId="2" fontId="68" fillId="0" borderId="0" xfId="7297" applyNumberFormat="1" applyFont="1" applyBorder="1"/>
    <xf numFmtId="0" fontId="10" fillId="0" borderId="0" xfId="7297" applyFont="1" applyAlignment="1">
      <alignment wrapText="1"/>
    </xf>
    <xf numFmtId="176" fontId="10" fillId="0" borderId="0" xfId="7297" applyNumberFormat="1" applyFont="1"/>
    <xf numFmtId="0" fontId="10" fillId="0" borderId="9" xfId="7297" applyFont="1" applyBorder="1" applyAlignment="1">
      <alignment wrapText="1"/>
    </xf>
    <xf numFmtId="2" fontId="10" fillId="0" borderId="9" xfId="7297" applyNumberFormat="1" applyFont="1" applyBorder="1"/>
    <xf numFmtId="0" fontId="10" fillId="0" borderId="0" xfId="7297"/>
    <xf numFmtId="0" fontId="8" fillId="0" borderId="27" xfId="0" applyFont="1" applyBorder="1" applyAlignment="1">
      <alignment horizontal="left" vertical="center"/>
    </xf>
    <xf numFmtId="0" fontId="8" fillId="0" borderId="26" xfId="0" applyFont="1" applyBorder="1" applyAlignment="1">
      <alignment horizontal="left" vertical="center"/>
    </xf>
    <xf numFmtId="0" fontId="0" fillId="0" borderId="35" xfId="0" applyBorder="1" applyAlignment="1">
      <alignment horizontal="center"/>
    </xf>
    <xf numFmtId="0" fontId="0" fillId="0" borderId="0" xfId="0" applyAlignment="1">
      <alignment horizontal="center"/>
    </xf>
    <xf numFmtId="0" fontId="74" fillId="0" borderId="31" xfId="0" applyFont="1" applyBorder="1" applyAlignment="1">
      <alignment horizontal="center"/>
    </xf>
    <xf numFmtId="0" fontId="74" fillId="0" borderId="30" xfId="0" applyFont="1" applyBorder="1" applyAlignment="1">
      <alignment horizontal="center"/>
    </xf>
    <xf numFmtId="0" fontId="74" fillId="0" borderId="29" xfId="0" applyFont="1" applyBorder="1" applyAlignment="1">
      <alignment horizont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7" xfId="0" applyBorder="1" applyAlignment="1">
      <alignment horizontal="center" vertical="center"/>
    </xf>
    <xf numFmtId="0" fontId="86" fillId="0" borderId="41" xfId="0" applyFont="1" applyBorder="1" applyAlignment="1">
      <alignment horizontal="center" vertical="center"/>
    </xf>
    <xf numFmtId="0" fontId="86" fillId="0" borderId="5" xfId="0" applyFont="1" applyBorder="1" applyAlignment="1">
      <alignment horizontal="center" vertical="center"/>
    </xf>
    <xf numFmtId="0" fontId="86" fillId="0" borderId="40" xfId="0" applyFont="1" applyBorder="1" applyAlignment="1">
      <alignment horizontal="center" vertical="center"/>
    </xf>
    <xf numFmtId="0" fontId="66" fillId="0" borderId="41" xfId="0" applyFont="1" applyBorder="1" applyAlignment="1">
      <alignment horizontal="center"/>
    </xf>
    <xf numFmtId="0" fontId="66" fillId="0" borderId="40" xfId="0" applyFont="1" applyBorder="1" applyAlignment="1">
      <alignment horizontal="center"/>
    </xf>
    <xf numFmtId="0" fontId="10" fillId="0" borderId="49" xfId="7297" applyBorder="1" applyAlignment="1">
      <alignment horizontal="center" vertical="center"/>
    </xf>
    <xf numFmtId="0" fontId="10" fillId="0" borderId="35" xfId="7297" applyBorder="1" applyAlignment="1">
      <alignment horizontal="center" vertical="center"/>
    </xf>
    <xf numFmtId="0" fontId="10" fillId="0" borderId="37" xfId="7297" applyBorder="1" applyAlignment="1">
      <alignment horizontal="center" vertical="center"/>
    </xf>
    <xf numFmtId="0" fontId="83" fillId="0" borderId="8" xfId="0" applyFont="1" applyBorder="1" applyAlignment="1">
      <alignment horizontal="center"/>
    </xf>
    <xf numFmtId="0" fontId="66" fillId="0" borderId="8" xfId="0" applyFont="1" applyBorder="1" applyAlignment="1">
      <alignment horizontal="center"/>
    </xf>
    <xf numFmtId="0" fontId="86" fillId="83" borderId="24" xfId="0" applyFont="1" applyFill="1" applyBorder="1" applyAlignment="1">
      <alignment horizontal="center" vertical="center"/>
    </xf>
    <xf numFmtId="0" fontId="75" fillId="86" borderId="78" xfId="0" applyFont="1" applyFill="1" applyBorder="1" applyAlignment="1">
      <alignment horizontal="center" vertical="center"/>
    </xf>
    <xf numFmtId="0" fontId="75" fillId="86" borderId="27" xfId="0" applyFont="1" applyFill="1" applyBorder="1" applyAlignment="1">
      <alignment horizontal="center" vertical="center"/>
    </xf>
    <xf numFmtId="0" fontId="75" fillId="86" borderId="75" xfId="0" applyFont="1" applyFill="1" applyBorder="1" applyAlignment="1">
      <alignment horizontal="center" vertical="center"/>
    </xf>
    <xf numFmtId="0" fontId="0" fillId="86" borderId="49" xfId="0" applyFill="1" applyBorder="1" applyAlignment="1">
      <alignment horizontal="center"/>
    </xf>
    <xf numFmtId="0" fontId="0" fillId="86" borderId="47" xfId="0" applyFill="1" applyBorder="1" applyAlignment="1">
      <alignment horizontal="center"/>
    </xf>
    <xf numFmtId="0" fontId="0" fillId="86" borderId="35" xfId="0" applyFill="1" applyBorder="1" applyAlignment="1">
      <alignment horizontal="center"/>
    </xf>
    <xf numFmtId="0" fontId="0" fillId="86" borderId="51" xfId="0" applyFill="1" applyBorder="1" applyAlignment="1">
      <alignment horizontal="center"/>
    </xf>
    <xf numFmtId="0" fontId="0" fillId="86" borderId="74" xfId="0" applyFill="1" applyBorder="1" applyAlignment="1">
      <alignment horizontal="center"/>
    </xf>
    <xf numFmtId="0" fontId="0" fillId="86" borderId="70" xfId="0" applyFill="1" applyBorder="1" applyAlignment="1">
      <alignment horizontal="center"/>
    </xf>
    <xf numFmtId="0" fontId="0" fillId="86" borderId="42" xfId="0" applyFill="1" applyBorder="1" applyAlignment="1">
      <alignment horizontal="center" vertical="center"/>
    </xf>
    <xf numFmtId="0" fontId="0" fillId="86" borderId="45" xfId="0" applyFill="1" applyBorder="1" applyAlignment="1">
      <alignment horizontal="center" vertical="center"/>
    </xf>
    <xf numFmtId="0" fontId="0" fillId="86" borderId="73" xfId="0" applyFill="1" applyBorder="1" applyAlignment="1">
      <alignment horizontal="center" vertical="center"/>
    </xf>
    <xf numFmtId="0" fontId="0" fillId="86" borderId="46" xfId="0" applyFill="1" applyBorder="1" applyAlignment="1">
      <alignment horizontal="center" vertical="center"/>
    </xf>
    <xf numFmtId="0" fontId="0" fillId="86" borderId="22" xfId="0" applyFill="1" applyBorder="1" applyAlignment="1">
      <alignment horizontal="center" vertical="center"/>
    </xf>
    <xf numFmtId="0" fontId="0" fillId="86" borderId="47" xfId="0" applyFill="1" applyBorder="1" applyAlignment="1">
      <alignment horizontal="center" vertical="center"/>
    </xf>
    <xf numFmtId="0" fontId="0" fillId="86" borderId="52" xfId="0" applyFill="1" applyBorder="1" applyAlignment="1">
      <alignment horizontal="center" vertical="center"/>
    </xf>
    <xf numFmtId="0" fontId="0" fillId="86" borderId="0" xfId="0" applyFill="1" applyAlignment="1">
      <alignment horizontal="center" vertical="center"/>
    </xf>
    <xf numFmtId="0" fontId="0" fillId="86" borderId="51" xfId="0" applyFill="1" applyBorder="1" applyAlignment="1">
      <alignment horizontal="center" vertical="center"/>
    </xf>
    <xf numFmtId="0" fontId="0" fillId="86" borderId="72" xfId="0" applyFill="1" applyBorder="1" applyAlignment="1">
      <alignment horizontal="center" vertical="center"/>
    </xf>
    <xf numFmtId="0" fontId="0" fillId="86" borderId="71" xfId="0" applyFill="1" applyBorder="1" applyAlignment="1">
      <alignment horizontal="center" vertical="center"/>
    </xf>
    <xf numFmtId="0" fontId="0" fillId="86" borderId="70" xfId="0" applyFill="1" applyBorder="1" applyAlignment="1">
      <alignment horizontal="center" vertical="center"/>
    </xf>
    <xf numFmtId="0" fontId="75" fillId="0" borderId="31" xfId="0" applyFont="1" applyBorder="1" applyAlignment="1">
      <alignment horizontal="center"/>
    </xf>
    <xf numFmtId="0" fontId="75" fillId="0" borderId="29" xfId="0" applyFont="1" applyBorder="1" applyAlignment="1">
      <alignment horizontal="center"/>
    </xf>
    <xf numFmtId="0" fontId="117" fillId="0" borderId="93" xfId="0" applyFont="1" applyBorder="1" applyAlignment="1">
      <alignment horizontal="left" vertical="top" wrapText="1"/>
    </xf>
    <xf numFmtId="0" fontId="117" fillId="0" borderId="92" xfId="0" applyFont="1" applyBorder="1" applyAlignment="1">
      <alignment horizontal="left" vertical="top" wrapText="1"/>
    </xf>
    <xf numFmtId="0" fontId="117" fillId="0" borderId="91" xfId="0" applyFont="1" applyBorder="1" applyAlignment="1">
      <alignment horizontal="left" vertical="top" wrapText="1"/>
    </xf>
    <xf numFmtId="1" fontId="114" fillId="0" borderId="93" xfId="0" applyNumberFormat="1" applyFont="1" applyBorder="1" applyAlignment="1">
      <alignment horizontal="center" vertical="top" wrapText="1"/>
    </xf>
    <xf numFmtId="1" fontId="114" fillId="0" borderId="92" xfId="0" applyNumberFormat="1" applyFont="1" applyBorder="1" applyAlignment="1">
      <alignment horizontal="center" vertical="top" wrapText="1"/>
    </xf>
    <xf numFmtId="1" fontId="114" fillId="0" borderId="91" xfId="0" applyNumberFormat="1" applyFont="1" applyBorder="1" applyAlignment="1">
      <alignment horizontal="center" vertical="top" wrapText="1"/>
    </xf>
    <xf numFmtId="0" fontId="115" fillId="0" borderId="93" xfId="0" applyFont="1" applyBorder="1" applyAlignment="1">
      <alignment horizontal="center" vertical="top" wrapText="1"/>
    </xf>
    <xf numFmtId="0" fontId="115" fillId="0" borderId="92" xfId="0" applyFont="1" applyBorder="1" applyAlignment="1">
      <alignment horizontal="center" vertical="top" wrapText="1"/>
    </xf>
    <xf numFmtId="0" fontId="115" fillId="0" borderId="91" xfId="0" applyFont="1" applyBorder="1" applyAlignment="1">
      <alignment horizontal="center" vertical="top" wrapText="1"/>
    </xf>
    <xf numFmtId="0" fontId="114" fillId="0" borderId="93" xfId="0" applyFont="1" applyBorder="1" applyAlignment="1">
      <alignment horizontal="left" vertical="top" wrapText="1"/>
    </xf>
    <xf numFmtId="0" fontId="114" fillId="0" borderId="92" xfId="0" applyFont="1" applyBorder="1" applyAlignment="1">
      <alignment horizontal="left" vertical="top" wrapText="1"/>
    </xf>
    <xf numFmtId="0" fontId="114" fillId="0" borderId="91" xfId="0" applyFont="1" applyBorder="1" applyAlignment="1">
      <alignment horizontal="left" vertical="top" wrapText="1"/>
    </xf>
    <xf numFmtId="0" fontId="114" fillId="0" borderId="93" xfId="0" applyFont="1" applyBorder="1" applyAlignment="1">
      <alignment horizontal="center" vertical="top" wrapText="1"/>
    </xf>
    <xf numFmtId="0" fontId="114" fillId="0" borderId="92" xfId="0" applyFont="1" applyBorder="1" applyAlignment="1">
      <alignment horizontal="center" vertical="top" wrapText="1"/>
    </xf>
    <xf numFmtId="0" fontId="114" fillId="0" borderId="91" xfId="0" applyFont="1" applyBorder="1" applyAlignment="1">
      <alignment horizontal="center" vertical="top" wrapText="1"/>
    </xf>
    <xf numFmtId="0" fontId="114" fillId="0" borderId="93" xfId="0" applyFont="1" applyBorder="1" applyAlignment="1">
      <alignment horizontal="left" vertical="top" wrapText="1" indent="1"/>
    </xf>
    <xf numFmtId="0" fontId="114" fillId="0" borderId="91" xfId="0" applyFont="1" applyBorder="1" applyAlignment="1">
      <alignment horizontal="left" vertical="top" wrapText="1" indent="1"/>
    </xf>
    <xf numFmtId="0" fontId="10" fillId="0" borderId="0" xfId="7297" applyAlignment="1">
      <alignment horizontal="left" vertical="center"/>
    </xf>
    <xf numFmtId="167" fontId="119" fillId="35" borderId="0" xfId="10384" applyFont="1" applyFill="1" applyAlignment="1">
      <alignment vertical="top" wrapText="1"/>
    </xf>
    <xf numFmtId="0" fontId="121" fillId="0" borderId="0" xfId="7297" applyFont="1" applyAlignment="1">
      <alignment horizontal="left" vertical="top" wrapText="1"/>
    </xf>
    <xf numFmtId="0" fontId="120" fillId="0" borderId="0" xfId="7297" applyFont="1" applyAlignment="1">
      <alignment horizontal="left" vertical="top" wrapText="1"/>
    </xf>
    <xf numFmtId="0" fontId="121" fillId="0" borderId="0" xfId="7297" applyFont="1"/>
    <xf numFmtId="0" fontId="120" fillId="0" borderId="0" xfId="7297" applyFont="1"/>
    <xf numFmtId="0" fontId="119" fillId="35" borderId="0" xfId="7297" applyFont="1" applyFill="1" applyAlignment="1">
      <alignment vertical="top" wrapText="1"/>
    </xf>
    <xf numFmtId="0" fontId="123" fillId="0" borderId="0" xfId="7297" applyFont="1" applyAlignment="1">
      <alignment vertical="top" wrapText="1"/>
    </xf>
    <xf numFmtId="0" fontId="10" fillId="0" borderId="0" xfId="7297"/>
    <xf numFmtId="49" fontId="119" fillId="35" borderId="0" xfId="10384" applyNumberFormat="1" applyFont="1" applyFill="1" applyAlignment="1">
      <alignment vertical="top" wrapText="1"/>
    </xf>
    <xf numFmtId="0" fontId="53" fillId="35" borderId="0" xfId="7297" applyFont="1" applyFill="1" applyAlignment="1">
      <alignment wrapText="1"/>
    </xf>
    <xf numFmtId="0" fontId="91" fillId="35" borderId="0" xfId="7297" applyFont="1" applyFill="1"/>
    <xf numFmtId="0" fontId="12" fillId="35" borderId="41" xfId="7297" applyFont="1" applyFill="1" applyBorder="1" applyAlignment="1">
      <alignment horizontal="center" vertical="top" wrapText="1"/>
    </xf>
    <xf numFmtId="0" fontId="10" fillId="35" borderId="5" xfId="7297" applyFill="1" applyBorder="1" applyAlignment="1">
      <alignment horizontal="center" vertical="top" wrapText="1"/>
    </xf>
    <xf numFmtId="0" fontId="10" fillId="35" borderId="40" xfId="7297" applyFill="1" applyBorder="1" applyAlignment="1">
      <alignment horizontal="center" vertical="top" wrapText="1"/>
    </xf>
    <xf numFmtId="0" fontId="12" fillId="35" borderId="40" xfId="7297" applyFont="1" applyFill="1" applyBorder="1" applyAlignment="1">
      <alignment horizontal="center" vertical="top" wrapText="1"/>
    </xf>
    <xf numFmtId="0" fontId="10" fillId="0" borderId="104" xfId="7297" applyBorder="1" applyAlignment="1">
      <alignment horizontal="center"/>
    </xf>
    <xf numFmtId="0" fontId="10" fillId="0" borderId="48" xfId="7297" applyBorder="1" applyAlignment="1">
      <alignment horizontal="center"/>
    </xf>
    <xf numFmtId="0" fontId="10" fillId="0" borderId="107" xfId="7297" applyBorder="1" applyAlignment="1">
      <alignment horizontal="center"/>
    </xf>
    <xf numFmtId="49" fontId="10" fillId="0" borderId="0" xfId="7297" applyNumberFormat="1" applyAlignment="1">
      <alignment vertical="top" wrapText="1"/>
    </xf>
    <xf numFmtId="0" fontId="10" fillId="0" borderId="0" xfId="7297" applyAlignment="1">
      <alignment vertical="top" wrapText="1"/>
    </xf>
    <xf numFmtId="0" fontId="10" fillId="0" borderId="0" xfId="7297" applyAlignment="1">
      <alignment vertical="top"/>
    </xf>
    <xf numFmtId="0" fontId="122" fillId="35" borderId="0" xfId="7297" applyFont="1" applyFill="1" applyAlignment="1">
      <alignment vertical="top" wrapText="1"/>
    </xf>
    <xf numFmtId="0" fontId="126" fillId="0" borderId="0" xfId="7297" applyFont="1" applyAlignment="1">
      <alignment vertical="top" wrapText="1"/>
    </xf>
    <xf numFmtId="9" fontId="119" fillId="0" borderId="8" xfId="10385" applyFont="1" applyBorder="1" applyAlignment="1">
      <alignment horizontal="center"/>
    </xf>
    <xf numFmtId="9" fontId="0" fillId="0" borderId="8" xfId="10385" applyFont="1" applyBorder="1" applyAlignment="1">
      <alignment horizontal="center"/>
    </xf>
    <xf numFmtId="0" fontId="12" fillId="35" borderId="8" xfId="7297" applyFont="1" applyFill="1" applyBorder="1" applyAlignment="1">
      <alignment horizontal="center" vertical="top" wrapText="1"/>
    </xf>
    <xf numFmtId="0" fontId="10" fillId="35" borderId="8" xfId="7297" applyFill="1" applyBorder="1" applyAlignment="1">
      <alignment horizontal="center" vertical="top" wrapText="1"/>
    </xf>
    <xf numFmtId="4" fontId="119" fillId="0" borderId="8" xfId="7297" applyNumberFormat="1" applyFont="1" applyBorder="1" applyAlignment="1">
      <alignment horizontal="center"/>
    </xf>
    <xf numFmtId="4" fontId="10" fillId="0" borderId="8" xfId="7297" applyNumberFormat="1" applyBorder="1" applyAlignment="1">
      <alignment horizontal="center"/>
    </xf>
    <xf numFmtId="9" fontId="119" fillId="0" borderId="41" xfId="10385" applyFont="1" applyBorder="1" applyAlignment="1">
      <alignment horizontal="center"/>
    </xf>
    <xf numFmtId="9" fontId="119" fillId="0" borderId="5" xfId="10385" applyFont="1" applyBorder="1" applyAlignment="1">
      <alignment horizontal="center"/>
    </xf>
    <xf numFmtId="9" fontId="119" fillId="0" borderId="40" xfId="10385" applyFont="1" applyBorder="1" applyAlignment="1">
      <alignment horizontal="center"/>
    </xf>
    <xf numFmtId="0" fontId="12" fillId="35" borderId="5" xfId="7297" applyFont="1" applyFill="1" applyBorder="1" applyAlignment="1">
      <alignment horizontal="center" vertical="top" wrapText="1"/>
    </xf>
    <xf numFmtId="0" fontId="119" fillId="0" borderId="41" xfId="10385" applyNumberFormat="1" applyFont="1" applyBorder="1" applyAlignment="1">
      <alignment horizontal="center"/>
    </xf>
    <xf numFmtId="0" fontId="119" fillId="0" borderId="5" xfId="10385" applyNumberFormat="1" applyFont="1" applyBorder="1" applyAlignment="1">
      <alignment horizontal="center"/>
    </xf>
    <xf numFmtId="0" fontId="119" fillId="0" borderId="40" xfId="10385" applyNumberFormat="1" applyFont="1" applyBorder="1" applyAlignment="1">
      <alignment horizontal="center"/>
    </xf>
    <xf numFmtId="49" fontId="119" fillId="95" borderId="0" xfId="7297" applyNumberFormat="1" applyFont="1" applyFill="1" applyAlignment="1">
      <alignment vertical="top" wrapText="1"/>
    </xf>
    <xf numFmtId="0" fontId="17" fillId="95" borderId="0" xfId="7297" applyFont="1" applyFill="1" applyAlignment="1">
      <alignment horizontal="left" vertical="center"/>
    </xf>
    <xf numFmtId="49" fontId="119" fillId="95" borderId="0" xfId="7297" quotePrefix="1" applyNumberFormat="1" applyFont="1" applyFill="1" applyAlignment="1">
      <alignment vertical="top" wrapText="1"/>
    </xf>
    <xf numFmtId="49" fontId="119" fillId="95" borderId="0" xfId="7297" quotePrefix="1" applyNumberFormat="1" applyFont="1" applyFill="1" applyAlignment="1">
      <alignment horizontal="left" vertical="top" wrapText="1"/>
    </xf>
    <xf numFmtId="0" fontId="53" fillId="95" borderId="0" xfId="7297" applyFont="1" applyFill="1" applyAlignment="1">
      <alignment wrapText="1"/>
    </xf>
    <xf numFmtId="0" fontId="12" fillId="95" borderId="41" xfId="7297" applyFont="1" applyFill="1" applyBorder="1" applyAlignment="1">
      <alignment horizontal="center" vertical="top" wrapText="1"/>
    </xf>
    <xf numFmtId="0" fontId="12" fillId="95" borderId="5" xfId="7297" applyFont="1" applyFill="1" applyBorder="1" applyAlignment="1">
      <alignment horizontal="center" vertical="top" wrapText="1"/>
    </xf>
    <xf numFmtId="0" fontId="12" fillId="95" borderId="40" xfId="7297" applyFont="1" applyFill="1" applyBorder="1" applyAlignment="1">
      <alignment horizontal="center" vertical="top" wrapText="1"/>
    </xf>
    <xf numFmtId="167" fontId="119" fillId="95" borderId="0" xfId="7297" applyNumberFormat="1" applyFont="1" applyFill="1" applyAlignment="1">
      <alignment vertical="top" wrapText="1"/>
    </xf>
    <xf numFmtId="0" fontId="119" fillId="95" borderId="0" xfId="7297" applyFont="1" applyFill="1" applyAlignment="1">
      <alignment vertical="top" wrapText="1"/>
    </xf>
    <xf numFmtId="0" fontId="122" fillId="95" borderId="41" xfId="7297" applyFont="1" applyFill="1" applyBorder="1" applyAlignment="1">
      <alignment horizontal="center" vertical="top" wrapText="1"/>
    </xf>
    <xf numFmtId="0" fontId="122" fillId="95" borderId="40" xfId="7297" applyFont="1" applyFill="1" applyBorder="1" applyAlignment="1">
      <alignment horizontal="center" vertical="top" wrapText="1"/>
    </xf>
    <xf numFmtId="0" fontId="12" fillId="95" borderId="41" xfId="7297" applyFont="1" applyFill="1" applyBorder="1" applyAlignment="1">
      <alignment horizontal="center" vertical="center" wrapText="1"/>
    </xf>
    <xf numFmtId="0" fontId="12" fillId="95" borderId="5" xfId="7297" applyFont="1" applyFill="1" applyBorder="1" applyAlignment="1">
      <alignment horizontal="center" vertical="center" wrapText="1"/>
    </xf>
    <xf numFmtId="0" fontId="12" fillId="95" borderId="40" xfId="7297" applyFont="1" applyFill="1" applyBorder="1" applyAlignment="1">
      <alignment horizontal="center" vertical="center" wrapText="1"/>
    </xf>
    <xf numFmtId="0" fontId="162" fillId="0" borderId="8" xfId="10386" applyFont="1" applyBorder="1" applyAlignment="1" applyProtection="1">
      <alignment horizontal="center"/>
    </xf>
    <xf numFmtId="0" fontId="139" fillId="0" borderId="8" xfId="0" applyFont="1" applyBorder="1" applyAlignment="1">
      <alignment horizontal="center"/>
    </xf>
    <xf numFmtId="0" fontId="121" fillId="0" borderId="8" xfId="0" applyFont="1" applyBorder="1" applyAlignment="1">
      <alignment horizontal="center"/>
    </xf>
    <xf numFmtId="0" fontId="119" fillId="35" borderId="0" xfId="0" applyFont="1" applyFill="1" applyAlignment="1">
      <alignment vertical="top" wrapText="1"/>
    </xf>
    <xf numFmtId="0" fontId="123" fillId="0" borderId="0" xfId="0" applyFont="1" applyAlignment="1">
      <alignment vertical="top" wrapText="1"/>
    </xf>
    <xf numFmtId="0" fontId="162" fillId="35" borderId="8" xfId="10386" applyFont="1" applyFill="1" applyBorder="1" applyAlignment="1" applyProtection="1">
      <alignment horizontal="center" vertical="top" wrapText="1"/>
    </xf>
    <xf numFmtId="0" fontId="0" fillId="35" borderId="8" xfId="0" applyFill="1" applyBorder="1" applyAlignment="1">
      <alignment horizontal="center" vertical="top" wrapText="1"/>
    </xf>
    <xf numFmtId="0" fontId="12" fillId="35" borderId="8" xfId="0" applyFont="1" applyFill="1" applyBorder="1" applyAlignment="1">
      <alignment horizontal="center" vertical="top" wrapText="1"/>
    </xf>
    <xf numFmtId="0" fontId="122" fillId="35" borderId="0" xfId="0" applyFont="1" applyFill="1" applyAlignment="1">
      <alignment vertical="top" wrapText="1"/>
    </xf>
    <xf numFmtId="0" fontId="140" fillId="0" borderId="8" xfId="0" applyFont="1" applyBorder="1" applyAlignment="1">
      <alignment horizontal="center"/>
    </xf>
    <xf numFmtId="0" fontId="83" fillId="0" borderId="41" xfId="0" applyFont="1" applyBorder="1" applyAlignment="1">
      <alignment horizontal="center"/>
    </xf>
    <xf numFmtId="0" fontId="83" fillId="0" borderId="40" xfId="0" applyFont="1" applyBorder="1" applyAlignment="1">
      <alignment horizontal="center"/>
    </xf>
    <xf numFmtId="0" fontId="66" fillId="0" borderId="8" xfId="0" applyFont="1" applyBorder="1" applyAlignment="1">
      <alignment horizontal="right"/>
    </xf>
    <xf numFmtId="0" fontId="160" fillId="0" borderId="8" xfId="0" applyFont="1" applyBorder="1" applyAlignment="1">
      <alignment horizontal="left" vertical="center" wrapText="1"/>
    </xf>
    <xf numFmtId="9" fontId="66" fillId="0" borderId="8" xfId="0" applyNumberFormat="1" applyFont="1" applyBorder="1" applyAlignment="1">
      <alignment horizontal="center" vertical="center" wrapText="1"/>
    </xf>
    <xf numFmtId="0" fontId="83" fillId="0" borderId="8" xfId="0" applyFont="1" applyBorder="1" applyAlignment="1">
      <alignment horizontal="center" vertical="center" wrapText="1"/>
    </xf>
    <xf numFmtId="0" fontId="83" fillId="0" borderId="8" xfId="0" applyFont="1" applyBorder="1" applyAlignment="1">
      <alignment horizontal="justify" vertical="center" wrapText="1"/>
    </xf>
    <xf numFmtId="0" fontId="66" fillId="0" borderId="8" xfId="0" applyFont="1" applyBorder="1" applyAlignment="1">
      <alignment horizontal="center" vertical="center" wrapText="1"/>
    </xf>
    <xf numFmtId="0" fontId="158" fillId="0" borderId="8" xfId="0" applyFont="1" applyBorder="1" applyAlignment="1">
      <alignment horizontal="center" vertical="center" wrapText="1"/>
    </xf>
    <xf numFmtId="0" fontId="162" fillId="0" borderId="41" xfId="10386" applyFont="1" applyBorder="1" applyAlignment="1" applyProtection="1">
      <alignment horizontal="center" vertical="center" wrapText="1"/>
    </xf>
    <xf numFmtId="0" fontId="83" fillId="0" borderId="5" xfId="0" applyFont="1" applyBorder="1" applyAlignment="1">
      <alignment horizontal="center" vertical="center" wrapText="1"/>
    </xf>
    <xf numFmtId="0" fontId="83" fillId="0" borderId="40" xfId="0" applyFont="1" applyBorder="1" applyAlignment="1">
      <alignment horizontal="center" vertical="center" wrapText="1"/>
    </xf>
    <xf numFmtId="0" fontId="162" fillId="95" borderId="41" xfId="10386" applyFont="1" applyFill="1" applyBorder="1" applyAlignment="1" applyProtection="1">
      <alignment horizontal="center" vertical="center" wrapText="1"/>
    </xf>
    <xf numFmtId="0" fontId="83" fillId="95" borderId="5" xfId="0" applyFont="1" applyFill="1" applyBorder="1" applyAlignment="1">
      <alignment horizontal="center" vertical="center" wrapText="1"/>
    </xf>
    <xf numFmtId="0" fontId="83" fillId="95" borderId="40" xfId="0" applyFont="1" applyFill="1" applyBorder="1" applyAlignment="1">
      <alignment horizontal="center" vertical="center" wrapText="1"/>
    </xf>
    <xf numFmtId="0" fontId="83" fillId="95" borderId="41" xfId="0" applyFont="1" applyFill="1" applyBorder="1" applyAlignment="1">
      <alignment horizontal="center" vertical="center" wrapText="1"/>
    </xf>
    <xf numFmtId="0" fontId="152" fillId="95" borderId="8" xfId="0" applyFont="1" applyFill="1" applyBorder="1" applyAlignment="1">
      <alignment horizontal="center" vertical="center" wrapText="1"/>
    </xf>
    <xf numFmtId="0" fontId="140" fillId="95" borderId="8" xfId="0" applyFont="1" applyFill="1" applyBorder="1" applyAlignment="1">
      <alignment vertical="center" wrapText="1"/>
    </xf>
    <xf numFmtId="0" fontId="162" fillId="95" borderId="8" xfId="10386" applyFont="1" applyFill="1" applyBorder="1" applyAlignment="1" applyProtection="1">
      <alignment horizontal="center" vertical="center" wrapText="1"/>
    </xf>
    <xf numFmtId="0" fontId="140" fillId="95" borderId="8" xfId="0" applyFont="1" applyFill="1" applyBorder="1" applyAlignment="1">
      <alignment horizontal="center" vertical="center" wrapText="1"/>
    </xf>
    <xf numFmtId="0" fontId="165" fillId="95" borderId="8" xfId="0" applyFont="1" applyFill="1" applyBorder="1" applyAlignment="1">
      <alignment horizontal="center" vertical="center" wrapText="1"/>
    </xf>
    <xf numFmtId="0" fontId="166" fillId="95" borderId="8" xfId="0" applyFont="1" applyFill="1" applyBorder="1" applyAlignment="1">
      <alignment vertical="center" wrapText="1"/>
    </xf>
    <xf numFmtId="0" fontId="175" fillId="0" borderId="8" xfId="0" applyFont="1" applyBorder="1" applyAlignment="1">
      <alignment horizontal="center"/>
    </xf>
    <xf numFmtId="0" fontId="140" fillId="0" borderId="41" xfId="0" applyFont="1" applyBorder="1" applyAlignment="1">
      <alignment horizontal="center" vertical="center" wrapText="1"/>
    </xf>
    <xf numFmtId="0" fontId="140" fillId="0" borderId="5" xfId="0" applyFont="1" applyBorder="1" applyAlignment="1">
      <alignment horizontal="center" vertical="center" wrapText="1"/>
    </xf>
    <xf numFmtId="0" fontId="140" fillId="0" borderId="40" xfId="0" applyFont="1" applyBorder="1" applyAlignment="1">
      <alignment horizontal="center" vertical="center" wrapText="1"/>
    </xf>
    <xf numFmtId="0" fontId="136" fillId="0" borderId="41" xfId="0" applyFont="1" applyBorder="1" applyAlignment="1">
      <alignment vertical="center" wrapText="1"/>
    </xf>
    <xf numFmtId="0" fontId="136" fillId="0" borderId="5" xfId="0" applyFont="1" applyBorder="1" applyAlignment="1">
      <alignment vertical="center" wrapText="1"/>
    </xf>
    <xf numFmtId="0" fontId="136" fillId="0" borderId="40" xfId="0" applyFont="1" applyBorder="1" applyAlignment="1">
      <alignment vertical="center" wrapText="1"/>
    </xf>
    <xf numFmtId="0" fontId="114" fillId="95" borderId="41" xfId="0" applyFont="1" applyFill="1" applyBorder="1" applyAlignment="1">
      <alignment horizontal="center" vertical="center" wrapText="1"/>
    </xf>
    <xf numFmtId="0" fontId="114" fillId="95" borderId="5" xfId="0" applyFont="1" applyFill="1" applyBorder="1" applyAlignment="1">
      <alignment horizontal="center" vertical="center" wrapText="1"/>
    </xf>
    <xf numFmtId="0" fontId="114" fillId="95" borderId="40" xfId="0" applyFont="1" applyFill="1" applyBorder="1" applyAlignment="1">
      <alignment horizontal="center" vertical="center" wrapText="1"/>
    </xf>
    <xf numFmtId="0" fontId="140" fillId="35" borderId="41" xfId="0" applyFont="1" applyFill="1" applyBorder="1" applyAlignment="1">
      <alignment horizontal="center" vertical="center" wrapText="1"/>
    </xf>
    <xf numFmtId="0" fontId="140" fillId="35" borderId="5" xfId="0" applyFont="1" applyFill="1" applyBorder="1" applyAlignment="1">
      <alignment horizontal="center" vertical="center" wrapText="1"/>
    </xf>
    <xf numFmtId="0" fontId="140" fillId="35" borderId="40" xfId="0" applyFont="1" applyFill="1" applyBorder="1" applyAlignment="1">
      <alignment horizontal="center" vertical="center" wrapText="1"/>
    </xf>
    <xf numFmtId="0" fontId="136" fillId="35" borderId="41" xfId="0" applyFont="1" applyFill="1" applyBorder="1" applyAlignment="1">
      <alignment vertical="center" wrapText="1"/>
    </xf>
    <xf numFmtId="0" fontId="136" fillId="35" borderId="5" xfId="0" applyFont="1" applyFill="1" applyBorder="1" applyAlignment="1">
      <alignment vertical="center" wrapText="1"/>
    </xf>
    <xf numFmtId="0" fontId="136" fillId="35" borderId="40" xfId="0" applyFont="1" applyFill="1" applyBorder="1" applyAlignment="1">
      <alignment vertical="center" wrapText="1"/>
    </xf>
    <xf numFmtId="0" fontId="139" fillId="35" borderId="41" xfId="0" applyFont="1" applyFill="1" applyBorder="1" applyAlignment="1">
      <alignment vertical="center" wrapText="1"/>
    </xf>
    <xf numFmtId="0" fontId="139" fillId="35" borderId="5" xfId="0" applyFont="1" applyFill="1" applyBorder="1" applyAlignment="1">
      <alignment vertical="center" wrapText="1"/>
    </xf>
    <xf numFmtId="0" fontId="139" fillId="35" borderId="40" xfId="0" applyFont="1" applyFill="1" applyBorder="1" applyAlignment="1">
      <alignment vertical="center" wrapText="1"/>
    </xf>
    <xf numFmtId="0" fontId="119" fillId="0" borderId="0" xfId="0" applyFont="1" applyAlignment="1">
      <alignment horizontal="left" vertical="top" wrapText="1"/>
    </xf>
    <xf numFmtId="0" fontId="119" fillId="35" borderId="0" xfId="0" applyFont="1" applyFill="1" applyAlignment="1">
      <alignment horizontal="left" vertical="top" wrapText="1"/>
    </xf>
  </cellXfs>
  <cellStyles count="10387">
    <cellStyle name="_x000a_shell=progma 2" xfId="3" xr:uid="{00000000-0005-0000-0000-000000000000}"/>
    <cellStyle name="_x000a_shell=progma 2 2" xfId="4" xr:uid="{00000000-0005-0000-0000-000001000000}"/>
    <cellStyle name="1.000" xfId="5" xr:uid="{00000000-0005-0000-0000-000002000000}"/>
    <cellStyle name="1.000 2" xfId="6" xr:uid="{00000000-0005-0000-0000-000003000000}"/>
    <cellStyle name="20 % - Markeringsfarve1" xfId="7" xr:uid="{00000000-0005-0000-0000-000004000000}"/>
    <cellStyle name="20 % - Markeringsfarve1 2" xfId="8" xr:uid="{00000000-0005-0000-0000-000005000000}"/>
    <cellStyle name="20 % - Markeringsfarve2" xfId="9" xr:uid="{00000000-0005-0000-0000-000006000000}"/>
    <cellStyle name="20 % - Markeringsfarve2 2" xfId="10" xr:uid="{00000000-0005-0000-0000-000007000000}"/>
    <cellStyle name="20 % - Markeringsfarve3" xfId="11" xr:uid="{00000000-0005-0000-0000-000008000000}"/>
    <cellStyle name="20 % - Markeringsfarve3 2" xfId="12" xr:uid="{00000000-0005-0000-0000-000009000000}"/>
    <cellStyle name="20 % - Markeringsfarve4" xfId="13" xr:uid="{00000000-0005-0000-0000-00000A000000}"/>
    <cellStyle name="20 % - Markeringsfarve4 2" xfId="14" xr:uid="{00000000-0005-0000-0000-00000B000000}"/>
    <cellStyle name="20 % - Markeringsfarve5" xfId="15" xr:uid="{00000000-0005-0000-0000-00000C000000}"/>
    <cellStyle name="20 % - Markeringsfarve5 2" xfId="16" xr:uid="{00000000-0005-0000-0000-00000D000000}"/>
    <cellStyle name="20 % - Markeringsfarve6" xfId="17" xr:uid="{00000000-0005-0000-0000-00000E000000}"/>
    <cellStyle name="20 % - Markeringsfarve6 2" xfId="18" xr:uid="{00000000-0005-0000-0000-00000F000000}"/>
    <cellStyle name="20% - Colore 1" xfId="19" xr:uid="{00000000-0005-0000-0000-000010000000}"/>
    <cellStyle name="20% - Colore 1 2" xfId="20" xr:uid="{00000000-0005-0000-0000-000011000000}"/>
    <cellStyle name="20% - Colore 2" xfId="21" xr:uid="{00000000-0005-0000-0000-000012000000}"/>
    <cellStyle name="20% - Colore 2 2" xfId="22" xr:uid="{00000000-0005-0000-0000-000013000000}"/>
    <cellStyle name="20% - Colore 3" xfId="23" xr:uid="{00000000-0005-0000-0000-000014000000}"/>
    <cellStyle name="20% - Colore 3 2" xfId="24" xr:uid="{00000000-0005-0000-0000-000015000000}"/>
    <cellStyle name="20% - Colore 4" xfId="25" xr:uid="{00000000-0005-0000-0000-000016000000}"/>
    <cellStyle name="20% - Colore 4 2" xfId="26" xr:uid="{00000000-0005-0000-0000-000017000000}"/>
    <cellStyle name="20% - Colore 5" xfId="27" xr:uid="{00000000-0005-0000-0000-000018000000}"/>
    <cellStyle name="20% - Colore 5 2" xfId="28" xr:uid="{00000000-0005-0000-0000-000019000000}"/>
    <cellStyle name="20% - Colore 6" xfId="29" xr:uid="{00000000-0005-0000-0000-00001A000000}"/>
    <cellStyle name="20% - Colore 6 2" xfId="30" xr:uid="{00000000-0005-0000-0000-00001B000000}"/>
    <cellStyle name="40 % - Markeringsfarve1" xfId="31" xr:uid="{00000000-0005-0000-0000-00001C000000}"/>
    <cellStyle name="40 % - Markeringsfarve1 2" xfId="32" xr:uid="{00000000-0005-0000-0000-00001D000000}"/>
    <cellStyle name="40 % - Markeringsfarve2" xfId="33" xr:uid="{00000000-0005-0000-0000-00001E000000}"/>
    <cellStyle name="40 % - Markeringsfarve2 2" xfId="34" xr:uid="{00000000-0005-0000-0000-00001F000000}"/>
    <cellStyle name="40 % - Markeringsfarve3" xfId="35" xr:uid="{00000000-0005-0000-0000-000020000000}"/>
    <cellStyle name="40 % - Markeringsfarve3 2" xfId="36" xr:uid="{00000000-0005-0000-0000-000021000000}"/>
    <cellStyle name="40 % - Markeringsfarve4" xfId="37" xr:uid="{00000000-0005-0000-0000-000022000000}"/>
    <cellStyle name="40 % - Markeringsfarve4 2" xfId="38" xr:uid="{00000000-0005-0000-0000-000023000000}"/>
    <cellStyle name="40 % - Markeringsfarve5" xfId="39" xr:uid="{00000000-0005-0000-0000-000024000000}"/>
    <cellStyle name="40 % - Markeringsfarve5 2" xfId="40" xr:uid="{00000000-0005-0000-0000-000025000000}"/>
    <cellStyle name="40 % - Markeringsfarve6" xfId="41" xr:uid="{00000000-0005-0000-0000-000026000000}"/>
    <cellStyle name="40 % - Markeringsfarve6 2" xfId="42" xr:uid="{00000000-0005-0000-0000-000027000000}"/>
    <cellStyle name="40% - Colore 1" xfId="43" xr:uid="{00000000-0005-0000-0000-000028000000}"/>
    <cellStyle name="40% - Colore 1 2" xfId="44" xr:uid="{00000000-0005-0000-0000-000029000000}"/>
    <cellStyle name="40% - Colore 2" xfId="45" xr:uid="{00000000-0005-0000-0000-00002A000000}"/>
    <cellStyle name="40% - Colore 2 2" xfId="46" xr:uid="{00000000-0005-0000-0000-00002B000000}"/>
    <cellStyle name="40% - Colore 3" xfId="47" xr:uid="{00000000-0005-0000-0000-00002C000000}"/>
    <cellStyle name="40% - Colore 3 2" xfId="48" xr:uid="{00000000-0005-0000-0000-00002D000000}"/>
    <cellStyle name="40% - Colore 4" xfId="49" xr:uid="{00000000-0005-0000-0000-00002E000000}"/>
    <cellStyle name="40% - Colore 4 2" xfId="50" xr:uid="{00000000-0005-0000-0000-00002F000000}"/>
    <cellStyle name="40% - Colore 5" xfId="51" xr:uid="{00000000-0005-0000-0000-000030000000}"/>
    <cellStyle name="40% - Colore 5 2" xfId="52" xr:uid="{00000000-0005-0000-0000-000031000000}"/>
    <cellStyle name="40% - Colore 6" xfId="53" xr:uid="{00000000-0005-0000-0000-000032000000}"/>
    <cellStyle name="40% - Colore 6 2" xfId="54" xr:uid="{00000000-0005-0000-0000-000033000000}"/>
    <cellStyle name="5x indented GHG Textfiels" xfId="55" xr:uid="{00000000-0005-0000-0000-000034000000}"/>
    <cellStyle name="5x indented GHG Textfiels 2" xfId="56" xr:uid="{00000000-0005-0000-0000-000035000000}"/>
    <cellStyle name="5x indented GHG Textfiels 2 2" xfId="57" xr:uid="{00000000-0005-0000-0000-000036000000}"/>
    <cellStyle name="5x indented GHG Textfiels 3" xfId="58" xr:uid="{00000000-0005-0000-0000-000037000000}"/>
    <cellStyle name="60 % - Markeringsfarve1" xfId="59" xr:uid="{00000000-0005-0000-0000-000038000000}"/>
    <cellStyle name="60 % - Markeringsfarve2" xfId="60" xr:uid="{00000000-0005-0000-0000-000039000000}"/>
    <cellStyle name="60 % - Markeringsfarve3" xfId="61" xr:uid="{00000000-0005-0000-0000-00003A000000}"/>
    <cellStyle name="60 % - Markeringsfarve4" xfId="62" xr:uid="{00000000-0005-0000-0000-00003B000000}"/>
    <cellStyle name="60 % - Markeringsfarve5" xfId="63" xr:uid="{00000000-0005-0000-0000-00003C000000}"/>
    <cellStyle name="60 % - Markeringsfarve6" xfId="64" xr:uid="{00000000-0005-0000-0000-00003D000000}"/>
    <cellStyle name="60% - Colore 1" xfId="65" xr:uid="{00000000-0005-0000-0000-00003E000000}"/>
    <cellStyle name="60% - Colore 2" xfId="66" xr:uid="{00000000-0005-0000-0000-00003F000000}"/>
    <cellStyle name="60% - Colore 3" xfId="67" xr:uid="{00000000-0005-0000-0000-000040000000}"/>
    <cellStyle name="60% - Colore 4" xfId="68" xr:uid="{00000000-0005-0000-0000-000041000000}"/>
    <cellStyle name="60% - Colore 5" xfId="69" xr:uid="{00000000-0005-0000-0000-000042000000}"/>
    <cellStyle name="60% - Colore 6" xfId="70" xr:uid="{00000000-0005-0000-0000-000043000000}"/>
    <cellStyle name="AggOrange_CRFReport-template" xfId="71" xr:uid="{00000000-0005-0000-0000-000044000000}"/>
    <cellStyle name="AggOrange9_CRFReport-template" xfId="72" xr:uid="{00000000-0005-0000-0000-000045000000}"/>
    <cellStyle name="Bad 2" xfId="73" xr:uid="{00000000-0005-0000-0000-000046000000}"/>
    <cellStyle name="Bad 3" xfId="74" xr:uid="{00000000-0005-0000-0000-000047000000}"/>
    <cellStyle name="Bad 4" xfId="75" xr:uid="{00000000-0005-0000-0000-000048000000}"/>
    <cellStyle name="Bruger data" xfId="76" xr:uid="{00000000-0005-0000-0000-000049000000}"/>
    <cellStyle name="Bruger data 2" xfId="77" xr:uid="{00000000-0005-0000-0000-00004A000000}"/>
    <cellStyle name="Calcolo" xfId="78" xr:uid="{00000000-0005-0000-0000-00004B000000}"/>
    <cellStyle name="Calcolo 2" xfId="79" xr:uid="{00000000-0005-0000-0000-00004C000000}"/>
    <cellStyle name="Calcolo 2 2" xfId="80" xr:uid="{00000000-0005-0000-0000-00004D000000}"/>
    <cellStyle name="Calcolo 3" xfId="81" xr:uid="{00000000-0005-0000-0000-00004E000000}"/>
    <cellStyle name="Calcolo 4" xfId="82" xr:uid="{00000000-0005-0000-0000-00004F000000}"/>
    <cellStyle name="Calcolo 5" xfId="83" xr:uid="{00000000-0005-0000-0000-000050000000}"/>
    <cellStyle name="Calcolo 6" xfId="84" xr:uid="{00000000-0005-0000-0000-000051000000}"/>
    <cellStyle name="Calcolo 7" xfId="85" xr:uid="{00000000-0005-0000-0000-000052000000}"/>
    <cellStyle name="Calculation 2" xfId="86" xr:uid="{00000000-0005-0000-0000-000053000000}"/>
    <cellStyle name="Calculations" xfId="87" xr:uid="{00000000-0005-0000-0000-000054000000}"/>
    <cellStyle name="Cella collegata" xfId="88" xr:uid="{00000000-0005-0000-0000-000055000000}"/>
    <cellStyle name="Cella da controllare" xfId="89" xr:uid="{00000000-0005-0000-0000-000056000000}"/>
    <cellStyle name="Colore 1" xfId="90" xr:uid="{00000000-0005-0000-0000-000057000000}"/>
    <cellStyle name="Colore 2" xfId="91" xr:uid="{00000000-0005-0000-0000-000058000000}"/>
    <cellStyle name="Colore 3" xfId="92" xr:uid="{00000000-0005-0000-0000-000059000000}"/>
    <cellStyle name="Colore 4" xfId="93" xr:uid="{00000000-0005-0000-0000-00005A000000}"/>
    <cellStyle name="Colore 5" xfId="94" xr:uid="{00000000-0005-0000-0000-00005B000000}"/>
    <cellStyle name="Colore 6" xfId="95" xr:uid="{00000000-0005-0000-0000-00005C000000}"/>
    <cellStyle name="Comma 11 3" xfId="10384" xr:uid="{4428CC9B-C383-4217-84A2-8E847DADC24F}"/>
    <cellStyle name="Comma 2" xfId="96" xr:uid="{00000000-0005-0000-0000-00005D000000}"/>
    <cellStyle name="Comma 2 2" xfId="97" xr:uid="{00000000-0005-0000-0000-00005E000000}"/>
    <cellStyle name="Comma 2 2 2" xfId="98" xr:uid="{00000000-0005-0000-0000-00005F000000}"/>
    <cellStyle name="Comma 2 2 2 2" xfId="99" xr:uid="{00000000-0005-0000-0000-000060000000}"/>
    <cellStyle name="Comma 2 2 2 2 10" xfId="100" xr:uid="{00000000-0005-0000-0000-000061000000}"/>
    <cellStyle name="Comma 2 2 2 2 2" xfId="101" xr:uid="{00000000-0005-0000-0000-000062000000}"/>
    <cellStyle name="Comma 2 2 2 2 2 2" xfId="102" xr:uid="{00000000-0005-0000-0000-000063000000}"/>
    <cellStyle name="Comma 2 2 2 2 2 2 2" xfId="103" xr:uid="{00000000-0005-0000-0000-000064000000}"/>
    <cellStyle name="Comma 2 2 2 2 2 2 2 2" xfId="104" xr:uid="{00000000-0005-0000-0000-000065000000}"/>
    <cellStyle name="Comma 2 2 2 2 2 2 2 3" xfId="105" xr:uid="{00000000-0005-0000-0000-000066000000}"/>
    <cellStyle name="Comma 2 2 2 2 2 2 2 4" xfId="106" xr:uid="{00000000-0005-0000-0000-000067000000}"/>
    <cellStyle name="Comma 2 2 2 2 2 2 3" xfId="107" xr:uid="{00000000-0005-0000-0000-000068000000}"/>
    <cellStyle name="Comma 2 2 2 2 2 2 4" xfId="108" xr:uid="{00000000-0005-0000-0000-000069000000}"/>
    <cellStyle name="Comma 2 2 2 2 2 2 5" xfId="109" xr:uid="{00000000-0005-0000-0000-00006A000000}"/>
    <cellStyle name="Comma 2 2 2 2 2 3" xfId="110" xr:uid="{00000000-0005-0000-0000-00006B000000}"/>
    <cellStyle name="Comma 2 2 2 2 2 3 2" xfId="111" xr:uid="{00000000-0005-0000-0000-00006C000000}"/>
    <cellStyle name="Comma 2 2 2 2 2 3 2 2" xfId="112" xr:uid="{00000000-0005-0000-0000-00006D000000}"/>
    <cellStyle name="Comma 2 2 2 2 2 3 2 3" xfId="113" xr:uid="{00000000-0005-0000-0000-00006E000000}"/>
    <cellStyle name="Comma 2 2 2 2 2 3 2 4" xfId="114" xr:uid="{00000000-0005-0000-0000-00006F000000}"/>
    <cellStyle name="Comma 2 2 2 2 2 3 3" xfId="115" xr:uid="{00000000-0005-0000-0000-000070000000}"/>
    <cellStyle name="Comma 2 2 2 2 2 3 4" xfId="116" xr:uid="{00000000-0005-0000-0000-000071000000}"/>
    <cellStyle name="Comma 2 2 2 2 2 3 5" xfId="117" xr:uid="{00000000-0005-0000-0000-000072000000}"/>
    <cellStyle name="Comma 2 2 2 2 2 4" xfId="118" xr:uid="{00000000-0005-0000-0000-000073000000}"/>
    <cellStyle name="Comma 2 2 2 2 2 4 2" xfId="119" xr:uid="{00000000-0005-0000-0000-000074000000}"/>
    <cellStyle name="Comma 2 2 2 2 2 4 2 2" xfId="120" xr:uid="{00000000-0005-0000-0000-000075000000}"/>
    <cellStyle name="Comma 2 2 2 2 2 4 2 3" xfId="121" xr:uid="{00000000-0005-0000-0000-000076000000}"/>
    <cellStyle name="Comma 2 2 2 2 2 4 2 4" xfId="122" xr:uid="{00000000-0005-0000-0000-000077000000}"/>
    <cellStyle name="Comma 2 2 2 2 2 4 3" xfId="123" xr:uid="{00000000-0005-0000-0000-000078000000}"/>
    <cellStyle name="Comma 2 2 2 2 2 4 4" xfId="124" xr:uid="{00000000-0005-0000-0000-000079000000}"/>
    <cellStyle name="Comma 2 2 2 2 2 4 5" xfId="125" xr:uid="{00000000-0005-0000-0000-00007A000000}"/>
    <cellStyle name="Comma 2 2 2 2 2 5" xfId="126" xr:uid="{00000000-0005-0000-0000-00007B000000}"/>
    <cellStyle name="Comma 2 2 2 2 2 5 2" xfId="127" xr:uid="{00000000-0005-0000-0000-00007C000000}"/>
    <cellStyle name="Comma 2 2 2 2 2 5 3" xfId="128" xr:uid="{00000000-0005-0000-0000-00007D000000}"/>
    <cellStyle name="Comma 2 2 2 2 2 5 4" xfId="129" xr:uid="{00000000-0005-0000-0000-00007E000000}"/>
    <cellStyle name="Comma 2 2 2 2 2 6" xfId="130" xr:uid="{00000000-0005-0000-0000-00007F000000}"/>
    <cellStyle name="Comma 2 2 2 2 2 6 2" xfId="131" xr:uid="{00000000-0005-0000-0000-000080000000}"/>
    <cellStyle name="Comma 2 2 2 2 2 6 3" xfId="132" xr:uid="{00000000-0005-0000-0000-000081000000}"/>
    <cellStyle name="Comma 2 2 2 2 2 6 4" xfId="133" xr:uid="{00000000-0005-0000-0000-000082000000}"/>
    <cellStyle name="Comma 2 2 2 2 2 7" xfId="134" xr:uid="{00000000-0005-0000-0000-000083000000}"/>
    <cellStyle name="Comma 2 2 2 2 2 8" xfId="135" xr:uid="{00000000-0005-0000-0000-000084000000}"/>
    <cellStyle name="Comma 2 2 2 2 2 9" xfId="136" xr:uid="{00000000-0005-0000-0000-000085000000}"/>
    <cellStyle name="Comma 2 2 2 2 3" xfId="137" xr:uid="{00000000-0005-0000-0000-000086000000}"/>
    <cellStyle name="Comma 2 2 2 2 3 2" xfId="138" xr:uid="{00000000-0005-0000-0000-000087000000}"/>
    <cellStyle name="Comma 2 2 2 2 3 2 2" xfId="139" xr:uid="{00000000-0005-0000-0000-000088000000}"/>
    <cellStyle name="Comma 2 2 2 2 3 2 3" xfId="140" xr:uid="{00000000-0005-0000-0000-000089000000}"/>
    <cellStyle name="Comma 2 2 2 2 3 2 4" xfId="141" xr:uid="{00000000-0005-0000-0000-00008A000000}"/>
    <cellStyle name="Comma 2 2 2 2 3 3" xfId="142" xr:uid="{00000000-0005-0000-0000-00008B000000}"/>
    <cellStyle name="Comma 2 2 2 2 3 4" xfId="143" xr:uid="{00000000-0005-0000-0000-00008C000000}"/>
    <cellStyle name="Comma 2 2 2 2 3 5" xfId="144" xr:uid="{00000000-0005-0000-0000-00008D000000}"/>
    <cellStyle name="Comma 2 2 2 2 4" xfId="145" xr:uid="{00000000-0005-0000-0000-00008E000000}"/>
    <cellStyle name="Comma 2 2 2 2 4 2" xfId="146" xr:uid="{00000000-0005-0000-0000-00008F000000}"/>
    <cellStyle name="Comma 2 2 2 2 4 2 2" xfId="147" xr:uid="{00000000-0005-0000-0000-000090000000}"/>
    <cellStyle name="Comma 2 2 2 2 4 2 3" xfId="148" xr:uid="{00000000-0005-0000-0000-000091000000}"/>
    <cellStyle name="Comma 2 2 2 2 4 2 4" xfId="149" xr:uid="{00000000-0005-0000-0000-000092000000}"/>
    <cellStyle name="Comma 2 2 2 2 4 3" xfId="150" xr:uid="{00000000-0005-0000-0000-000093000000}"/>
    <cellStyle name="Comma 2 2 2 2 4 4" xfId="151" xr:uid="{00000000-0005-0000-0000-000094000000}"/>
    <cellStyle name="Comma 2 2 2 2 4 5" xfId="152" xr:uid="{00000000-0005-0000-0000-000095000000}"/>
    <cellStyle name="Comma 2 2 2 2 5" xfId="153" xr:uid="{00000000-0005-0000-0000-000096000000}"/>
    <cellStyle name="Comma 2 2 2 2 5 2" xfId="154" xr:uid="{00000000-0005-0000-0000-000097000000}"/>
    <cellStyle name="Comma 2 2 2 2 5 2 2" xfId="155" xr:uid="{00000000-0005-0000-0000-000098000000}"/>
    <cellStyle name="Comma 2 2 2 2 5 2 3" xfId="156" xr:uid="{00000000-0005-0000-0000-000099000000}"/>
    <cellStyle name="Comma 2 2 2 2 5 2 4" xfId="157" xr:uid="{00000000-0005-0000-0000-00009A000000}"/>
    <cellStyle name="Comma 2 2 2 2 5 3" xfId="158" xr:uid="{00000000-0005-0000-0000-00009B000000}"/>
    <cellStyle name="Comma 2 2 2 2 5 4" xfId="159" xr:uid="{00000000-0005-0000-0000-00009C000000}"/>
    <cellStyle name="Comma 2 2 2 2 5 5" xfId="160" xr:uid="{00000000-0005-0000-0000-00009D000000}"/>
    <cellStyle name="Comma 2 2 2 2 6" xfId="161" xr:uid="{00000000-0005-0000-0000-00009E000000}"/>
    <cellStyle name="Comma 2 2 2 2 6 2" xfId="162" xr:uid="{00000000-0005-0000-0000-00009F000000}"/>
    <cellStyle name="Comma 2 2 2 2 6 3" xfId="163" xr:uid="{00000000-0005-0000-0000-0000A0000000}"/>
    <cellStyle name="Comma 2 2 2 2 6 4" xfId="164" xr:uid="{00000000-0005-0000-0000-0000A1000000}"/>
    <cellStyle name="Comma 2 2 2 2 7" xfId="165" xr:uid="{00000000-0005-0000-0000-0000A2000000}"/>
    <cellStyle name="Comma 2 2 2 2 7 2" xfId="166" xr:uid="{00000000-0005-0000-0000-0000A3000000}"/>
    <cellStyle name="Comma 2 2 2 2 7 3" xfId="167" xr:uid="{00000000-0005-0000-0000-0000A4000000}"/>
    <cellStyle name="Comma 2 2 2 2 7 4" xfId="168" xr:uid="{00000000-0005-0000-0000-0000A5000000}"/>
    <cellStyle name="Comma 2 2 2 2 8" xfId="169" xr:uid="{00000000-0005-0000-0000-0000A6000000}"/>
    <cellStyle name="Comma 2 2 2 2 9" xfId="170" xr:uid="{00000000-0005-0000-0000-0000A7000000}"/>
    <cellStyle name="Comma 2 2 2 3" xfId="171" xr:uid="{00000000-0005-0000-0000-0000A8000000}"/>
    <cellStyle name="Comma 2 2 2 3 2" xfId="172" xr:uid="{00000000-0005-0000-0000-0000A9000000}"/>
    <cellStyle name="Comma 2 2 2 3 2 2" xfId="173" xr:uid="{00000000-0005-0000-0000-0000AA000000}"/>
    <cellStyle name="Comma 2 2 2 3 2 2 2" xfId="174" xr:uid="{00000000-0005-0000-0000-0000AB000000}"/>
    <cellStyle name="Comma 2 2 2 3 2 2 3" xfId="175" xr:uid="{00000000-0005-0000-0000-0000AC000000}"/>
    <cellStyle name="Comma 2 2 2 3 2 2 4" xfId="176" xr:uid="{00000000-0005-0000-0000-0000AD000000}"/>
    <cellStyle name="Comma 2 2 2 3 2 3" xfId="177" xr:uid="{00000000-0005-0000-0000-0000AE000000}"/>
    <cellStyle name="Comma 2 2 2 3 2 4" xfId="178" xr:uid="{00000000-0005-0000-0000-0000AF000000}"/>
    <cellStyle name="Comma 2 2 2 3 2 5" xfId="179" xr:uid="{00000000-0005-0000-0000-0000B0000000}"/>
    <cellStyle name="Comma 2 2 2 3 3" xfId="180" xr:uid="{00000000-0005-0000-0000-0000B1000000}"/>
    <cellStyle name="Comma 2 2 2 3 3 2" xfId="181" xr:uid="{00000000-0005-0000-0000-0000B2000000}"/>
    <cellStyle name="Comma 2 2 2 3 3 2 2" xfId="182" xr:uid="{00000000-0005-0000-0000-0000B3000000}"/>
    <cellStyle name="Comma 2 2 2 3 3 2 3" xfId="183" xr:uid="{00000000-0005-0000-0000-0000B4000000}"/>
    <cellStyle name="Comma 2 2 2 3 3 2 4" xfId="184" xr:uid="{00000000-0005-0000-0000-0000B5000000}"/>
    <cellStyle name="Comma 2 2 2 3 3 3" xfId="185" xr:uid="{00000000-0005-0000-0000-0000B6000000}"/>
    <cellStyle name="Comma 2 2 2 3 3 4" xfId="186" xr:uid="{00000000-0005-0000-0000-0000B7000000}"/>
    <cellStyle name="Comma 2 2 2 3 3 5" xfId="187" xr:uid="{00000000-0005-0000-0000-0000B8000000}"/>
    <cellStyle name="Comma 2 2 2 3 4" xfId="188" xr:uid="{00000000-0005-0000-0000-0000B9000000}"/>
    <cellStyle name="Comma 2 2 2 3 4 2" xfId="189" xr:uid="{00000000-0005-0000-0000-0000BA000000}"/>
    <cellStyle name="Comma 2 2 2 3 4 2 2" xfId="190" xr:uid="{00000000-0005-0000-0000-0000BB000000}"/>
    <cellStyle name="Comma 2 2 2 3 4 2 3" xfId="191" xr:uid="{00000000-0005-0000-0000-0000BC000000}"/>
    <cellStyle name="Comma 2 2 2 3 4 2 4" xfId="192" xr:uid="{00000000-0005-0000-0000-0000BD000000}"/>
    <cellStyle name="Comma 2 2 2 3 4 3" xfId="193" xr:uid="{00000000-0005-0000-0000-0000BE000000}"/>
    <cellStyle name="Comma 2 2 2 3 4 4" xfId="194" xr:uid="{00000000-0005-0000-0000-0000BF000000}"/>
    <cellStyle name="Comma 2 2 2 3 4 5" xfId="195" xr:uid="{00000000-0005-0000-0000-0000C0000000}"/>
    <cellStyle name="Comma 2 2 2 3 5" xfId="196" xr:uid="{00000000-0005-0000-0000-0000C1000000}"/>
    <cellStyle name="Comma 2 2 2 3 5 2" xfId="197" xr:uid="{00000000-0005-0000-0000-0000C2000000}"/>
    <cellStyle name="Comma 2 2 2 3 5 3" xfId="198" xr:uid="{00000000-0005-0000-0000-0000C3000000}"/>
    <cellStyle name="Comma 2 2 2 3 5 4" xfId="199" xr:uid="{00000000-0005-0000-0000-0000C4000000}"/>
    <cellStyle name="Comma 2 2 2 3 6" xfId="200" xr:uid="{00000000-0005-0000-0000-0000C5000000}"/>
    <cellStyle name="Comma 2 2 2 3 6 2" xfId="201" xr:uid="{00000000-0005-0000-0000-0000C6000000}"/>
    <cellStyle name="Comma 2 2 2 3 6 3" xfId="202" xr:uid="{00000000-0005-0000-0000-0000C7000000}"/>
    <cellStyle name="Comma 2 2 2 3 6 4" xfId="203" xr:uid="{00000000-0005-0000-0000-0000C8000000}"/>
    <cellStyle name="Comma 2 2 2 3 7" xfId="204" xr:uid="{00000000-0005-0000-0000-0000C9000000}"/>
    <cellStyle name="Comma 2 2 2 3 8" xfId="205" xr:uid="{00000000-0005-0000-0000-0000CA000000}"/>
    <cellStyle name="Comma 2 2 2 3 9" xfId="206" xr:uid="{00000000-0005-0000-0000-0000CB000000}"/>
    <cellStyle name="Comma 2 2 2 4" xfId="207" xr:uid="{00000000-0005-0000-0000-0000CC000000}"/>
    <cellStyle name="Comma 2 2 2 5" xfId="208" xr:uid="{00000000-0005-0000-0000-0000CD000000}"/>
    <cellStyle name="Comma 2 2 3" xfId="209" xr:uid="{00000000-0005-0000-0000-0000CE000000}"/>
    <cellStyle name="Comma 2 2 3 2" xfId="210" xr:uid="{00000000-0005-0000-0000-0000CF000000}"/>
    <cellStyle name="Comma 2 2 4" xfId="211" xr:uid="{00000000-0005-0000-0000-0000D0000000}"/>
    <cellStyle name="Comma 2 2 4 2" xfId="212" xr:uid="{00000000-0005-0000-0000-0000D1000000}"/>
    <cellStyle name="Comma 2 3" xfId="213" xr:uid="{00000000-0005-0000-0000-0000D2000000}"/>
    <cellStyle name="Comma 2 3 2" xfId="214" xr:uid="{00000000-0005-0000-0000-0000D3000000}"/>
    <cellStyle name="Comma 2 3 2 2" xfId="215" xr:uid="{00000000-0005-0000-0000-0000D4000000}"/>
    <cellStyle name="Comma 2 3 2 2 10" xfId="216" xr:uid="{00000000-0005-0000-0000-0000D5000000}"/>
    <cellStyle name="Comma 2 3 2 2 11" xfId="217" xr:uid="{00000000-0005-0000-0000-0000D6000000}"/>
    <cellStyle name="Comma 2 3 2 2 2" xfId="218" xr:uid="{00000000-0005-0000-0000-0000D7000000}"/>
    <cellStyle name="Comma 2 3 2 2 2 2" xfId="219" xr:uid="{00000000-0005-0000-0000-0000D8000000}"/>
    <cellStyle name="Comma 2 3 2 2 2 2 2" xfId="220" xr:uid="{00000000-0005-0000-0000-0000D9000000}"/>
    <cellStyle name="Comma 2 3 2 2 2 2 3" xfId="221" xr:uid="{00000000-0005-0000-0000-0000DA000000}"/>
    <cellStyle name="Comma 2 3 2 2 2 2 4" xfId="222" xr:uid="{00000000-0005-0000-0000-0000DB000000}"/>
    <cellStyle name="Comma 2 3 2 2 2 3" xfId="223" xr:uid="{00000000-0005-0000-0000-0000DC000000}"/>
    <cellStyle name="Comma 2 3 2 2 2 4" xfId="224" xr:uid="{00000000-0005-0000-0000-0000DD000000}"/>
    <cellStyle name="Comma 2 3 2 2 2 5" xfId="225" xr:uid="{00000000-0005-0000-0000-0000DE000000}"/>
    <cellStyle name="Comma 2 3 2 2 2 6" xfId="226" xr:uid="{00000000-0005-0000-0000-0000DF000000}"/>
    <cellStyle name="Comma 2 3 2 2 3" xfId="227" xr:uid="{00000000-0005-0000-0000-0000E0000000}"/>
    <cellStyle name="Comma 2 3 2 2 3 2" xfId="228" xr:uid="{00000000-0005-0000-0000-0000E1000000}"/>
    <cellStyle name="Comma 2 3 2 2 3 2 2" xfId="229" xr:uid="{00000000-0005-0000-0000-0000E2000000}"/>
    <cellStyle name="Comma 2 3 2 2 3 2 3" xfId="230" xr:uid="{00000000-0005-0000-0000-0000E3000000}"/>
    <cellStyle name="Comma 2 3 2 2 3 2 4" xfId="231" xr:uid="{00000000-0005-0000-0000-0000E4000000}"/>
    <cellStyle name="Comma 2 3 2 2 3 3" xfId="232" xr:uid="{00000000-0005-0000-0000-0000E5000000}"/>
    <cellStyle name="Comma 2 3 2 2 3 4" xfId="233" xr:uid="{00000000-0005-0000-0000-0000E6000000}"/>
    <cellStyle name="Comma 2 3 2 2 3 5" xfId="234" xr:uid="{00000000-0005-0000-0000-0000E7000000}"/>
    <cellStyle name="Comma 2 3 2 2 4" xfId="235" xr:uid="{00000000-0005-0000-0000-0000E8000000}"/>
    <cellStyle name="Comma 2 3 2 2 4 2" xfId="236" xr:uid="{00000000-0005-0000-0000-0000E9000000}"/>
    <cellStyle name="Comma 2 3 2 2 4 2 2" xfId="237" xr:uid="{00000000-0005-0000-0000-0000EA000000}"/>
    <cellStyle name="Comma 2 3 2 2 4 2 3" xfId="238" xr:uid="{00000000-0005-0000-0000-0000EB000000}"/>
    <cellStyle name="Comma 2 3 2 2 4 2 4" xfId="239" xr:uid="{00000000-0005-0000-0000-0000EC000000}"/>
    <cellStyle name="Comma 2 3 2 2 4 3" xfId="240" xr:uid="{00000000-0005-0000-0000-0000ED000000}"/>
    <cellStyle name="Comma 2 3 2 2 4 4" xfId="241" xr:uid="{00000000-0005-0000-0000-0000EE000000}"/>
    <cellStyle name="Comma 2 3 2 2 4 5" xfId="242" xr:uid="{00000000-0005-0000-0000-0000EF000000}"/>
    <cellStyle name="Comma 2 3 2 2 5" xfId="243" xr:uid="{00000000-0005-0000-0000-0000F0000000}"/>
    <cellStyle name="Comma 2 3 2 2 5 2" xfId="244" xr:uid="{00000000-0005-0000-0000-0000F1000000}"/>
    <cellStyle name="Comma 2 3 2 2 5 3" xfId="245" xr:uid="{00000000-0005-0000-0000-0000F2000000}"/>
    <cellStyle name="Comma 2 3 2 2 5 4" xfId="246" xr:uid="{00000000-0005-0000-0000-0000F3000000}"/>
    <cellStyle name="Comma 2 3 2 2 6" xfId="247" xr:uid="{00000000-0005-0000-0000-0000F4000000}"/>
    <cellStyle name="Comma 2 3 2 2 6 2" xfId="248" xr:uid="{00000000-0005-0000-0000-0000F5000000}"/>
    <cellStyle name="Comma 2 3 2 2 6 3" xfId="249" xr:uid="{00000000-0005-0000-0000-0000F6000000}"/>
    <cellStyle name="Comma 2 3 2 2 6 4" xfId="250" xr:uid="{00000000-0005-0000-0000-0000F7000000}"/>
    <cellStyle name="Comma 2 3 2 2 7" xfId="251" xr:uid="{00000000-0005-0000-0000-0000F8000000}"/>
    <cellStyle name="Comma 2 3 2 2 8" xfId="252" xr:uid="{00000000-0005-0000-0000-0000F9000000}"/>
    <cellStyle name="Comma 2 3 2 2 9" xfId="253" xr:uid="{00000000-0005-0000-0000-0000FA000000}"/>
    <cellStyle name="Comma 2 3 2 3" xfId="254" xr:uid="{00000000-0005-0000-0000-0000FB000000}"/>
    <cellStyle name="Comma 2 3 2 4" xfId="255" xr:uid="{00000000-0005-0000-0000-0000FC000000}"/>
    <cellStyle name="Comma 2 3 2 5" xfId="256" xr:uid="{00000000-0005-0000-0000-0000FD000000}"/>
    <cellStyle name="Comma 2 3 3" xfId="257" xr:uid="{00000000-0005-0000-0000-0000FE000000}"/>
    <cellStyle name="Comma 2 3 3 2" xfId="258" xr:uid="{00000000-0005-0000-0000-0000FF000000}"/>
    <cellStyle name="Comma 2 3 3 2 10" xfId="259" xr:uid="{00000000-0005-0000-0000-000000010000}"/>
    <cellStyle name="Comma 2 3 3 2 11" xfId="260" xr:uid="{00000000-0005-0000-0000-000001010000}"/>
    <cellStyle name="Comma 2 3 3 2 2" xfId="261" xr:uid="{00000000-0005-0000-0000-000002010000}"/>
    <cellStyle name="Comma 2 3 3 2 2 2" xfId="262" xr:uid="{00000000-0005-0000-0000-000003010000}"/>
    <cellStyle name="Comma 2 3 3 2 2 2 2" xfId="263" xr:uid="{00000000-0005-0000-0000-000004010000}"/>
    <cellStyle name="Comma 2 3 3 2 2 2 2 2" xfId="264" xr:uid="{00000000-0005-0000-0000-000005010000}"/>
    <cellStyle name="Comma 2 3 3 2 2 2 2 3" xfId="265" xr:uid="{00000000-0005-0000-0000-000006010000}"/>
    <cellStyle name="Comma 2 3 3 2 2 2 2 4" xfId="266" xr:uid="{00000000-0005-0000-0000-000007010000}"/>
    <cellStyle name="Comma 2 3 3 2 2 2 3" xfId="267" xr:uid="{00000000-0005-0000-0000-000008010000}"/>
    <cellStyle name="Comma 2 3 3 2 2 2 4" xfId="268" xr:uid="{00000000-0005-0000-0000-000009010000}"/>
    <cellStyle name="Comma 2 3 3 2 2 2 5" xfId="269" xr:uid="{00000000-0005-0000-0000-00000A010000}"/>
    <cellStyle name="Comma 2 3 3 2 2 3" xfId="270" xr:uid="{00000000-0005-0000-0000-00000B010000}"/>
    <cellStyle name="Comma 2 3 3 2 2 3 2" xfId="271" xr:uid="{00000000-0005-0000-0000-00000C010000}"/>
    <cellStyle name="Comma 2 3 3 2 2 3 2 2" xfId="272" xr:uid="{00000000-0005-0000-0000-00000D010000}"/>
    <cellStyle name="Comma 2 3 3 2 2 3 2 3" xfId="273" xr:uid="{00000000-0005-0000-0000-00000E010000}"/>
    <cellStyle name="Comma 2 3 3 2 2 3 2 4" xfId="274" xr:uid="{00000000-0005-0000-0000-00000F010000}"/>
    <cellStyle name="Comma 2 3 3 2 2 3 3" xfId="275" xr:uid="{00000000-0005-0000-0000-000010010000}"/>
    <cellStyle name="Comma 2 3 3 2 2 3 4" xfId="276" xr:uid="{00000000-0005-0000-0000-000011010000}"/>
    <cellStyle name="Comma 2 3 3 2 2 3 5" xfId="277" xr:uid="{00000000-0005-0000-0000-000012010000}"/>
    <cellStyle name="Comma 2 3 3 2 2 4" xfId="278" xr:uid="{00000000-0005-0000-0000-000013010000}"/>
    <cellStyle name="Comma 2 3 3 2 2 4 2" xfId="279" xr:uid="{00000000-0005-0000-0000-000014010000}"/>
    <cellStyle name="Comma 2 3 3 2 2 4 2 2" xfId="280" xr:uid="{00000000-0005-0000-0000-000015010000}"/>
    <cellStyle name="Comma 2 3 3 2 2 4 2 3" xfId="281" xr:uid="{00000000-0005-0000-0000-000016010000}"/>
    <cellStyle name="Comma 2 3 3 2 2 4 2 4" xfId="282" xr:uid="{00000000-0005-0000-0000-000017010000}"/>
    <cellStyle name="Comma 2 3 3 2 2 4 3" xfId="283" xr:uid="{00000000-0005-0000-0000-000018010000}"/>
    <cellStyle name="Comma 2 3 3 2 2 4 4" xfId="284" xr:uid="{00000000-0005-0000-0000-000019010000}"/>
    <cellStyle name="Comma 2 3 3 2 2 4 5" xfId="285" xr:uid="{00000000-0005-0000-0000-00001A010000}"/>
    <cellStyle name="Comma 2 3 3 2 2 5" xfId="286" xr:uid="{00000000-0005-0000-0000-00001B010000}"/>
    <cellStyle name="Comma 2 3 3 2 2 5 2" xfId="287" xr:uid="{00000000-0005-0000-0000-00001C010000}"/>
    <cellStyle name="Comma 2 3 3 2 2 5 3" xfId="288" xr:uid="{00000000-0005-0000-0000-00001D010000}"/>
    <cellStyle name="Comma 2 3 3 2 2 5 4" xfId="289" xr:uid="{00000000-0005-0000-0000-00001E010000}"/>
    <cellStyle name="Comma 2 3 3 2 2 6" xfId="290" xr:uid="{00000000-0005-0000-0000-00001F010000}"/>
    <cellStyle name="Comma 2 3 3 2 2 6 2" xfId="291" xr:uid="{00000000-0005-0000-0000-000020010000}"/>
    <cellStyle name="Comma 2 3 3 2 2 6 3" xfId="292" xr:uid="{00000000-0005-0000-0000-000021010000}"/>
    <cellStyle name="Comma 2 3 3 2 2 6 4" xfId="293" xr:uid="{00000000-0005-0000-0000-000022010000}"/>
    <cellStyle name="Comma 2 3 3 2 2 7" xfId="294" xr:uid="{00000000-0005-0000-0000-000023010000}"/>
    <cellStyle name="Comma 2 3 3 2 2 8" xfId="295" xr:uid="{00000000-0005-0000-0000-000024010000}"/>
    <cellStyle name="Comma 2 3 3 2 2 9" xfId="296" xr:uid="{00000000-0005-0000-0000-000025010000}"/>
    <cellStyle name="Comma 2 3 3 2 3" xfId="297" xr:uid="{00000000-0005-0000-0000-000026010000}"/>
    <cellStyle name="Comma 2 3 3 2 3 2" xfId="298" xr:uid="{00000000-0005-0000-0000-000027010000}"/>
    <cellStyle name="Comma 2 3 3 2 3 2 2" xfId="299" xr:uid="{00000000-0005-0000-0000-000028010000}"/>
    <cellStyle name="Comma 2 3 3 2 3 2 3" xfId="300" xr:uid="{00000000-0005-0000-0000-000029010000}"/>
    <cellStyle name="Comma 2 3 3 2 3 2 4" xfId="301" xr:uid="{00000000-0005-0000-0000-00002A010000}"/>
    <cellStyle name="Comma 2 3 3 2 3 3" xfId="302" xr:uid="{00000000-0005-0000-0000-00002B010000}"/>
    <cellStyle name="Comma 2 3 3 2 3 4" xfId="303" xr:uid="{00000000-0005-0000-0000-00002C010000}"/>
    <cellStyle name="Comma 2 3 3 2 3 5" xfId="304" xr:uid="{00000000-0005-0000-0000-00002D010000}"/>
    <cellStyle name="Comma 2 3 3 2 4" xfId="305" xr:uid="{00000000-0005-0000-0000-00002E010000}"/>
    <cellStyle name="Comma 2 3 3 2 4 2" xfId="306" xr:uid="{00000000-0005-0000-0000-00002F010000}"/>
    <cellStyle name="Comma 2 3 3 2 4 2 2" xfId="307" xr:uid="{00000000-0005-0000-0000-000030010000}"/>
    <cellStyle name="Comma 2 3 3 2 4 2 3" xfId="308" xr:uid="{00000000-0005-0000-0000-000031010000}"/>
    <cellStyle name="Comma 2 3 3 2 4 2 4" xfId="309" xr:uid="{00000000-0005-0000-0000-000032010000}"/>
    <cellStyle name="Comma 2 3 3 2 4 3" xfId="310" xr:uid="{00000000-0005-0000-0000-000033010000}"/>
    <cellStyle name="Comma 2 3 3 2 4 4" xfId="311" xr:uid="{00000000-0005-0000-0000-000034010000}"/>
    <cellStyle name="Comma 2 3 3 2 4 5" xfId="312" xr:uid="{00000000-0005-0000-0000-000035010000}"/>
    <cellStyle name="Comma 2 3 3 2 5" xfId="313" xr:uid="{00000000-0005-0000-0000-000036010000}"/>
    <cellStyle name="Comma 2 3 3 2 5 2" xfId="314" xr:uid="{00000000-0005-0000-0000-000037010000}"/>
    <cellStyle name="Comma 2 3 3 2 5 2 2" xfId="315" xr:uid="{00000000-0005-0000-0000-000038010000}"/>
    <cellStyle name="Comma 2 3 3 2 5 2 3" xfId="316" xr:uid="{00000000-0005-0000-0000-000039010000}"/>
    <cellStyle name="Comma 2 3 3 2 5 2 4" xfId="317" xr:uid="{00000000-0005-0000-0000-00003A010000}"/>
    <cellStyle name="Comma 2 3 3 2 5 3" xfId="318" xr:uid="{00000000-0005-0000-0000-00003B010000}"/>
    <cellStyle name="Comma 2 3 3 2 5 4" xfId="319" xr:uid="{00000000-0005-0000-0000-00003C010000}"/>
    <cellStyle name="Comma 2 3 3 2 5 5" xfId="320" xr:uid="{00000000-0005-0000-0000-00003D010000}"/>
    <cellStyle name="Comma 2 3 3 2 6" xfId="321" xr:uid="{00000000-0005-0000-0000-00003E010000}"/>
    <cellStyle name="Comma 2 3 3 2 6 2" xfId="322" xr:uid="{00000000-0005-0000-0000-00003F010000}"/>
    <cellStyle name="Comma 2 3 3 2 6 3" xfId="323" xr:uid="{00000000-0005-0000-0000-000040010000}"/>
    <cellStyle name="Comma 2 3 3 2 6 4" xfId="324" xr:uid="{00000000-0005-0000-0000-000041010000}"/>
    <cellStyle name="Comma 2 3 3 2 7" xfId="325" xr:uid="{00000000-0005-0000-0000-000042010000}"/>
    <cellStyle name="Comma 2 3 3 2 7 2" xfId="326" xr:uid="{00000000-0005-0000-0000-000043010000}"/>
    <cellStyle name="Comma 2 3 3 2 7 3" xfId="327" xr:uid="{00000000-0005-0000-0000-000044010000}"/>
    <cellStyle name="Comma 2 3 3 2 7 4" xfId="328" xr:uid="{00000000-0005-0000-0000-000045010000}"/>
    <cellStyle name="Comma 2 3 3 2 8" xfId="329" xr:uid="{00000000-0005-0000-0000-000046010000}"/>
    <cellStyle name="Comma 2 3 3 2 9" xfId="330" xr:uid="{00000000-0005-0000-0000-000047010000}"/>
    <cellStyle name="Comma 2 3 3 3" xfId="331" xr:uid="{00000000-0005-0000-0000-000048010000}"/>
    <cellStyle name="Comma 2 3 3 3 2" xfId="332" xr:uid="{00000000-0005-0000-0000-000049010000}"/>
    <cellStyle name="Comma 2 3 3 3 2 2" xfId="333" xr:uid="{00000000-0005-0000-0000-00004A010000}"/>
    <cellStyle name="Comma 2 3 3 3 2 2 2" xfId="334" xr:uid="{00000000-0005-0000-0000-00004B010000}"/>
    <cellStyle name="Comma 2 3 3 3 2 2 3" xfId="335" xr:uid="{00000000-0005-0000-0000-00004C010000}"/>
    <cellStyle name="Comma 2 3 3 3 2 2 4" xfId="336" xr:uid="{00000000-0005-0000-0000-00004D010000}"/>
    <cellStyle name="Comma 2 3 3 3 2 3" xfId="337" xr:uid="{00000000-0005-0000-0000-00004E010000}"/>
    <cellStyle name="Comma 2 3 3 3 2 4" xfId="338" xr:uid="{00000000-0005-0000-0000-00004F010000}"/>
    <cellStyle name="Comma 2 3 3 3 2 5" xfId="339" xr:uid="{00000000-0005-0000-0000-000050010000}"/>
    <cellStyle name="Comma 2 3 3 3 3" xfId="340" xr:uid="{00000000-0005-0000-0000-000051010000}"/>
    <cellStyle name="Comma 2 3 3 3 3 2" xfId="341" xr:uid="{00000000-0005-0000-0000-000052010000}"/>
    <cellStyle name="Comma 2 3 3 3 3 2 2" xfId="342" xr:uid="{00000000-0005-0000-0000-000053010000}"/>
    <cellStyle name="Comma 2 3 3 3 3 2 3" xfId="343" xr:uid="{00000000-0005-0000-0000-000054010000}"/>
    <cellStyle name="Comma 2 3 3 3 3 2 4" xfId="344" xr:uid="{00000000-0005-0000-0000-000055010000}"/>
    <cellStyle name="Comma 2 3 3 3 3 3" xfId="345" xr:uid="{00000000-0005-0000-0000-000056010000}"/>
    <cellStyle name="Comma 2 3 3 3 3 4" xfId="346" xr:uid="{00000000-0005-0000-0000-000057010000}"/>
    <cellStyle name="Comma 2 3 3 3 3 5" xfId="347" xr:uid="{00000000-0005-0000-0000-000058010000}"/>
    <cellStyle name="Comma 2 3 3 3 4" xfId="348" xr:uid="{00000000-0005-0000-0000-000059010000}"/>
    <cellStyle name="Comma 2 3 3 3 4 2" xfId="349" xr:uid="{00000000-0005-0000-0000-00005A010000}"/>
    <cellStyle name="Comma 2 3 3 3 4 2 2" xfId="350" xr:uid="{00000000-0005-0000-0000-00005B010000}"/>
    <cellStyle name="Comma 2 3 3 3 4 2 3" xfId="351" xr:uid="{00000000-0005-0000-0000-00005C010000}"/>
    <cellStyle name="Comma 2 3 3 3 4 2 4" xfId="352" xr:uid="{00000000-0005-0000-0000-00005D010000}"/>
    <cellStyle name="Comma 2 3 3 3 4 3" xfId="353" xr:uid="{00000000-0005-0000-0000-00005E010000}"/>
    <cellStyle name="Comma 2 3 3 3 4 4" xfId="354" xr:uid="{00000000-0005-0000-0000-00005F010000}"/>
    <cellStyle name="Comma 2 3 3 3 4 5" xfId="355" xr:uid="{00000000-0005-0000-0000-000060010000}"/>
    <cellStyle name="Comma 2 3 3 3 5" xfId="356" xr:uid="{00000000-0005-0000-0000-000061010000}"/>
    <cellStyle name="Comma 2 3 3 3 5 2" xfId="357" xr:uid="{00000000-0005-0000-0000-000062010000}"/>
    <cellStyle name="Comma 2 3 3 3 5 3" xfId="358" xr:uid="{00000000-0005-0000-0000-000063010000}"/>
    <cellStyle name="Comma 2 3 3 3 5 4" xfId="359" xr:uid="{00000000-0005-0000-0000-000064010000}"/>
    <cellStyle name="Comma 2 3 3 3 6" xfId="360" xr:uid="{00000000-0005-0000-0000-000065010000}"/>
    <cellStyle name="Comma 2 3 3 3 6 2" xfId="361" xr:uid="{00000000-0005-0000-0000-000066010000}"/>
    <cellStyle name="Comma 2 3 3 3 6 3" xfId="362" xr:uid="{00000000-0005-0000-0000-000067010000}"/>
    <cellStyle name="Comma 2 3 3 3 6 4" xfId="363" xr:uid="{00000000-0005-0000-0000-000068010000}"/>
    <cellStyle name="Comma 2 3 3 3 7" xfId="364" xr:uid="{00000000-0005-0000-0000-000069010000}"/>
    <cellStyle name="Comma 2 3 3 3 8" xfId="365" xr:uid="{00000000-0005-0000-0000-00006A010000}"/>
    <cellStyle name="Comma 2 3 3 3 9" xfId="366" xr:uid="{00000000-0005-0000-0000-00006B010000}"/>
    <cellStyle name="Comma 2 3 3 4" xfId="367" xr:uid="{00000000-0005-0000-0000-00006C010000}"/>
    <cellStyle name="Comma 2 3 3 5" xfId="368" xr:uid="{00000000-0005-0000-0000-00006D010000}"/>
    <cellStyle name="Comma 2 3 4" xfId="369" xr:uid="{00000000-0005-0000-0000-00006E010000}"/>
    <cellStyle name="Comma 2 3 4 2" xfId="370" xr:uid="{00000000-0005-0000-0000-00006F010000}"/>
    <cellStyle name="Comma 2 3 4 2 10" xfId="371" xr:uid="{00000000-0005-0000-0000-000070010000}"/>
    <cellStyle name="Comma 2 3 4 2 2" xfId="372" xr:uid="{00000000-0005-0000-0000-000071010000}"/>
    <cellStyle name="Comma 2 3 4 2 2 2" xfId="373" xr:uid="{00000000-0005-0000-0000-000072010000}"/>
    <cellStyle name="Comma 2 3 4 2 2 2 2" xfId="374" xr:uid="{00000000-0005-0000-0000-000073010000}"/>
    <cellStyle name="Comma 2 3 4 2 2 2 3" xfId="375" xr:uid="{00000000-0005-0000-0000-000074010000}"/>
    <cellStyle name="Comma 2 3 4 2 2 2 4" xfId="376" xr:uid="{00000000-0005-0000-0000-000075010000}"/>
    <cellStyle name="Comma 2 3 4 2 2 3" xfId="377" xr:uid="{00000000-0005-0000-0000-000076010000}"/>
    <cellStyle name="Comma 2 3 4 2 2 4" xfId="378" xr:uid="{00000000-0005-0000-0000-000077010000}"/>
    <cellStyle name="Comma 2 3 4 2 2 5" xfId="379" xr:uid="{00000000-0005-0000-0000-000078010000}"/>
    <cellStyle name="Comma 2 3 4 2 3" xfId="380" xr:uid="{00000000-0005-0000-0000-000079010000}"/>
    <cellStyle name="Comma 2 3 4 2 3 2" xfId="381" xr:uid="{00000000-0005-0000-0000-00007A010000}"/>
    <cellStyle name="Comma 2 3 4 2 3 2 2" xfId="382" xr:uid="{00000000-0005-0000-0000-00007B010000}"/>
    <cellStyle name="Comma 2 3 4 2 3 2 3" xfId="383" xr:uid="{00000000-0005-0000-0000-00007C010000}"/>
    <cellStyle name="Comma 2 3 4 2 3 2 4" xfId="384" xr:uid="{00000000-0005-0000-0000-00007D010000}"/>
    <cellStyle name="Comma 2 3 4 2 3 3" xfId="385" xr:uid="{00000000-0005-0000-0000-00007E010000}"/>
    <cellStyle name="Comma 2 3 4 2 3 4" xfId="386" xr:uid="{00000000-0005-0000-0000-00007F010000}"/>
    <cellStyle name="Comma 2 3 4 2 3 5" xfId="387" xr:uid="{00000000-0005-0000-0000-000080010000}"/>
    <cellStyle name="Comma 2 3 4 2 4" xfId="388" xr:uid="{00000000-0005-0000-0000-000081010000}"/>
    <cellStyle name="Comma 2 3 4 2 4 2" xfId="389" xr:uid="{00000000-0005-0000-0000-000082010000}"/>
    <cellStyle name="Comma 2 3 4 2 4 2 2" xfId="390" xr:uid="{00000000-0005-0000-0000-000083010000}"/>
    <cellStyle name="Comma 2 3 4 2 4 2 3" xfId="391" xr:uid="{00000000-0005-0000-0000-000084010000}"/>
    <cellStyle name="Comma 2 3 4 2 4 2 4" xfId="392" xr:uid="{00000000-0005-0000-0000-000085010000}"/>
    <cellStyle name="Comma 2 3 4 2 4 3" xfId="393" xr:uid="{00000000-0005-0000-0000-000086010000}"/>
    <cellStyle name="Comma 2 3 4 2 4 4" xfId="394" xr:uid="{00000000-0005-0000-0000-000087010000}"/>
    <cellStyle name="Comma 2 3 4 2 4 5" xfId="395" xr:uid="{00000000-0005-0000-0000-000088010000}"/>
    <cellStyle name="Comma 2 3 4 2 5" xfId="396" xr:uid="{00000000-0005-0000-0000-000089010000}"/>
    <cellStyle name="Comma 2 3 4 2 5 2" xfId="397" xr:uid="{00000000-0005-0000-0000-00008A010000}"/>
    <cellStyle name="Comma 2 3 4 2 5 3" xfId="398" xr:uid="{00000000-0005-0000-0000-00008B010000}"/>
    <cellStyle name="Comma 2 3 4 2 5 4" xfId="399" xr:uid="{00000000-0005-0000-0000-00008C010000}"/>
    <cellStyle name="Comma 2 3 4 2 6" xfId="400" xr:uid="{00000000-0005-0000-0000-00008D010000}"/>
    <cellStyle name="Comma 2 3 4 2 6 2" xfId="401" xr:uid="{00000000-0005-0000-0000-00008E010000}"/>
    <cellStyle name="Comma 2 3 4 2 6 3" xfId="402" xr:uid="{00000000-0005-0000-0000-00008F010000}"/>
    <cellStyle name="Comma 2 3 4 2 6 4" xfId="403" xr:uid="{00000000-0005-0000-0000-000090010000}"/>
    <cellStyle name="Comma 2 3 4 2 7" xfId="404" xr:uid="{00000000-0005-0000-0000-000091010000}"/>
    <cellStyle name="Comma 2 3 4 2 8" xfId="405" xr:uid="{00000000-0005-0000-0000-000092010000}"/>
    <cellStyle name="Comma 2 3 4 2 9" xfId="406" xr:uid="{00000000-0005-0000-0000-000093010000}"/>
    <cellStyle name="Comma 2 3 4 3" xfId="407" xr:uid="{00000000-0005-0000-0000-000094010000}"/>
    <cellStyle name="Comma 2 3 5" xfId="408" xr:uid="{00000000-0005-0000-0000-000095010000}"/>
    <cellStyle name="Comma 2 3 5 2" xfId="409" xr:uid="{00000000-0005-0000-0000-000096010000}"/>
    <cellStyle name="Comma 2 3 6" xfId="410" xr:uid="{00000000-0005-0000-0000-000097010000}"/>
    <cellStyle name="Comma 2 3 6 2" xfId="411" xr:uid="{00000000-0005-0000-0000-000098010000}"/>
    <cellStyle name="Comma 2 3 7" xfId="412" xr:uid="{00000000-0005-0000-0000-000099010000}"/>
    <cellStyle name="Comma 2 4" xfId="413" xr:uid="{00000000-0005-0000-0000-00009A010000}"/>
    <cellStyle name="Comma 2 4 2" xfId="414" xr:uid="{00000000-0005-0000-0000-00009B010000}"/>
    <cellStyle name="Comma 2 4 2 10" xfId="415" xr:uid="{00000000-0005-0000-0000-00009C010000}"/>
    <cellStyle name="Comma 2 4 2 2" xfId="416" xr:uid="{00000000-0005-0000-0000-00009D010000}"/>
    <cellStyle name="Comma 2 4 2 2 2" xfId="417" xr:uid="{00000000-0005-0000-0000-00009E010000}"/>
    <cellStyle name="Comma 2 4 2 2 2 2" xfId="418" xr:uid="{00000000-0005-0000-0000-00009F010000}"/>
    <cellStyle name="Comma 2 4 2 2 2 3" xfId="419" xr:uid="{00000000-0005-0000-0000-0000A0010000}"/>
    <cellStyle name="Comma 2 4 2 2 2 4" xfId="420" xr:uid="{00000000-0005-0000-0000-0000A1010000}"/>
    <cellStyle name="Comma 2 4 2 2 3" xfId="421" xr:uid="{00000000-0005-0000-0000-0000A2010000}"/>
    <cellStyle name="Comma 2 4 2 2 4" xfId="422" xr:uid="{00000000-0005-0000-0000-0000A3010000}"/>
    <cellStyle name="Comma 2 4 2 2 5" xfId="423" xr:uid="{00000000-0005-0000-0000-0000A4010000}"/>
    <cellStyle name="Comma 2 4 2 3" xfId="424" xr:uid="{00000000-0005-0000-0000-0000A5010000}"/>
    <cellStyle name="Comma 2 4 2 3 2" xfId="425" xr:uid="{00000000-0005-0000-0000-0000A6010000}"/>
    <cellStyle name="Comma 2 4 2 3 2 2" xfId="426" xr:uid="{00000000-0005-0000-0000-0000A7010000}"/>
    <cellStyle name="Comma 2 4 2 3 2 3" xfId="427" xr:uid="{00000000-0005-0000-0000-0000A8010000}"/>
    <cellStyle name="Comma 2 4 2 3 2 4" xfId="428" xr:uid="{00000000-0005-0000-0000-0000A9010000}"/>
    <cellStyle name="Comma 2 4 2 3 3" xfId="429" xr:uid="{00000000-0005-0000-0000-0000AA010000}"/>
    <cellStyle name="Comma 2 4 2 3 4" xfId="430" xr:uid="{00000000-0005-0000-0000-0000AB010000}"/>
    <cellStyle name="Comma 2 4 2 3 5" xfId="431" xr:uid="{00000000-0005-0000-0000-0000AC010000}"/>
    <cellStyle name="Comma 2 4 2 4" xfId="432" xr:uid="{00000000-0005-0000-0000-0000AD010000}"/>
    <cellStyle name="Comma 2 4 2 4 2" xfId="433" xr:uid="{00000000-0005-0000-0000-0000AE010000}"/>
    <cellStyle name="Comma 2 4 2 4 2 2" xfId="434" xr:uid="{00000000-0005-0000-0000-0000AF010000}"/>
    <cellStyle name="Comma 2 4 2 4 2 3" xfId="435" xr:uid="{00000000-0005-0000-0000-0000B0010000}"/>
    <cellStyle name="Comma 2 4 2 4 2 4" xfId="436" xr:uid="{00000000-0005-0000-0000-0000B1010000}"/>
    <cellStyle name="Comma 2 4 2 4 3" xfId="437" xr:uid="{00000000-0005-0000-0000-0000B2010000}"/>
    <cellStyle name="Comma 2 4 2 4 4" xfId="438" xr:uid="{00000000-0005-0000-0000-0000B3010000}"/>
    <cellStyle name="Comma 2 4 2 4 5" xfId="439" xr:uid="{00000000-0005-0000-0000-0000B4010000}"/>
    <cellStyle name="Comma 2 4 2 5" xfId="440" xr:uid="{00000000-0005-0000-0000-0000B5010000}"/>
    <cellStyle name="Comma 2 4 2 5 2" xfId="441" xr:uid="{00000000-0005-0000-0000-0000B6010000}"/>
    <cellStyle name="Comma 2 4 2 5 3" xfId="442" xr:uid="{00000000-0005-0000-0000-0000B7010000}"/>
    <cellStyle name="Comma 2 4 2 5 4" xfId="443" xr:uid="{00000000-0005-0000-0000-0000B8010000}"/>
    <cellStyle name="Comma 2 4 2 6" xfId="444" xr:uid="{00000000-0005-0000-0000-0000B9010000}"/>
    <cellStyle name="Comma 2 4 2 6 2" xfId="445" xr:uid="{00000000-0005-0000-0000-0000BA010000}"/>
    <cellStyle name="Comma 2 4 2 6 3" xfId="446" xr:uid="{00000000-0005-0000-0000-0000BB010000}"/>
    <cellStyle name="Comma 2 4 2 6 4" xfId="447" xr:uid="{00000000-0005-0000-0000-0000BC010000}"/>
    <cellStyle name="Comma 2 4 2 7" xfId="448" xr:uid="{00000000-0005-0000-0000-0000BD010000}"/>
    <cellStyle name="Comma 2 4 2 8" xfId="449" xr:uid="{00000000-0005-0000-0000-0000BE010000}"/>
    <cellStyle name="Comma 2 4 2 9" xfId="450" xr:uid="{00000000-0005-0000-0000-0000BF010000}"/>
    <cellStyle name="Comma 2 4 3" xfId="451" xr:uid="{00000000-0005-0000-0000-0000C0010000}"/>
    <cellStyle name="Comma 2 4 4" xfId="452" xr:uid="{00000000-0005-0000-0000-0000C1010000}"/>
    <cellStyle name="Comma 2 5" xfId="453" xr:uid="{00000000-0005-0000-0000-0000C2010000}"/>
    <cellStyle name="Comma 2 5 2" xfId="454" xr:uid="{00000000-0005-0000-0000-0000C3010000}"/>
    <cellStyle name="Comma 2 5 3" xfId="455" xr:uid="{00000000-0005-0000-0000-0000C4010000}"/>
    <cellStyle name="Comma 2 5 4" xfId="456" xr:uid="{00000000-0005-0000-0000-0000C5010000}"/>
    <cellStyle name="Comma 2 5 5" xfId="457" xr:uid="{00000000-0005-0000-0000-0000C6010000}"/>
    <cellStyle name="Comma 2 6" xfId="458" xr:uid="{00000000-0005-0000-0000-0000C7010000}"/>
    <cellStyle name="Comma 2 6 2" xfId="459" xr:uid="{00000000-0005-0000-0000-0000C8010000}"/>
    <cellStyle name="Comma 2 7" xfId="460" xr:uid="{00000000-0005-0000-0000-0000C9010000}"/>
    <cellStyle name="Comma 2 7 2" xfId="461" xr:uid="{00000000-0005-0000-0000-0000CA010000}"/>
    <cellStyle name="Comma 2 8" xfId="462" xr:uid="{00000000-0005-0000-0000-0000CB010000}"/>
    <cellStyle name="Comma 2 8 2" xfId="463" xr:uid="{00000000-0005-0000-0000-0000CC010000}"/>
    <cellStyle name="Comma 2 9" xfId="464" xr:uid="{00000000-0005-0000-0000-0000CD010000}"/>
    <cellStyle name="Comma 3" xfId="465" xr:uid="{00000000-0005-0000-0000-0000CE010000}"/>
    <cellStyle name="Comma 3 2" xfId="466" xr:uid="{00000000-0005-0000-0000-0000CF010000}"/>
    <cellStyle name="Comma 3 2 2" xfId="467" xr:uid="{00000000-0005-0000-0000-0000D0010000}"/>
    <cellStyle name="Comma 3 2 2 10" xfId="468" xr:uid="{00000000-0005-0000-0000-0000D1010000}"/>
    <cellStyle name="Comma 3 2 2 2" xfId="469" xr:uid="{00000000-0005-0000-0000-0000D2010000}"/>
    <cellStyle name="Comma 3 2 2 2 2" xfId="470" xr:uid="{00000000-0005-0000-0000-0000D3010000}"/>
    <cellStyle name="Comma 3 2 2 2 2 2" xfId="471" xr:uid="{00000000-0005-0000-0000-0000D4010000}"/>
    <cellStyle name="Comma 3 2 2 2 2 2 2" xfId="472" xr:uid="{00000000-0005-0000-0000-0000D5010000}"/>
    <cellStyle name="Comma 3 2 2 2 2 2 3" xfId="473" xr:uid="{00000000-0005-0000-0000-0000D6010000}"/>
    <cellStyle name="Comma 3 2 2 2 2 2 4" xfId="474" xr:uid="{00000000-0005-0000-0000-0000D7010000}"/>
    <cellStyle name="Comma 3 2 2 2 2 3" xfId="475" xr:uid="{00000000-0005-0000-0000-0000D8010000}"/>
    <cellStyle name="Comma 3 2 2 2 2 4" xfId="476" xr:uid="{00000000-0005-0000-0000-0000D9010000}"/>
    <cellStyle name="Comma 3 2 2 2 2 5" xfId="477" xr:uid="{00000000-0005-0000-0000-0000DA010000}"/>
    <cellStyle name="Comma 3 2 2 2 3" xfId="478" xr:uid="{00000000-0005-0000-0000-0000DB010000}"/>
    <cellStyle name="Comma 3 2 2 2 3 2" xfId="479" xr:uid="{00000000-0005-0000-0000-0000DC010000}"/>
    <cellStyle name="Comma 3 2 2 2 3 2 2" xfId="480" xr:uid="{00000000-0005-0000-0000-0000DD010000}"/>
    <cellStyle name="Comma 3 2 2 2 3 2 3" xfId="481" xr:uid="{00000000-0005-0000-0000-0000DE010000}"/>
    <cellStyle name="Comma 3 2 2 2 3 2 4" xfId="482" xr:uid="{00000000-0005-0000-0000-0000DF010000}"/>
    <cellStyle name="Comma 3 2 2 2 3 3" xfId="483" xr:uid="{00000000-0005-0000-0000-0000E0010000}"/>
    <cellStyle name="Comma 3 2 2 2 3 4" xfId="484" xr:uid="{00000000-0005-0000-0000-0000E1010000}"/>
    <cellStyle name="Comma 3 2 2 2 3 5" xfId="485" xr:uid="{00000000-0005-0000-0000-0000E2010000}"/>
    <cellStyle name="Comma 3 2 2 2 4" xfId="486" xr:uid="{00000000-0005-0000-0000-0000E3010000}"/>
    <cellStyle name="Comma 3 2 2 2 4 2" xfId="487" xr:uid="{00000000-0005-0000-0000-0000E4010000}"/>
    <cellStyle name="Comma 3 2 2 2 4 2 2" xfId="488" xr:uid="{00000000-0005-0000-0000-0000E5010000}"/>
    <cellStyle name="Comma 3 2 2 2 4 2 3" xfId="489" xr:uid="{00000000-0005-0000-0000-0000E6010000}"/>
    <cellStyle name="Comma 3 2 2 2 4 2 4" xfId="490" xr:uid="{00000000-0005-0000-0000-0000E7010000}"/>
    <cellStyle name="Comma 3 2 2 2 4 3" xfId="491" xr:uid="{00000000-0005-0000-0000-0000E8010000}"/>
    <cellStyle name="Comma 3 2 2 2 4 4" xfId="492" xr:uid="{00000000-0005-0000-0000-0000E9010000}"/>
    <cellStyle name="Comma 3 2 2 2 4 5" xfId="493" xr:uid="{00000000-0005-0000-0000-0000EA010000}"/>
    <cellStyle name="Comma 3 2 2 2 5" xfId="494" xr:uid="{00000000-0005-0000-0000-0000EB010000}"/>
    <cellStyle name="Comma 3 2 2 2 5 2" xfId="495" xr:uid="{00000000-0005-0000-0000-0000EC010000}"/>
    <cellStyle name="Comma 3 2 2 2 5 3" xfId="496" xr:uid="{00000000-0005-0000-0000-0000ED010000}"/>
    <cellStyle name="Comma 3 2 2 2 5 4" xfId="497" xr:uid="{00000000-0005-0000-0000-0000EE010000}"/>
    <cellStyle name="Comma 3 2 2 2 6" xfId="498" xr:uid="{00000000-0005-0000-0000-0000EF010000}"/>
    <cellStyle name="Comma 3 2 2 2 6 2" xfId="499" xr:uid="{00000000-0005-0000-0000-0000F0010000}"/>
    <cellStyle name="Comma 3 2 2 2 6 3" xfId="500" xr:uid="{00000000-0005-0000-0000-0000F1010000}"/>
    <cellStyle name="Comma 3 2 2 2 6 4" xfId="501" xr:uid="{00000000-0005-0000-0000-0000F2010000}"/>
    <cellStyle name="Comma 3 2 2 2 7" xfId="502" xr:uid="{00000000-0005-0000-0000-0000F3010000}"/>
    <cellStyle name="Comma 3 2 2 2 8" xfId="503" xr:uid="{00000000-0005-0000-0000-0000F4010000}"/>
    <cellStyle name="Comma 3 2 2 2 9" xfId="504" xr:uid="{00000000-0005-0000-0000-0000F5010000}"/>
    <cellStyle name="Comma 3 2 2 3" xfId="505" xr:uid="{00000000-0005-0000-0000-0000F6010000}"/>
    <cellStyle name="Comma 3 2 2 3 2" xfId="506" xr:uid="{00000000-0005-0000-0000-0000F7010000}"/>
    <cellStyle name="Comma 3 2 2 3 2 2" xfId="507" xr:uid="{00000000-0005-0000-0000-0000F8010000}"/>
    <cellStyle name="Comma 3 2 2 3 2 3" xfId="508" xr:uid="{00000000-0005-0000-0000-0000F9010000}"/>
    <cellStyle name="Comma 3 2 2 3 2 4" xfId="509" xr:uid="{00000000-0005-0000-0000-0000FA010000}"/>
    <cellStyle name="Comma 3 2 2 3 3" xfId="510" xr:uid="{00000000-0005-0000-0000-0000FB010000}"/>
    <cellStyle name="Comma 3 2 2 3 4" xfId="511" xr:uid="{00000000-0005-0000-0000-0000FC010000}"/>
    <cellStyle name="Comma 3 2 2 3 5" xfId="512" xr:uid="{00000000-0005-0000-0000-0000FD010000}"/>
    <cellStyle name="Comma 3 2 2 4" xfId="513" xr:uid="{00000000-0005-0000-0000-0000FE010000}"/>
    <cellStyle name="Comma 3 2 2 4 2" xfId="514" xr:uid="{00000000-0005-0000-0000-0000FF010000}"/>
    <cellStyle name="Comma 3 2 2 4 2 2" xfId="515" xr:uid="{00000000-0005-0000-0000-000000020000}"/>
    <cellStyle name="Comma 3 2 2 4 2 3" xfId="516" xr:uid="{00000000-0005-0000-0000-000001020000}"/>
    <cellStyle name="Comma 3 2 2 4 2 4" xfId="517" xr:uid="{00000000-0005-0000-0000-000002020000}"/>
    <cellStyle name="Comma 3 2 2 4 3" xfId="518" xr:uid="{00000000-0005-0000-0000-000003020000}"/>
    <cellStyle name="Comma 3 2 2 4 4" xfId="519" xr:uid="{00000000-0005-0000-0000-000004020000}"/>
    <cellStyle name="Comma 3 2 2 4 5" xfId="520" xr:uid="{00000000-0005-0000-0000-000005020000}"/>
    <cellStyle name="Comma 3 2 2 5" xfId="521" xr:uid="{00000000-0005-0000-0000-000006020000}"/>
    <cellStyle name="Comma 3 2 2 5 2" xfId="522" xr:uid="{00000000-0005-0000-0000-000007020000}"/>
    <cellStyle name="Comma 3 2 2 5 2 2" xfId="523" xr:uid="{00000000-0005-0000-0000-000008020000}"/>
    <cellStyle name="Comma 3 2 2 5 2 3" xfId="524" xr:uid="{00000000-0005-0000-0000-000009020000}"/>
    <cellStyle name="Comma 3 2 2 5 2 4" xfId="525" xr:uid="{00000000-0005-0000-0000-00000A020000}"/>
    <cellStyle name="Comma 3 2 2 5 3" xfId="526" xr:uid="{00000000-0005-0000-0000-00000B020000}"/>
    <cellStyle name="Comma 3 2 2 5 4" xfId="527" xr:uid="{00000000-0005-0000-0000-00000C020000}"/>
    <cellStyle name="Comma 3 2 2 5 5" xfId="528" xr:uid="{00000000-0005-0000-0000-00000D020000}"/>
    <cellStyle name="Comma 3 2 2 6" xfId="529" xr:uid="{00000000-0005-0000-0000-00000E020000}"/>
    <cellStyle name="Comma 3 2 2 6 2" xfId="530" xr:uid="{00000000-0005-0000-0000-00000F020000}"/>
    <cellStyle name="Comma 3 2 2 6 3" xfId="531" xr:uid="{00000000-0005-0000-0000-000010020000}"/>
    <cellStyle name="Comma 3 2 2 6 4" xfId="532" xr:uid="{00000000-0005-0000-0000-000011020000}"/>
    <cellStyle name="Comma 3 2 2 7" xfId="533" xr:uid="{00000000-0005-0000-0000-000012020000}"/>
    <cellStyle name="Comma 3 2 2 7 2" xfId="534" xr:uid="{00000000-0005-0000-0000-000013020000}"/>
    <cellStyle name="Comma 3 2 2 7 3" xfId="535" xr:uid="{00000000-0005-0000-0000-000014020000}"/>
    <cellStyle name="Comma 3 2 2 7 4" xfId="536" xr:uid="{00000000-0005-0000-0000-000015020000}"/>
    <cellStyle name="Comma 3 2 2 8" xfId="537" xr:uid="{00000000-0005-0000-0000-000016020000}"/>
    <cellStyle name="Comma 3 2 2 9" xfId="538" xr:uid="{00000000-0005-0000-0000-000017020000}"/>
    <cellStyle name="Comma 3 2 3" xfId="539" xr:uid="{00000000-0005-0000-0000-000018020000}"/>
    <cellStyle name="Comma 3 2 3 10" xfId="540" xr:uid="{00000000-0005-0000-0000-000019020000}"/>
    <cellStyle name="Comma 3 2 3 2" xfId="541" xr:uid="{00000000-0005-0000-0000-00001A020000}"/>
    <cellStyle name="Comma 3 2 3 2 2" xfId="542" xr:uid="{00000000-0005-0000-0000-00001B020000}"/>
    <cellStyle name="Comma 3 2 3 2 2 2" xfId="543" xr:uid="{00000000-0005-0000-0000-00001C020000}"/>
    <cellStyle name="Comma 3 2 3 2 2 3" xfId="544" xr:uid="{00000000-0005-0000-0000-00001D020000}"/>
    <cellStyle name="Comma 3 2 3 2 2 4" xfId="545" xr:uid="{00000000-0005-0000-0000-00001E020000}"/>
    <cellStyle name="Comma 3 2 3 2 3" xfId="546" xr:uid="{00000000-0005-0000-0000-00001F020000}"/>
    <cellStyle name="Comma 3 2 3 2 4" xfId="547" xr:uid="{00000000-0005-0000-0000-000020020000}"/>
    <cellStyle name="Comma 3 2 3 2 5" xfId="548" xr:uid="{00000000-0005-0000-0000-000021020000}"/>
    <cellStyle name="Comma 3 2 3 3" xfId="549" xr:uid="{00000000-0005-0000-0000-000022020000}"/>
    <cellStyle name="Comma 3 2 3 3 2" xfId="550" xr:uid="{00000000-0005-0000-0000-000023020000}"/>
    <cellStyle name="Comma 3 2 3 3 2 2" xfId="551" xr:uid="{00000000-0005-0000-0000-000024020000}"/>
    <cellStyle name="Comma 3 2 3 3 2 3" xfId="552" xr:uid="{00000000-0005-0000-0000-000025020000}"/>
    <cellStyle name="Comma 3 2 3 3 2 4" xfId="553" xr:uid="{00000000-0005-0000-0000-000026020000}"/>
    <cellStyle name="Comma 3 2 3 3 3" xfId="554" xr:uid="{00000000-0005-0000-0000-000027020000}"/>
    <cellStyle name="Comma 3 2 3 3 4" xfId="555" xr:uid="{00000000-0005-0000-0000-000028020000}"/>
    <cellStyle name="Comma 3 2 3 3 5" xfId="556" xr:uid="{00000000-0005-0000-0000-000029020000}"/>
    <cellStyle name="Comma 3 2 3 4" xfId="557" xr:uid="{00000000-0005-0000-0000-00002A020000}"/>
    <cellStyle name="Comma 3 2 3 4 2" xfId="558" xr:uid="{00000000-0005-0000-0000-00002B020000}"/>
    <cellStyle name="Comma 3 2 3 4 2 2" xfId="559" xr:uid="{00000000-0005-0000-0000-00002C020000}"/>
    <cellStyle name="Comma 3 2 3 4 2 3" xfId="560" xr:uid="{00000000-0005-0000-0000-00002D020000}"/>
    <cellStyle name="Comma 3 2 3 4 2 4" xfId="561" xr:uid="{00000000-0005-0000-0000-00002E020000}"/>
    <cellStyle name="Comma 3 2 3 4 3" xfId="562" xr:uid="{00000000-0005-0000-0000-00002F020000}"/>
    <cellStyle name="Comma 3 2 3 4 4" xfId="563" xr:uid="{00000000-0005-0000-0000-000030020000}"/>
    <cellStyle name="Comma 3 2 3 4 5" xfId="564" xr:uid="{00000000-0005-0000-0000-000031020000}"/>
    <cellStyle name="Comma 3 2 3 5" xfId="565" xr:uid="{00000000-0005-0000-0000-000032020000}"/>
    <cellStyle name="Comma 3 2 3 5 2" xfId="566" xr:uid="{00000000-0005-0000-0000-000033020000}"/>
    <cellStyle name="Comma 3 2 3 5 3" xfId="567" xr:uid="{00000000-0005-0000-0000-000034020000}"/>
    <cellStyle name="Comma 3 2 3 5 4" xfId="568" xr:uid="{00000000-0005-0000-0000-000035020000}"/>
    <cellStyle name="Comma 3 2 3 6" xfId="569" xr:uid="{00000000-0005-0000-0000-000036020000}"/>
    <cellStyle name="Comma 3 2 3 6 2" xfId="570" xr:uid="{00000000-0005-0000-0000-000037020000}"/>
    <cellStyle name="Comma 3 2 3 6 3" xfId="571" xr:uid="{00000000-0005-0000-0000-000038020000}"/>
    <cellStyle name="Comma 3 2 3 6 4" xfId="572" xr:uid="{00000000-0005-0000-0000-000039020000}"/>
    <cellStyle name="Comma 3 2 3 7" xfId="573" xr:uid="{00000000-0005-0000-0000-00003A020000}"/>
    <cellStyle name="Comma 3 2 3 8" xfId="574" xr:uid="{00000000-0005-0000-0000-00003B020000}"/>
    <cellStyle name="Comma 3 2 3 9" xfId="575" xr:uid="{00000000-0005-0000-0000-00003C020000}"/>
    <cellStyle name="Comma 3 2 4" xfId="576" xr:uid="{00000000-0005-0000-0000-00003D020000}"/>
    <cellStyle name="Comma 3 2 5" xfId="577" xr:uid="{00000000-0005-0000-0000-00003E020000}"/>
    <cellStyle name="Comma 3 3" xfId="578" xr:uid="{00000000-0005-0000-0000-00003F020000}"/>
    <cellStyle name="Comma 3 3 2" xfId="579" xr:uid="{00000000-0005-0000-0000-000040020000}"/>
    <cellStyle name="Comma 3 3 2 10" xfId="580" xr:uid="{00000000-0005-0000-0000-000041020000}"/>
    <cellStyle name="Comma 3 3 2 11" xfId="581" xr:uid="{00000000-0005-0000-0000-000042020000}"/>
    <cellStyle name="Comma 3 3 2 2" xfId="582" xr:uid="{00000000-0005-0000-0000-000043020000}"/>
    <cellStyle name="Comma 3 3 2 2 2" xfId="583" xr:uid="{00000000-0005-0000-0000-000044020000}"/>
    <cellStyle name="Comma 3 3 2 2 2 2" xfId="584" xr:uid="{00000000-0005-0000-0000-000045020000}"/>
    <cellStyle name="Comma 3 3 2 2 2 2 2" xfId="585" xr:uid="{00000000-0005-0000-0000-000046020000}"/>
    <cellStyle name="Comma 3 3 2 2 2 2 3" xfId="586" xr:uid="{00000000-0005-0000-0000-000047020000}"/>
    <cellStyle name="Comma 3 3 2 2 2 2 4" xfId="587" xr:uid="{00000000-0005-0000-0000-000048020000}"/>
    <cellStyle name="Comma 3 3 2 2 2 3" xfId="588" xr:uid="{00000000-0005-0000-0000-000049020000}"/>
    <cellStyle name="Comma 3 3 2 2 2 4" xfId="589" xr:uid="{00000000-0005-0000-0000-00004A020000}"/>
    <cellStyle name="Comma 3 3 2 2 2 5" xfId="590" xr:uid="{00000000-0005-0000-0000-00004B020000}"/>
    <cellStyle name="Comma 3 3 2 2 3" xfId="591" xr:uid="{00000000-0005-0000-0000-00004C020000}"/>
    <cellStyle name="Comma 3 3 2 2 3 2" xfId="592" xr:uid="{00000000-0005-0000-0000-00004D020000}"/>
    <cellStyle name="Comma 3 3 2 2 3 2 2" xfId="593" xr:uid="{00000000-0005-0000-0000-00004E020000}"/>
    <cellStyle name="Comma 3 3 2 2 3 2 3" xfId="594" xr:uid="{00000000-0005-0000-0000-00004F020000}"/>
    <cellStyle name="Comma 3 3 2 2 3 2 4" xfId="595" xr:uid="{00000000-0005-0000-0000-000050020000}"/>
    <cellStyle name="Comma 3 3 2 2 3 3" xfId="596" xr:uid="{00000000-0005-0000-0000-000051020000}"/>
    <cellStyle name="Comma 3 3 2 2 3 4" xfId="597" xr:uid="{00000000-0005-0000-0000-000052020000}"/>
    <cellStyle name="Comma 3 3 2 2 3 5" xfId="598" xr:uid="{00000000-0005-0000-0000-000053020000}"/>
    <cellStyle name="Comma 3 3 2 2 4" xfId="599" xr:uid="{00000000-0005-0000-0000-000054020000}"/>
    <cellStyle name="Comma 3 3 2 2 4 2" xfId="600" xr:uid="{00000000-0005-0000-0000-000055020000}"/>
    <cellStyle name="Comma 3 3 2 2 4 2 2" xfId="601" xr:uid="{00000000-0005-0000-0000-000056020000}"/>
    <cellStyle name="Comma 3 3 2 2 4 2 3" xfId="602" xr:uid="{00000000-0005-0000-0000-000057020000}"/>
    <cellStyle name="Comma 3 3 2 2 4 2 4" xfId="603" xr:uid="{00000000-0005-0000-0000-000058020000}"/>
    <cellStyle name="Comma 3 3 2 2 4 3" xfId="604" xr:uid="{00000000-0005-0000-0000-000059020000}"/>
    <cellStyle name="Comma 3 3 2 2 4 4" xfId="605" xr:uid="{00000000-0005-0000-0000-00005A020000}"/>
    <cellStyle name="Comma 3 3 2 2 4 5" xfId="606" xr:uid="{00000000-0005-0000-0000-00005B020000}"/>
    <cellStyle name="Comma 3 3 2 2 5" xfId="607" xr:uid="{00000000-0005-0000-0000-00005C020000}"/>
    <cellStyle name="Comma 3 3 2 2 5 2" xfId="608" xr:uid="{00000000-0005-0000-0000-00005D020000}"/>
    <cellStyle name="Comma 3 3 2 2 5 3" xfId="609" xr:uid="{00000000-0005-0000-0000-00005E020000}"/>
    <cellStyle name="Comma 3 3 2 2 5 4" xfId="610" xr:uid="{00000000-0005-0000-0000-00005F020000}"/>
    <cellStyle name="Comma 3 3 2 2 6" xfId="611" xr:uid="{00000000-0005-0000-0000-000060020000}"/>
    <cellStyle name="Comma 3 3 2 2 6 2" xfId="612" xr:uid="{00000000-0005-0000-0000-000061020000}"/>
    <cellStyle name="Comma 3 3 2 2 6 3" xfId="613" xr:uid="{00000000-0005-0000-0000-000062020000}"/>
    <cellStyle name="Comma 3 3 2 2 6 4" xfId="614" xr:uid="{00000000-0005-0000-0000-000063020000}"/>
    <cellStyle name="Comma 3 3 2 2 7" xfId="615" xr:uid="{00000000-0005-0000-0000-000064020000}"/>
    <cellStyle name="Comma 3 3 2 2 8" xfId="616" xr:uid="{00000000-0005-0000-0000-000065020000}"/>
    <cellStyle name="Comma 3 3 2 2 9" xfId="617" xr:uid="{00000000-0005-0000-0000-000066020000}"/>
    <cellStyle name="Comma 3 3 2 3" xfId="618" xr:uid="{00000000-0005-0000-0000-000067020000}"/>
    <cellStyle name="Comma 3 3 2 3 2" xfId="619" xr:uid="{00000000-0005-0000-0000-000068020000}"/>
    <cellStyle name="Comma 3 3 2 3 2 2" xfId="620" xr:uid="{00000000-0005-0000-0000-000069020000}"/>
    <cellStyle name="Comma 3 3 2 3 2 3" xfId="621" xr:uid="{00000000-0005-0000-0000-00006A020000}"/>
    <cellStyle name="Comma 3 3 2 3 2 4" xfId="622" xr:uid="{00000000-0005-0000-0000-00006B020000}"/>
    <cellStyle name="Comma 3 3 2 3 3" xfId="623" xr:uid="{00000000-0005-0000-0000-00006C020000}"/>
    <cellStyle name="Comma 3 3 2 3 4" xfId="624" xr:uid="{00000000-0005-0000-0000-00006D020000}"/>
    <cellStyle name="Comma 3 3 2 3 5" xfId="625" xr:uid="{00000000-0005-0000-0000-00006E020000}"/>
    <cellStyle name="Comma 3 3 2 4" xfId="626" xr:uid="{00000000-0005-0000-0000-00006F020000}"/>
    <cellStyle name="Comma 3 3 2 4 2" xfId="627" xr:uid="{00000000-0005-0000-0000-000070020000}"/>
    <cellStyle name="Comma 3 3 2 4 2 2" xfId="628" xr:uid="{00000000-0005-0000-0000-000071020000}"/>
    <cellStyle name="Comma 3 3 2 4 2 3" xfId="629" xr:uid="{00000000-0005-0000-0000-000072020000}"/>
    <cellStyle name="Comma 3 3 2 4 2 4" xfId="630" xr:uid="{00000000-0005-0000-0000-000073020000}"/>
    <cellStyle name="Comma 3 3 2 4 3" xfId="631" xr:uid="{00000000-0005-0000-0000-000074020000}"/>
    <cellStyle name="Comma 3 3 2 4 4" xfId="632" xr:uid="{00000000-0005-0000-0000-000075020000}"/>
    <cellStyle name="Comma 3 3 2 4 5" xfId="633" xr:uid="{00000000-0005-0000-0000-000076020000}"/>
    <cellStyle name="Comma 3 3 2 5" xfId="634" xr:uid="{00000000-0005-0000-0000-000077020000}"/>
    <cellStyle name="Comma 3 3 2 5 2" xfId="635" xr:uid="{00000000-0005-0000-0000-000078020000}"/>
    <cellStyle name="Comma 3 3 2 5 2 2" xfId="636" xr:uid="{00000000-0005-0000-0000-000079020000}"/>
    <cellStyle name="Comma 3 3 2 5 2 3" xfId="637" xr:uid="{00000000-0005-0000-0000-00007A020000}"/>
    <cellStyle name="Comma 3 3 2 5 2 4" xfId="638" xr:uid="{00000000-0005-0000-0000-00007B020000}"/>
    <cellStyle name="Comma 3 3 2 5 3" xfId="639" xr:uid="{00000000-0005-0000-0000-00007C020000}"/>
    <cellStyle name="Comma 3 3 2 5 4" xfId="640" xr:uid="{00000000-0005-0000-0000-00007D020000}"/>
    <cellStyle name="Comma 3 3 2 5 5" xfId="641" xr:uid="{00000000-0005-0000-0000-00007E020000}"/>
    <cellStyle name="Comma 3 3 2 6" xfId="642" xr:uid="{00000000-0005-0000-0000-00007F020000}"/>
    <cellStyle name="Comma 3 3 2 6 2" xfId="643" xr:uid="{00000000-0005-0000-0000-000080020000}"/>
    <cellStyle name="Comma 3 3 2 6 3" xfId="644" xr:uid="{00000000-0005-0000-0000-000081020000}"/>
    <cellStyle name="Comma 3 3 2 6 4" xfId="645" xr:uid="{00000000-0005-0000-0000-000082020000}"/>
    <cellStyle name="Comma 3 3 2 7" xfId="646" xr:uid="{00000000-0005-0000-0000-000083020000}"/>
    <cellStyle name="Comma 3 3 2 7 2" xfId="647" xr:uid="{00000000-0005-0000-0000-000084020000}"/>
    <cellStyle name="Comma 3 3 2 7 3" xfId="648" xr:uid="{00000000-0005-0000-0000-000085020000}"/>
    <cellStyle name="Comma 3 3 2 7 4" xfId="649" xr:uid="{00000000-0005-0000-0000-000086020000}"/>
    <cellStyle name="Comma 3 3 2 8" xfId="650" xr:uid="{00000000-0005-0000-0000-000087020000}"/>
    <cellStyle name="Comma 3 3 2 9" xfId="651" xr:uid="{00000000-0005-0000-0000-000088020000}"/>
    <cellStyle name="Comma 3 3 3" xfId="652" xr:uid="{00000000-0005-0000-0000-000089020000}"/>
    <cellStyle name="Comma 3 3 3 2" xfId="653" xr:uid="{00000000-0005-0000-0000-00008A020000}"/>
    <cellStyle name="Comma 3 3 3 2 2" xfId="654" xr:uid="{00000000-0005-0000-0000-00008B020000}"/>
    <cellStyle name="Comma 3 3 3 2 2 2" xfId="655" xr:uid="{00000000-0005-0000-0000-00008C020000}"/>
    <cellStyle name="Comma 3 3 3 2 2 3" xfId="656" xr:uid="{00000000-0005-0000-0000-00008D020000}"/>
    <cellStyle name="Comma 3 3 3 2 2 4" xfId="657" xr:uid="{00000000-0005-0000-0000-00008E020000}"/>
    <cellStyle name="Comma 3 3 3 2 3" xfId="658" xr:uid="{00000000-0005-0000-0000-00008F020000}"/>
    <cellStyle name="Comma 3 3 3 2 4" xfId="659" xr:uid="{00000000-0005-0000-0000-000090020000}"/>
    <cellStyle name="Comma 3 3 3 2 5" xfId="660" xr:uid="{00000000-0005-0000-0000-000091020000}"/>
    <cellStyle name="Comma 3 3 3 3" xfId="661" xr:uid="{00000000-0005-0000-0000-000092020000}"/>
    <cellStyle name="Comma 3 3 3 3 2" xfId="662" xr:uid="{00000000-0005-0000-0000-000093020000}"/>
    <cellStyle name="Comma 3 3 3 3 2 2" xfId="663" xr:uid="{00000000-0005-0000-0000-000094020000}"/>
    <cellStyle name="Comma 3 3 3 3 2 3" xfId="664" xr:uid="{00000000-0005-0000-0000-000095020000}"/>
    <cellStyle name="Comma 3 3 3 3 2 4" xfId="665" xr:uid="{00000000-0005-0000-0000-000096020000}"/>
    <cellStyle name="Comma 3 3 3 3 3" xfId="666" xr:uid="{00000000-0005-0000-0000-000097020000}"/>
    <cellStyle name="Comma 3 3 3 3 4" xfId="667" xr:uid="{00000000-0005-0000-0000-000098020000}"/>
    <cellStyle name="Comma 3 3 3 3 5" xfId="668" xr:uid="{00000000-0005-0000-0000-000099020000}"/>
    <cellStyle name="Comma 3 3 3 4" xfId="669" xr:uid="{00000000-0005-0000-0000-00009A020000}"/>
    <cellStyle name="Comma 3 3 3 4 2" xfId="670" xr:uid="{00000000-0005-0000-0000-00009B020000}"/>
    <cellStyle name="Comma 3 3 3 4 2 2" xfId="671" xr:uid="{00000000-0005-0000-0000-00009C020000}"/>
    <cellStyle name="Comma 3 3 3 4 2 3" xfId="672" xr:uid="{00000000-0005-0000-0000-00009D020000}"/>
    <cellStyle name="Comma 3 3 3 4 2 4" xfId="673" xr:uid="{00000000-0005-0000-0000-00009E020000}"/>
    <cellStyle name="Comma 3 3 3 4 3" xfId="674" xr:uid="{00000000-0005-0000-0000-00009F020000}"/>
    <cellStyle name="Comma 3 3 3 4 4" xfId="675" xr:uid="{00000000-0005-0000-0000-0000A0020000}"/>
    <cellStyle name="Comma 3 3 3 4 5" xfId="676" xr:uid="{00000000-0005-0000-0000-0000A1020000}"/>
    <cellStyle name="Comma 3 3 3 5" xfId="677" xr:uid="{00000000-0005-0000-0000-0000A2020000}"/>
    <cellStyle name="Comma 3 3 3 5 2" xfId="678" xr:uid="{00000000-0005-0000-0000-0000A3020000}"/>
    <cellStyle name="Comma 3 3 3 5 3" xfId="679" xr:uid="{00000000-0005-0000-0000-0000A4020000}"/>
    <cellStyle name="Comma 3 3 3 5 4" xfId="680" xr:uid="{00000000-0005-0000-0000-0000A5020000}"/>
    <cellStyle name="Comma 3 3 3 6" xfId="681" xr:uid="{00000000-0005-0000-0000-0000A6020000}"/>
    <cellStyle name="Comma 3 3 3 6 2" xfId="682" xr:uid="{00000000-0005-0000-0000-0000A7020000}"/>
    <cellStyle name="Comma 3 3 3 6 3" xfId="683" xr:uid="{00000000-0005-0000-0000-0000A8020000}"/>
    <cellStyle name="Comma 3 3 3 6 4" xfId="684" xr:uid="{00000000-0005-0000-0000-0000A9020000}"/>
    <cellStyle name="Comma 3 3 3 7" xfId="685" xr:uid="{00000000-0005-0000-0000-0000AA020000}"/>
    <cellStyle name="Comma 3 3 3 8" xfId="686" xr:uid="{00000000-0005-0000-0000-0000AB020000}"/>
    <cellStyle name="Comma 3 3 3 9" xfId="687" xr:uid="{00000000-0005-0000-0000-0000AC020000}"/>
    <cellStyle name="Comma 3 3 4" xfId="688" xr:uid="{00000000-0005-0000-0000-0000AD020000}"/>
    <cellStyle name="Comma 3 4" xfId="689" xr:uid="{00000000-0005-0000-0000-0000AE020000}"/>
    <cellStyle name="Comma 3 4 10" xfId="690" xr:uid="{00000000-0005-0000-0000-0000AF020000}"/>
    <cellStyle name="Comma 3 4 11" xfId="691" xr:uid="{00000000-0005-0000-0000-0000B0020000}"/>
    <cellStyle name="Comma 3 4 2" xfId="692" xr:uid="{00000000-0005-0000-0000-0000B1020000}"/>
    <cellStyle name="Comma 3 4 2 2" xfId="693" xr:uid="{00000000-0005-0000-0000-0000B2020000}"/>
    <cellStyle name="Comma 3 4 2 2 2" xfId="694" xr:uid="{00000000-0005-0000-0000-0000B3020000}"/>
    <cellStyle name="Comma 3 4 2 2 2 2" xfId="695" xr:uid="{00000000-0005-0000-0000-0000B4020000}"/>
    <cellStyle name="Comma 3 4 2 2 2 3" xfId="696" xr:uid="{00000000-0005-0000-0000-0000B5020000}"/>
    <cellStyle name="Comma 3 4 2 2 2 4" xfId="697" xr:uid="{00000000-0005-0000-0000-0000B6020000}"/>
    <cellStyle name="Comma 3 4 2 2 3" xfId="698" xr:uid="{00000000-0005-0000-0000-0000B7020000}"/>
    <cellStyle name="Comma 3 4 2 2 4" xfId="699" xr:uid="{00000000-0005-0000-0000-0000B8020000}"/>
    <cellStyle name="Comma 3 4 2 2 5" xfId="700" xr:uid="{00000000-0005-0000-0000-0000B9020000}"/>
    <cellStyle name="Comma 3 4 2 3" xfId="701" xr:uid="{00000000-0005-0000-0000-0000BA020000}"/>
    <cellStyle name="Comma 3 4 2 3 2" xfId="702" xr:uid="{00000000-0005-0000-0000-0000BB020000}"/>
    <cellStyle name="Comma 3 4 2 3 2 2" xfId="703" xr:uid="{00000000-0005-0000-0000-0000BC020000}"/>
    <cellStyle name="Comma 3 4 2 3 2 3" xfId="704" xr:uid="{00000000-0005-0000-0000-0000BD020000}"/>
    <cellStyle name="Comma 3 4 2 3 2 4" xfId="705" xr:uid="{00000000-0005-0000-0000-0000BE020000}"/>
    <cellStyle name="Comma 3 4 2 3 3" xfId="706" xr:uid="{00000000-0005-0000-0000-0000BF020000}"/>
    <cellStyle name="Comma 3 4 2 3 4" xfId="707" xr:uid="{00000000-0005-0000-0000-0000C0020000}"/>
    <cellStyle name="Comma 3 4 2 3 5" xfId="708" xr:uid="{00000000-0005-0000-0000-0000C1020000}"/>
    <cellStyle name="Comma 3 4 2 4" xfId="709" xr:uid="{00000000-0005-0000-0000-0000C2020000}"/>
    <cellStyle name="Comma 3 4 2 4 2" xfId="710" xr:uid="{00000000-0005-0000-0000-0000C3020000}"/>
    <cellStyle name="Comma 3 4 2 4 2 2" xfId="711" xr:uid="{00000000-0005-0000-0000-0000C4020000}"/>
    <cellStyle name="Comma 3 4 2 4 2 3" xfId="712" xr:uid="{00000000-0005-0000-0000-0000C5020000}"/>
    <cellStyle name="Comma 3 4 2 4 2 4" xfId="713" xr:uid="{00000000-0005-0000-0000-0000C6020000}"/>
    <cellStyle name="Comma 3 4 2 4 3" xfId="714" xr:uid="{00000000-0005-0000-0000-0000C7020000}"/>
    <cellStyle name="Comma 3 4 2 4 4" xfId="715" xr:uid="{00000000-0005-0000-0000-0000C8020000}"/>
    <cellStyle name="Comma 3 4 2 4 5" xfId="716" xr:uid="{00000000-0005-0000-0000-0000C9020000}"/>
    <cellStyle name="Comma 3 4 2 5" xfId="717" xr:uid="{00000000-0005-0000-0000-0000CA020000}"/>
    <cellStyle name="Comma 3 4 2 5 2" xfId="718" xr:uid="{00000000-0005-0000-0000-0000CB020000}"/>
    <cellStyle name="Comma 3 4 2 5 3" xfId="719" xr:uid="{00000000-0005-0000-0000-0000CC020000}"/>
    <cellStyle name="Comma 3 4 2 5 4" xfId="720" xr:uid="{00000000-0005-0000-0000-0000CD020000}"/>
    <cellStyle name="Comma 3 4 2 6" xfId="721" xr:uid="{00000000-0005-0000-0000-0000CE020000}"/>
    <cellStyle name="Comma 3 4 2 6 2" xfId="722" xr:uid="{00000000-0005-0000-0000-0000CF020000}"/>
    <cellStyle name="Comma 3 4 2 6 3" xfId="723" xr:uid="{00000000-0005-0000-0000-0000D0020000}"/>
    <cellStyle name="Comma 3 4 2 6 4" xfId="724" xr:uid="{00000000-0005-0000-0000-0000D1020000}"/>
    <cellStyle name="Comma 3 4 2 7" xfId="725" xr:uid="{00000000-0005-0000-0000-0000D2020000}"/>
    <cellStyle name="Comma 3 4 2 8" xfId="726" xr:uid="{00000000-0005-0000-0000-0000D3020000}"/>
    <cellStyle name="Comma 3 4 2 9" xfId="727" xr:uid="{00000000-0005-0000-0000-0000D4020000}"/>
    <cellStyle name="Comma 3 4 3" xfId="728" xr:uid="{00000000-0005-0000-0000-0000D5020000}"/>
    <cellStyle name="Comma 3 4 3 2" xfId="729" xr:uid="{00000000-0005-0000-0000-0000D6020000}"/>
    <cellStyle name="Comma 3 4 3 2 2" xfId="730" xr:uid="{00000000-0005-0000-0000-0000D7020000}"/>
    <cellStyle name="Comma 3 4 3 2 3" xfId="731" xr:uid="{00000000-0005-0000-0000-0000D8020000}"/>
    <cellStyle name="Comma 3 4 3 2 4" xfId="732" xr:uid="{00000000-0005-0000-0000-0000D9020000}"/>
    <cellStyle name="Comma 3 4 3 3" xfId="733" xr:uid="{00000000-0005-0000-0000-0000DA020000}"/>
    <cellStyle name="Comma 3 4 3 4" xfId="734" xr:uid="{00000000-0005-0000-0000-0000DB020000}"/>
    <cellStyle name="Comma 3 4 3 5" xfId="735" xr:uid="{00000000-0005-0000-0000-0000DC020000}"/>
    <cellStyle name="Comma 3 4 4" xfId="736" xr:uid="{00000000-0005-0000-0000-0000DD020000}"/>
    <cellStyle name="Comma 3 4 4 2" xfId="737" xr:uid="{00000000-0005-0000-0000-0000DE020000}"/>
    <cellStyle name="Comma 3 4 4 2 2" xfId="738" xr:uid="{00000000-0005-0000-0000-0000DF020000}"/>
    <cellStyle name="Comma 3 4 4 2 3" xfId="739" xr:uid="{00000000-0005-0000-0000-0000E0020000}"/>
    <cellStyle name="Comma 3 4 4 2 4" xfId="740" xr:uid="{00000000-0005-0000-0000-0000E1020000}"/>
    <cellStyle name="Comma 3 4 4 3" xfId="741" xr:uid="{00000000-0005-0000-0000-0000E2020000}"/>
    <cellStyle name="Comma 3 4 4 4" xfId="742" xr:uid="{00000000-0005-0000-0000-0000E3020000}"/>
    <cellStyle name="Comma 3 4 4 5" xfId="743" xr:uid="{00000000-0005-0000-0000-0000E4020000}"/>
    <cellStyle name="Comma 3 4 5" xfId="744" xr:uid="{00000000-0005-0000-0000-0000E5020000}"/>
    <cellStyle name="Comma 3 4 5 2" xfId="745" xr:uid="{00000000-0005-0000-0000-0000E6020000}"/>
    <cellStyle name="Comma 3 4 5 2 2" xfId="746" xr:uid="{00000000-0005-0000-0000-0000E7020000}"/>
    <cellStyle name="Comma 3 4 5 2 3" xfId="747" xr:uid="{00000000-0005-0000-0000-0000E8020000}"/>
    <cellStyle name="Comma 3 4 5 2 4" xfId="748" xr:uid="{00000000-0005-0000-0000-0000E9020000}"/>
    <cellStyle name="Comma 3 4 5 3" xfId="749" xr:uid="{00000000-0005-0000-0000-0000EA020000}"/>
    <cellStyle name="Comma 3 4 5 4" xfId="750" xr:uid="{00000000-0005-0000-0000-0000EB020000}"/>
    <cellStyle name="Comma 3 4 5 5" xfId="751" xr:uid="{00000000-0005-0000-0000-0000EC020000}"/>
    <cellStyle name="Comma 3 4 6" xfId="752" xr:uid="{00000000-0005-0000-0000-0000ED020000}"/>
    <cellStyle name="Comma 3 4 6 2" xfId="753" xr:uid="{00000000-0005-0000-0000-0000EE020000}"/>
    <cellStyle name="Comma 3 4 6 3" xfId="754" xr:uid="{00000000-0005-0000-0000-0000EF020000}"/>
    <cellStyle name="Comma 3 4 6 4" xfId="755" xr:uid="{00000000-0005-0000-0000-0000F0020000}"/>
    <cellStyle name="Comma 3 4 7" xfId="756" xr:uid="{00000000-0005-0000-0000-0000F1020000}"/>
    <cellStyle name="Comma 3 4 7 2" xfId="757" xr:uid="{00000000-0005-0000-0000-0000F2020000}"/>
    <cellStyle name="Comma 3 4 7 3" xfId="758" xr:uid="{00000000-0005-0000-0000-0000F3020000}"/>
    <cellStyle name="Comma 3 4 7 4" xfId="759" xr:uid="{00000000-0005-0000-0000-0000F4020000}"/>
    <cellStyle name="Comma 3 4 8" xfId="760" xr:uid="{00000000-0005-0000-0000-0000F5020000}"/>
    <cellStyle name="Comma 3 4 9" xfId="761" xr:uid="{00000000-0005-0000-0000-0000F6020000}"/>
    <cellStyle name="Comma 3 5" xfId="762" xr:uid="{00000000-0005-0000-0000-0000F7020000}"/>
    <cellStyle name="Comma 3 5 10" xfId="763" xr:uid="{00000000-0005-0000-0000-0000F8020000}"/>
    <cellStyle name="Comma 3 5 2" xfId="764" xr:uid="{00000000-0005-0000-0000-0000F9020000}"/>
    <cellStyle name="Comma 3 5 2 2" xfId="765" xr:uid="{00000000-0005-0000-0000-0000FA020000}"/>
    <cellStyle name="Comma 3 5 2 2 2" xfId="766" xr:uid="{00000000-0005-0000-0000-0000FB020000}"/>
    <cellStyle name="Comma 3 5 2 2 3" xfId="767" xr:uid="{00000000-0005-0000-0000-0000FC020000}"/>
    <cellStyle name="Comma 3 5 2 2 4" xfId="768" xr:uid="{00000000-0005-0000-0000-0000FD020000}"/>
    <cellStyle name="Comma 3 5 2 3" xfId="769" xr:uid="{00000000-0005-0000-0000-0000FE020000}"/>
    <cellStyle name="Comma 3 5 2 4" xfId="770" xr:uid="{00000000-0005-0000-0000-0000FF020000}"/>
    <cellStyle name="Comma 3 5 2 5" xfId="771" xr:uid="{00000000-0005-0000-0000-000000030000}"/>
    <cellStyle name="Comma 3 5 3" xfId="772" xr:uid="{00000000-0005-0000-0000-000001030000}"/>
    <cellStyle name="Comma 3 5 3 2" xfId="773" xr:uid="{00000000-0005-0000-0000-000002030000}"/>
    <cellStyle name="Comma 3 5 3 2 2" xfId="774" xr:uid="{00000000-0005-0000-0000-000003030000}"/>
    <cellStyle name="Comma 3 5 3 2 3" xfId="775" xr:uid="{00000000-0005-0000-0000-000004030000}"/>
    <cellStyle name="Comma 3 5 3 2 4" xfId="776" xr:uid="{00000000-0005-0000-0000-000005030000}"/>
    <cellStyle name="Comma 3 5 3 3" xfId="777" xr:uid="{00000000-0005-0000-0000-000006030000}"/>
    <cellStyle name="Comma 3 5 3 4" xfId="778" xr:uid="{00000000-0005-0000-0000-000007030000}"/>
    <cellStyle name="Comma 3 5 3 5" xfId="779" xr:uid="{00000000-0005-0000-0000-000008030000}"/>
    <cellStyle name="Comma 3 5 4" xfId="780" xr:uid="{00000000-0005-0000-0000-000009030000}"/>
    <cellStyle name="Comma 3 5 4 2" xfId="781" xr:uid="{00000000-0005-0000-0000-00000A030000}"/>
    <cellStyle name="Comma 3 5 4 2 2" xfId="782" xr:uid="{00000000-0005-0000-0000-00000B030000}"/>
    <cellStyle name="Comma 3 5 4 2 3" xfId="783" xr:uid="{00000000-0005-0000-0000-00000C030000}"/>
    <cellStyle name="Comma 3 5 4 2 4" xfId="784" xr:uid="{00000000-0005-0000-0000-00000D030000}"/>
    <cellStyle name="Comma 3 5 4 3" xfId="785" xr:uid="{00000000-0005-0000-0000-00000E030000}"/>
    <cellStyle name="Comma 3 5 4 4" xfId="786" xr:uid="{00000000-0005-0000-0000-00000F030000}"/>
    <cellStyle name="Comma 3 5 4 5" xfId="787" xr:uid="{00000000-0005-0000-0000-000010030000}"/>
    <cellStyle name="Comma 3 5 5" xfId="788" xr:uid="{00000000-0005-0000-0000-000011030000}"/>
    <cellStyle name="Comma 3 5 5 2" xfId="789" xr:uid="{00000000-0005-0000-0000-000012030000}"/>
    <cellStyle name="Comma 3 5 5 3" xfId="790" xr:uid="{00000000-0005-0000-0000-000013030000}"/>
    <cellStyle name="Comma 3 5 5 4" xfId="791" xr:uid="{00000000-0005-0000-0000-000014030000}"/>
    <cellStyle name="Comma 3 5 6" xfId="792" xr:uid="{00000000-0005-0000-0000-000015030000}"/>
    <cellStyle name="Comma 3 5 6 2" xfId="793" xr:uid="{00000000-0005-0000-0000-000016030000}"/>
    <cellStyle name="Comma 3 5 6 3" xfId="794" xr:uid="{00000000-0005-0000-0000-000017030000}"/>
    <cellStyle name="Comma 3 5 6 4" xfId="795" xr:uid="{00000000-0005-0000-0000-000018030000}"/>
    <cellStyle name="Comma 3 5 7" xfId="796" xr:uid="{00000000-0005-0000-0000-000019030000}"/>
    <cellStyle name="Comma 3 5 8" xfId="797" xr:uid="{00000000-0005-0000-0000-00001A030000}"/>
    <cellStyle name="Comma 3 5 9" xfId="798" xr:uid="{00000000-0005-0000-0000-00001B030000}"/>
    <cellStyle name="Comma 3 6" xfId="799" xr:uid="{00000000-0005-0000-0000-00001C030000}"/>
    <cellStyle name="Comma 3 7" xfId="800" xr:uid="{00000000-0005-0000-0000-00001D030000}"/>
    <cellStyle name="Comma 4" xfId="801" xr:uid="{00000000-0005-0000-0000-00001E030000}"/>
    <cellStyle name="Comma 4 2" xfId="802" xr:uid="{00000000-0005-0000-0000-00001F030000}"/>
    <cellStyle name="Comma 4 2 10" xfId="803" xr:uid="{00000000-0005-0000-0000-000020030000}"/>
    <cellStyle name="Comma 4 2 11" xfId="804" xr:uid="{00000000-0005-0000-0000-000021030000}"/>
    <cellStyle name="Comma 4 2 12" xfId="805" xr:uid="{00000000-0005-0000-0000-000022030000}"/>
    <cellStyle name="Comma 4 2 2" xfId="806" xr:uid="{00000000-0005-0000-0000-000023030000}"/>
    <cellStyle name="Comma 4 2 2 10" xfId="807" xr:uid="{00000000-0005-0000-0000-000024030000}"/>
    <cellStyle name="Comma 4 2 2 11" xfId="808" xr:uid="{00000000-0005-0000-0000-000025030000}"/>
    <cellStyle name="Comma 4 2 2 2" xfId="809" xr:uid="{00000000-0005-0000-0000-000026030000}"/>
    <cellStyle name="Comma 4 2 2 2 2" xfId="810" xr:uid="{00000000-0005-0000-0000-000027030000}"/>
    <cellStyle name="Comma 4 2 2 2 2 2" xfId="811" xr:uid="{00000000-0005-0000-0000-000028030000}"/>
    <cellStyle name="Comma 4 2 2 2 2 2 2" xfId="812" xr:uid="{00000000-0005-0000-0000-000029030000}"/>
    <cellStyle name="Comma 4 2 2 2 2 2 3" xfId="813" xr:uid="{00000000-0005-0000-0000-00002A030000}"/>
    <cellStyle name="Comma 4 2 2 2 2 2 4" xfId="814" xr:uid="{00000000-0005-0000-0000-00002B030000}"/>
    <cellStyle name="Comma 4 2 2 2 2 3" xfId="815" xr:uid="{00000000-0005-0000-0000-00002C030000}"/>
    <cellStyle name="Comma 4 2 2 2 2 4" xfId="816" xr:uid="{00000000-0005-0000-0000-00002D030000}"/>
    <cellStyle name="Comma 4 2 2 2 2 5" xfId="817" xr:uid="{00000000-0005-0000-0000-00002E030000}"/>
    <cellStyle name="Comma 4 2 2 2 3" xfId="818" xr:uid="{00000000-0005-0000-0000-00002F030000}"/>
    <cellStyle name="Comma 4 2 2 2 3 2" xfId="819" xr:uid="{00000000-0005-0000-0000-000030030000}"/>
    <cellStyle name="Comma 4 2 2 2 3 2 2" xfId="820" xr:uid="{00000000-0005-0000-0000-000031030000}"/>
    <cellStyle name="Comma 4 2 2 2 3 2 3" xfId="821" xr:uid="{00000000-0005-0000-0000-000032030000}"/>
    <cellStyle name="Comma 4 2 2 2 3 2 4" xfId="822" xr:uid="{00000000-0005-0000-0000-000033030000}"/>
    <cellStyle name="Comma 4 2 2 2 3 3" xfId="823" xr:uid="{00000000-0005-0000-0000-000034030000}"/>
    <cellStyle name="Comma 4 2 2 2 3 4" xfId="824" xr:uid="{00000000-0005-0000-0000-000035030000}"/>
    <cellStyle name="Comma 4 2 2 2 3 5" xfId="825" xr:uid="{00000000-0005-0000-0000-000036030000}"/>
    <cellStyle name="Comma 4 2 2 2 4" xfId="826" xr:uid="{00000000-0005-0000-0000-000037030000}"/>
    <cellStyle name="Comma 4 2 2 2 4 2" xfId="827" xr:uid="{00000000-0005-0000-0000-000038030000}"/>
    <cellStyle name="Comma 4 2 2 2 4 2 2" xfId="828" xr:uid="{00000000-0005-0000-0000-000039030000}"/>
    <cellStyle name="Comma 4 2 2 2 4 2 3" xfId="829" xr:uid="{00000000-0005-0000-0000-00003A030000}"/>
    <cellStyle name="Comma 4 2 2 2 4 2 4" xfId="830" xr:uid="{00000000-0005-0000-0000-00003B030000}"/>
    <cellStyle name="Comma 4 2 2 2 4 3" xfId="831" xr:uid="{00000000-0005-0000-0000-00003C030000}"/>
    <cellStyle name="Comma 4 2 2 2 4 4" xfId="832" xr:uid="{00000000-0005-0000-0000-00003D030000}"/>
    <cellStyle name="Comma 4 2 2 2 4 5" xfId="833" xr:uid="{00000000-0005-0000-0000-00003E030000}"/>
    <cellStyle name="Comma 4 2 2 2 5" xfId="834" xr:uid="{00000000-0005-0000-0000-00003F030000}"/>
    <cellStyle name="Comma 4 2 2 2 5 2" xfId="835" xr:uid="{00000000-0005-0000-0000-000040030000}"/>
    <cellStyle name="Comma 4 2 2 2 5 3" xfId="836" xr:uid="{00000000-0005-0000-0000-000041030000}"/>
    <cellStyle name="Comma 4 2 2 2 5 4" xfId="837" xr:uid="{00000000-0005-0000-0000-000042030000}"/>
    <cellStyle name="Comma 4 2 2 2 6" xfId="838" xr:uid="{00000000-0005-0000-0000-000043030000}"/>
    <cellStyle name="Comma 4 2 2 2 6 2" xfId="839" xr:uid="{00000000-0005-0000-0000-000044030000}"/>
    <cellStyle name="Comma 4 2 2 2 6 3" xfId="840" xr:uid="{00000000-0005-0000-0000-000045030000}"/>
    <cellStyle name="Comma 4 2 2 2 6 4" xfId="841" xr:uid="{00000000-0005-0000-0000-000046030000}"/>
    <cellStyle name="Comma 4 2 2 2 7" xfId="842" xr:uid="{00000000-0005-0000-0000-000047030000}"/>
    <cellStyle name="Comma 4 2 2 2 8" xfId="843" xr:uid="{00000000-0005-0000-0000-000048030000}"/>
    <cellStyle name="Comma 4 2 2 2 9" xfId="844" xr:uid="{00000000-0005-0000-0000-000049030000}"/>
    <cellStyle name="Comma 4 2 2 3" xfId="845" xr:uid="{00000000-0005-0000-0000-00004A030000}"/>
    <cellStyle name="Comma 4 2 2 3 2" xfId="846" xr:uid="{00000000-0005-0000-0000-00004B030000}"/>
    <cellStyle name="Comma 4 2 2 3 2 2" xfId="847" xr:uid="{00000000-0005-0000-0000-00004C030000}"/>
    <cellStyle name="Comma 4 2 2 3 2 3" xfId="848" xr:uid="{00000000-0005-0000-0000-00004D030000}"/>
    <cellStyle name="Comma 4 2 2 3 2 4" xfId="849" xr:uid="{00000000-0005-0000-0000-00004E030000}"/>
    <cellStyle name="Comma 4 2 2 3 3" xfId="850" xr:uid="{00000000-0005-0000-0000-00004F030000}"/>
    <cellStyle name="Comma 4 2 2 3 4" xfId="851" xr:uid="{00000000-0005-0000-0000-000050030000}"/>
    <cellStyle name="Comma 4 2 2 3 5" xfId="852" xr:uid="{00000000-0005-0000-0000-000051030000}"/>
    <cellStyle name="Comma 4 2 2 4" xfId="853" xr:uid="{00000000-0005-0000-0000-000052030000}"/>
    <cellStyle name="Comma 4 2 2 4 2" xfId="854" xr:uid="{00000000-0005-0000-0000-000053030000}"/>
    <cellStyle name="Comma 4 2 2 4 2 2" xfId="855" xr:uid="{00000000-0005-0000-0000-000054030000}"/>
    <cellStyle name="Comma 4 2 2 4 2 3" xfId="856" xr:uid="{00000000-0005-0000-0000-000055030000}"/>
    <cellStyle name="Comma 4 2 2 4 2 4" xfId="857" xr:uid="{00000000-0005-0000-0000-000056030000}"/>
    <cellStyle name="Comma 4 2 2 4 3" xfId="858" xr:uid="{00000000-0005-0000-0000-000057030000}"/>
    <cellStyle name="Comma 4 2 2 4 4" xfId="859" xr:uid="{00000000-0005-0000-0000-000058030000}"/>
    <cellStyle name="Comma 4 2 2 4 5" xfId="860" xr:uid="{00000000-0005-0000-0000-000059030000}"/>
    <cellStyle name="Comma 4 2 2 5" xfId="861" xr:uid="{00000000-0005-0000-0000-00005A030000}"/>
    <cellStyle name="Comma 4 2 2 5 2" xfId="862" xr:uid="{00000000-0005-0000-0000-00005B030000}"/>
    <cellStyle name="Comma 4 2 2 5 2 2" xfId="863" xr:uid="{00000000-0005-0000-0000-00005C030000}"/>
    <cellStyle name="Comma 4 2 2 5 2 3" xfId="864" xr:uid="{00000000-0005-0000-0000-00005D030000}"/>
    <cellStyle name="Comma 4 2 2 5 2 4" xfId="865" xr:uid="{00000000-0005-0000-0000-00005E030000}"/>
    <cellStyle name="Comma 4 2 2 5 3" xfId="866" xr:uid="{00000000-0005-0000-0000-00005F030000}"/>
    <cellStyle name="Comma 4 2 2 5 4" xfId="867" xr:uid="{00000000-0005-0000-0000-000060030000}"/>
    <cellStyle name="Comma 4 2 2 5 5" xfId="868" xr:uid="{00000000-0005-0000-0000-000061030000}"/>
    <cellStyle name="Comma 4 2 2 6" xfId="869" xr:uid="{00000000-0005-0000-0000-000062030000}"/>
    <cellStyle name="Comma 4 2 2 6 2" xfId="870" xr:uid="{00000000-0005-0000-0000-000063030000}"/>
    <cellStyle name="Comma 4 2 2 6 3" xfId="871" xr:uid="{00000000-0005-0000-0000-000064030000}"/>
    <cellStyle name="Comma 4 2 2 6 4" xfId="872" xr:uid="{00000000-0005-0000-0000-000065030000}"/>
    <cellStyle name="Comma 4 2 2 7" xfId="873" xr:uid="{00000000-0005-0000-0000-000066030000}"/>
    <cellStyle name="Comma 4 2 2 7 2" xfId="874" xr:uid="{00000000-0005-0000-0000-000067030000}"/>
    <cellStyle name="Comma 4 2 2 7 3" xfId="875" xr:uid="{00000000-0005-0000-0000-000068030000}"/>
    <cellStyle name="Comma 4 2 2 7 4" xfId="876" xr:uid="{00000000-0005-0000-0000-000069030000}"/>
    <cellStyle name="Comma 4 2 2 8" xfId="877" xr:uid="{00000000-0005-0000-0000-00006A030000}"/>
    <cellStyle name="Comma 4 2 2 9" xfId="878" xr:uid="{00000000-0005-0000-0000-00006B030000}"/>
    <cellStyle name="Comma 4 2 3" xfId="879" xr:uid="{00000000-0005-0000-0000-00006C030000}"/>
    <cellStyle name="Comma 4 2 3 2" xfId="880" xr:uid="{00000000-0005-0000-0000-00006D030000}"/>
    <cellStyle name="Comma 4 2 4" xfId="881" xr:uid="{00000000-0005-0000-0000-00006E030000}"/>
    <cellStyle name="Comma 4 2 4 2" xfId="882" xr:uid="{00000000-0005-0000-0000-00006F030000}"/>
    <cellStyle name="Comma 4 2 4 2 2" xfId="883" xr:uid="{00000000-0005-0000-0000-000070030000}"/>
    <cellStyle name="Comma 4 2 4 2 3" xfId="884" xr:uid="{00000000-0005-0000-0000-000071030000}"/>
    <cellStyle name="Comma 4 2 4 2 4" xfId="885" xr:uid="{00000000-0005-0000-0000-000072030000}"/>
    <cellStyle name="Comma 4 2 4 3" xfId="886" xr:uid="{00000000-0005-0000-0000-000073030000}"/>
    <cellStyle name="Comma 4 2 4 4" xfId="887" xr:uid="{00000000-0005-0000-0000-000074030000}"/>
    <cellStyle name="Comma 4 2 4 5" xfId="888" xr:uid="{00000000-0005-0000-0000-000075030000}"/>
    <cellStyle name="Comma 4 2 5" xfId="889" xr:uid="{00000000-0005-0000-0000-000076030000}"/>
    <cellStyle name="Comma 4 2 5 2" xfId="890" xr:uid="{00000000-0005-0000-0000-000077030000}"/>
    <cellStyle name="Comma 4 2 5 2 2" xfId="891" xr:uid="{00000000-0005-0000-0000-000078030000}"/>
    <cellStyle name="Comma 4 2 5 2 3" xfId="892" xr:uid="{00000000-0005-0000-0000-000079030000}"/>
    <cellStyle name="Comma 4 2 5 2 4" xfId="893" xr:uid="{00000000-0005-0000-0000-00007A030000}"/>
    <cellStyle name="Comma 4 2 5 3" xfId="894" xr:uid="{00000000-0005-0000-0000-00007B030000}"/>
    <cellStyle name="Comma 4 2 5 4" xfId="895" xr:uid="{00000000-0005-0000-0000-00007C030000}"/>
    <cellStyle name="Comma 4 2 5 5" xfId="896" xr:uid="{00000000-0005-0000-0000-00007D030000}"/>
    <cellStyle name="Comma 4 2 6" xfId="897" xr:uid="{00000000-0005-0000-0000-00007E030000}"/>
    <cellStyle name="Comma 4 2 6 2" xfId="898" xr:uid="{00000000-0005-0000-0000-00007F030000}"/>
    <cellStyle name="Comma 4 2 6 2 2" xfId="899" xr:uid="{00000000-0005-0000-0000-000080030000}"/>
    <cellStyle name="Comma 4 2 6 2 3" xfId="900" xr:uid="{00000000-0005-0000-0000-000081030000}"/>
    <cellStyle name="Comma 4 2 6 2 4" xfId="901" xr:uid="{00000000-0005-0000-0000-000082030000}"/>
    <cellStyle name="Comma 4 2 6 3" xfId="902" xr:uid="{00000000-0005-0000-0000-000083030000}"/>
    <cellStyle name="Comma 4 2 6 4" xfId="903" xr:uid="{00000000-0005-0000-0000-000084030000}"/>
    <cellStyle name="Comma 4 2 6 5" xfId="904" xr:uid="{00000000-0005-0000-0000-000085030000}"/>
    <cellStyle name="Comma 4 2 7" xfId="905" xr:uid="{00000000-0005-0000-0000-000086030000}"/>
    <cellStyle name="Comma 4 2 7 2" xfId="906" xr:uid="{00000000-0005-0000-0000-000087030000}"/>
    <cellStyle name="Comma 4 2 7 3" xfId="907" xr:uid="{00000000-0005-0000-0000-000088030000}"/>
    <cellStyle name="Comma 4 2 7 4" xfId="908" xr:uid="{00000000-0005-0000-0000-000089030000}"/>
    <cellStyle name="Comma 4 2 8" xfId="909" xr:uid="{00000000-0005-0000-0000-00008A030000}"/>
    <cellStyle name="Comma 4 2 8 2" xfId="910" xr:uid="{00000000-0005-0000-0000-00008B030000}"/>
    <cellStyle name="Comma 4 2 8 3" xfId="911" xr:uid="{00000000-0005-0000-0000-00008C030000}"/>
    <cellStyle name="Comma 4 2 8 4" xfId="912" xr:uid="{00000000-0005-0000-0000-00008D030000}"/>
    <cellStyle name="Comma 4 2 9" xfId="913" xr:uid="{00000000-0005-0000-0000-00008E030000}"/>
    <cellStyle name="Comma 4 3" xfId="914" xr:uid="{00000000-0005-0000-0000-00008F030000}"/>
    <cellStyle name="Comma 4 3 2" xfId="915" xr:uid="{00000000-0005-0000-0000-000090030000}"/>
    <cellStyle name="Comma 4 3 2 10" xfId="916" xr:uid="{00000000-0005-0000-0000-000091030000}"/>
    <cellStyle name="Comma 4 3 2 11" xfId="917" xr:uid="{00000000-0005-0000-0000-000092030000}"/>
    <cellStyle name="Comma 4 3 2 2" xfId="918" xr:uid="{00000000-0005-0000-0000-000093030000}"/>
    <cellStyle name="Comma 4 3 2 2 2" xfId="919" xr:uid="{00000000-0005-0000-0000-000094030000}"/>
    <cellStyle name="Comma 4 3 2 2 2 2" xfId="920" xr:uid="{00000000-0005-0000-0000-000095030000}"/>
    <cellStyle name="Comma 4 3 2 2 2 2 2" xfId="921" xr:uid="{00000000-0005-0000-0000-000096030000}"/>
    <cellStyle name="Comma 4 3 2 2 2 2 3" xfId="922" xr:uid="{00000000-0005-0000-0000-000097030000}"/>
    <cellStyle name="Comma 4 3 2 2 2 2 4" xfId="923" xr:uid="{00000000-0005-0000-0000-000098030000}"/>
    <cellStyle name="Comma 4 3 2 2 2 3" xfId="924" xr:uid="{00000000-0005-0000-0000-000099030000}"/>
    <cellStyle name="Comma 4 3 2 2 2 4" xfId="925" xr:uid="{00000000-0005-0000-0000-00009A030000}"/>
    <cellStyle name="Comma 4 3 2 2 2 5" xfId="926" xr:uid="{00000000-0005-0000-0000-00009B030000}"/>
    <cellStyle name="Comma 4 3 2 2 3" xfId="927" xr:uid="{00000000-0005-0000-0000-00009C030000}"/>
    <cellStyle name="Comma 4 3 2 2 3 2" xfId="928" xr:uid="{00000000-0005-0000-0000-00009D030000}"/>
    <cellStyle name="Comma 4 3 2 2 3 2 2" xfId="929" xr:uid="{00000000-0005-0000-0000-00009E030000}"/>
    <cellStyle name="Comma 4 3 2 2 3 2 3" xfId="930" xr:uid="{00000000-0005-0000-0000-00009F030000}"/>
    <cellStyle name="Comma 4 3 2 2 3 2 4" xfId="931" xr:uid="{00000000-0005-0000-0000-0000A0030000}"/>
    <cellStyle name="Comma 4 3 2 2 3 3" xfId="932" xr:uid="{00000000-0005-0000-0000-0000A1030000}"/>
    <cellStyle name="Comma 4 3 2 2 3 4" xfId="933" xr:uid="{00000000-0005-0000-0000-0000A2030000}"/>
    <cellStyle name="Comma 4 3 2 2 3 5" xfId="934" xr:uid="{00000000-0005-0000-0000-0000A3030000}"/>
    <cellStyle name="Comma 4 3 2 2 4" xfId="935" xr:uid="{00000000-0005-0000-0000-0000A4030000}"/>
    <cellStyle name="Comma 4 3 2 2 4 2" xfId="936" xr:uid="{00000000-0005-0000-0000-0000A5030000}"/>
    <cellStyle name="Comma 4 3 2 2 4 2 2" xfId="937" xr:uid="{00000000-0005-0000-0000-0000A6030000}"/>
    <cellStyle name="Comma 4 3 2 2 4 2 3" xfId="938" xr:uid="{00000000-0005-0000-0000-0000A7030000}"/>
    <cellStyle name="Comma 4 3 2 2 4 2 4" xfId="939" xr:uid="{00000000-0005-0000-0000-0000A8030000}"/>
    <cellStyle name="Comma 4 3 2 2 4 3" xfId="940" xr:uid="{00000000-0005-0000-0000-0000A9030000}"/>
    <cellStyle name="Comma 4 3 2 2 4 4" xfId="941" xr:uid="{00000000-0005-0000-0000-0000AA030000}"/>
    <cellStyle name="Comma 4 3 2 2 4 5" xfId="942" xr:uid="{00000000-0005-0000-0000-0000AB030000}"/>
    <cellStyle name="Comma 4 3 2 2 5" xfId="943" xr:uid="{00000000-0005-0000-0000-0000AC030000}"/>
    <cellStyle name="Comma 4 3 2 2 5 2" xfId="944" xr:uid="{00000000-0005-0000-0000-0000AD030000}"/>
    <cellStyle name="Comma 4 3 2 2 5 3" xfId="945" xr:uid="{00000000-0005-0000-0000-0000AE030000}"/>
    <cellStyle name="Comma 4 3 2 2 5 4" xfId="946" xr:uid="{00000000-0005-0000-0000-0000AF030000}"/>
    <cellStyle name="Comma 4 3 2 2 6" xfId="947" xr:uid="{00000000-0005-0000-0000-0000B0030000}"/>
    <cellStyle name="Comma 4 3 2 2 6 2" xfId="948" xr:uid="{00000000-0005-0000-0000-0000B1030000}"/>
    <cellStyle name="Comma 4 3 2 2 6 3" xfId="949" xr:uid="{00000000-0005-0000-0000-0000B2030000}"/>
    <cellStyle name="Comma 4 3 2 2 6 4" xfId="950" xr:uid="{00000000-0005-0000-0000-0000B3030000}"/>
    <cellStyle name="Comma 4 3 2 2 7" xfId="951" xr:uid="{00000000-0005-0000-0000-0000B4030000}"/>
    <cellStyle name="Comma 4 3 2 2 8" xfId="952" xr:uid="{00000000-0005-0000-0000-0000B5030000}"/>
    <cellStyle name="Comma 4 3 2 2 9" xfId="953" xr:uid="{00000000-0005-0000-0000-0000B6030000}"/>
    <cellStyle name="Comma 4 3 2 3" xfId="954" xr:uid="{00000000-0005-0000-0000-0000B7030000}"/>
    <cellStyle name="Comma 4 3 2 3 2" xfId="955" xr:uid="{00000000-0005-0000-0000-0000B8030000}"/>
    <cellStyle name="Comma 4 3 2 3 2 2" xfId="956" xr:uid="{00000000-0005-0000-0000-0000B9030000}"/>
    <cellStyle name="Comma 4 3 2 3 2 3" xfId="957" xr:uid="{00000000-0005-0000-0000-0000BA030000}"/>
    <cellStyle name="Comma 4 3 2 3 2 4" xfId="958" xr:uid="{00000000-0005-0000-0000-0000BB030000}"/>
    <cellStyle name="Comma 4 3 2 3 3" xfId="959" xr:uid="{00000000-0005-0000-0000-0000BC030000}"/>
    <cellStyle name="Comma 4 3 2 3 4" xfId="960" xr:uid="{00000000-0005-0000-0000-0000BD030000}"/>
    <cellStyle name="Comma 4 3 2 3 5" xfId="961" xr:uid="{00000000-0005-0000-0000-0000BE030000}"/>
    <cellStyle name="Comma 4 3 2 4" xfId="962" xr:uid="{00000000-0005-0000-0000-0000BF030000}"/>
    <cellStyle name="Comma 4 3 2 4 2" xfId="963" xr:uid="{00000000-0005-0000-0000-0000C0030000}"/>
    <cellStyle name="Comma 4 3 2 4 2 2" xfId="964" xr:uid="{00000000-0005-0000-0000-0000C1030000}"/>
    <cellStyle name="Comma 4 3 2 4 2 3" xfId="965" xr:uid="{00000000-0005-0000-0000-0000C2030000}"/>
    <cellStyle name="Comma 4 3 2 4 2 4" xfId="966" xr:uid="{00000000-0005-0000-0000-0000C3030000}"/>
    <cellStyle name="Comma 4 3 2 4 3" xfId="967" xr:uid="{00000000-0005-0000-0000-0000C4030000}"/>
    <cellStyle name="Comma 4 3 2 4 4" xfId="968" xr:uid="{00000000-0005-0000-0000-0000C5030000}"/>
    <cellStyle name="Comma 4 3 2 4 5" xfId="969" xr:uid="{00000000-0005-0000-0000-0000C6030000}"/>
    <cellStyle name="Comma 4 3 2 5" xfId="970" xr:uid="{00000000-0005-0000-0000-0000C7030000}"/>
    <cellStyle name="Comma 4 3 2 5 2" xfId="971" xr:uid="{00000000-0005-0000-0000-0000C8030000}"/>
    <cellStyle name="Comma 4 3 2 5 2 2" xfId="972" xr:uid="{00000000-0005-0000-0000-0000C9030000}"/>
    <cellStyle name="Comma 4 3 2 5 2 3" xfId="973" xr:uid="{00000000-0005-0000-0000-0000CA030000}"/>
    <cellStyle name="Comma 4 3 2 5 2 4" xfId="974" xr:uid="{00000000-0005-0000-0000-0000CB030000}"/>
    <cellStyle name="Comma 4 3 2 5 3" xfId="975" xr:uid="{00000000-0005-0000-0000-0000CC030000}"/>
    <cellStyle name="Comma 4 3 2 5 4" xfId="976" xr:uid="{00000000-0005-0000-0000-0000CD030000}"/>
    <cellStyle name="Comma 4 3 2 5 5" xfId="977" xr:uid="{00000000-0005-0000-0000-0000CE030000}"/>
    <cellStyle name="Comma 4 3 2 6" xfId="978" xr:uid="{00000000-0005-0000-0000-0000CF030000}"/>
    <cellStyle name="Comma 4 3 2 6 2" xfId="979" xr:uid="{00000000-0005-0000-0000-0000D0030000}"/>
    <cellStyle name="Comma 4 3 2 6 3" xfId="980" xr:uid="{00000000-0005-0000-0000-0000D1030000}"/>
    <cellStyle name="Comma 4 3 2 6 4" xfId="981" xr:uid="{00000000-0005-0000-0000-0000D2030000}"/>
    <cellStyle name="Comma 4 3 2 7" xfId="982" xr:uid="{00000000-0005-0000-0000-0000D3030000}"/>
    <cellStyle name="Comma 4 3 2 7 2" xfId="983" xr:uid="{00000000-0005-0000-0000-0000D4030000}"/>
    <cellStyle name="Comma 4 3 2 7 3" xfId="984" xr:uid="{00000000-0005-0000-0000-0000D5030000}"/>
    <cellStyle name="Comma 4 3 2 7 4" xfId="985" xr:uid="{00000000-0005-0000-0000-0000D6030000}"/>
    <cellStyle name="Comma 4 3 2 8" xfId="986" xr:uid="{00000000-0005-0000-0000-0000D7030000}"/>
    <cellStyle name="Comma 4 3 2 9" xfId="987" xr:uid="{00000000-0005-0000-0000-0000D8030000}"/>
    <cellStyle name="Comma 4 3 3" xfId="988" xr:uid="{00000000-0005-0000-0000-0000D9030000}"/>
    <cellStyle name="Comma 4 3 3 2" xfId="989" xr:uid="{00000000-0005-0000-0000-0000DA030000}"/>
    <cellStyle name="Comma 4 3 3 2 2" xfId="990" xr:uid="{00000000-0005-0000-0000-0000DB030000}"/>
    <cellStyle name="Comma 4 3 3 2 2 2" xfId="991" xr:uid="{00000000-0005-0000-0000-0000DC030000}"/>
    <cellStyle name="Comma 4 3 3 2 2 3" xfId="992" xr:uid="{00000000-0005-0000-0000-0000DD030000}"/>
    <cellStyle name="Comma 4 3 3 2 2 4" xfId="993" xr:uid="{00000000-0005-0000-0000-0000DE030000}"/>
    <cellStyle name="Comma 4 3 3 2 3" xfId="994" xr:uid="{00000000-0005-0000-0000-0000DF030000}"/>
    <cellStyle name="Comma 4 3 3 2 4" xfId="995" xr:uid="{00000000-0005-0000-0000-0000E0030000}"/>
    <cellStyle name="Comma 4 3 3 2 5" xfId="996" xr:uid="{00000000-0005-0000-0000-0000E1030000}"/>
    <cellStyle name="Comma 4 3 3 3" xfId="997" xr:uid="{00000000-0005-0000-0000-0000E2030000}"/>
    <cellStyle name="Comma 4 3 3 3 2" xfId="998" xr:uid="{00000000-0005-0000-0000-0000E3030000}"/>
    <cellStyle name="Comma 4 3 3 3 2 2" xfId="999" xr:uid="{00000000-0005-0000-0000-0000E4030000}"/>
    <cellStyle name="Comma 4 3 3 3 2 3" xfId="1000" xr:uid="{00000000-0005-0000-0000-0000E5030000}"/>
    <cellStyle name="Comma 4 3 3 3 2 4" xfId="1001" xr:uid="{00000000-0005-0000-0000-0000E6030000}"/>
    <cellStyle name="Comma 4 3 3 3 3" xfId="1002" xr:uid="{00000000-0005-0000-0000-0000E7030000}"/>
    <cellStyle name="Comma 4 3 3 3 4" xfId="1003" xr:uid="{00000000-0005-0000-0000-0000E8030000}"/>
    <cellStyle name="Comma 4 3 3 3 5" xfId="1004" xr:uid="{00000000-0005-0000-0000-0000E9030000}"/>
    <cellStyle name="Comma 4 3 3 4" xfId="1005" xr:uid="{00000000-0005-0000-0000-0000EA030000}"/>
    <cellStyle name="Comma 4 3 3 4 2" xfId="1006" xr:uid="{00000000-0005-0000-0000-0000EB030000}"/>
    <cellStyle name="Comma 4 3 3 4 2 2" xfId="1007" xr:uid="{00000000-0005-0000-0000-0000EC030000}"/>
    <cellStyle name="Comma 4 3 3 4 2 3" xfId="1008" xr:uid="{00000000-0005-0000-0000-0000ED030000}"/>
    <cellStyle name="Comma 4 3 3 4 2 4" xfId="1009" xr:uid="{00000000-0005-0000-0000-0000EE030000}"/>
    <cellStyle name="Comma 4 3 3 4 3" xfId="1010" xr:uid="{00000000-0005-0000-0000-0000EF030000}"/>
    <cellStyle name="Comma 4 3 3 4 4" xfId="1011" xr:uid="{00000000-0005-0000-0000-0000F0030000}"/>
    <cellStyle name="Comma 4 3 3 4 5" xfId="1012" xr:uid="{00000000-0005-0000-0000-0000F1030000}"/>
    <cellStyle name="Comma 4 3 3 5" xfId="1013" xr:uid="{00000000-0005-0000-0000-0000F2030000}"/>
    <cellStyle name="Comma 4 3 3 5 2" xfId="1014" xr:uid="{00000000-0005-0000-0000-0000F3030000}"/>
    <cellStyle name="Comma 4 3 3 5 3" xfId="1015" xr:uid="{00000000-0005-0000-0000-0000F4030000}"/>
    <cellStyle name="Comma 4 3 3 5 4" xfId="1016" xr:uid="{00000000-0005-0000-0000-0000F5030000}"/>
    <cellStyle name="Comma 4 3 3 6" xfId="1017" xr:uid="{00000000-0005-0000-0000-0000F6030000}"/>
    <cellStyle name="Comma 4 3 3 6 2" xfId="1018" xr:uid="{00000000-0005-0000-0000-0000F7030000}"/>
    <cellStyle name="Comma 4 3 3 6 3" xfId="1019" xr:uid="{00000000-0005-0000-0000-0000F8030000}"/>
    <cellStyle name="Comma 4 3 3 6 4" xfId="1020" xr:uid="{00000000-0005-0000-0000-0000F9030000}"/>
    <cellStyle name="Comma 4 3 3 7" xfId="1021" xr:uid="{00000000-0005-0000-0000-0000FA030000}"/>
    <cellStyle name="Comma 4 3 3 8" xfId="1022" xr:uid="{00000000-0005-0000-0000-0000FB030000}"/>
    <cellStyle name="Comma 4 3 3 9" xfId="1023" xr:uid="{00000000-0005-0000-0000-0000FC030000}"/>
    <cellStyle name="Comma 4 3 4" xfId="1024" xr:uid="{00000000-0005-0000-0000-0000FD030000}"/>
    <cellStyle name="Comma 4 3 5" xfId="1025" xr:uid="{00000000-0005-0000-0000-0000FE030000}"/>
    <cellStyle name="Comma 4 4" xfId="1026" xr:uid="{00000000-0005-0000-0000-0000FF030000}"/>
    <cellStyle name="Comma 4 4 10" xfId="1027" xr:uid="{00000000-0005-0000-0000-000000040000}"/>
    <cellStyle name="Comma 4 4 11" xfId="1028" xr:uid="{00000000-0005-0000-0000-000001040000}"/>
    <cellStyle name="Comma 4 4 12" xfId="1029" xr:uid="{00000000-0005-0000-0000-000002040000}"/>
    <cellStyle name="Comma 4 4 2" xfId="1030" xr:uid="{00000000-0005-0000-0000-000003040000}"/>
    <cellStyle name="Comma 4 4 2 10" xfId="1031" xr:uid="{00000000-0005-0000-0000-000004040000}"/>
    <cellStyle name="Comma 4 4 2 2" xfId="1032" xr:uid="{00000000-0005-0000-0000-000005040000}"/>
    <cellStyle name="Comma 4 4 2 2 2" xfId="1033" xr:uid="{00000000-0005-0000-0000-000006040000}"/>
    <cellStyle name="Comma 4 4 2 2 2 2" xfId="1034" xr:uid="{00000000-0005-0000-0000-000007040000}"/>
    <cellStyle name="Comma 4 4 2 2 2 2 2" xfId="1035" xr:uid="{00000000-0005-0000-0000-000008040000}"/>
    <cellStyle name="Comma 4 4 2 2 2 2 3" xfId="1036" xr:uid="{00000000-0005-0000-0000-000009040000}"/>
    <cellStyle name="Comma 4 4 2 2 2 2 4" xfId="1037" xr:uid="{00000000-0005-0000-0000-00000A040000}"/>
    <cellStyle name="Comma 4 4 2 2 2 3" xfId="1038" xr:uid="{00000000-0005-0000-0000-00000B040000}"/>
    <cellStyle name="Comma 4 4 2 2 2 4" xfId="1039" xr:uid="{00000000-0005-0000-0000-00000C040000}"/>
    <cellStyle name="Comma 4 4 2 2 2 5" xfId="1040" xr:uid="{00000000-0005-0000-0000-00000D040000}"/>
    <cellStyle name="Comma 4 4 2 2 3" xfId="1041" xr:uid="{00000000-0005-0000-0000-00000E040000}"/>
    <cellStyle name="Comma 4 4 2 2 3 2" xfId="1042" xr:uid="{00000000-0005-0000-0000-00000F040000}"/>
    <cellStyle name="Comma 4 4 2 2 3 2 2" xfId="1043" xr:uid="{00000000-0005-0000-0000-000010040000}"/>
    <cellStyle name="Comma 4 4 2 2 3 2 3" xfId="1044" xr:uid="{00000000-0005-0000-0000-000011040000}"/>
    <cellStyle name="Comma 4 4 2 2 3 2 4" xfId="1045" xr:uid="{00000000-0005-0000-0000-000012040000}"/>
    <cellStyle name="Comma 4 4 2 2 3 3" xfId="1046" xr:uid="{00000000-0005-0000-0000-000013040000}"/>
    <cellStyle name="Comma 4 4 2 2 3 4" xfId="1047" xr:uid="{00000000-0005-0000-0000-000014040000}"/>
    <cellStyle name="Comma 4 4 2 2 3 5" xfId="1048" xr:uid="{00000000-0005-0000-0000-000015040000}"/>
    <cellStyle name="Comma 4 4 2 2 4" xfId="1049" xr:uid="{00000000-0005-0000-0000-000016040000}"/>
    <cellStyle name="Comma 4 4 2 2 4 2" xfId="1050" xr:uid="{00000000-0005-0000-0000-000017040000}"/>
    <cellStyle name="Comma 4 4 2 2 4 2 2" xfId="1051" xr:uid="{00000000-0005-0000-0000-000018040000}"/>
    <cellStyle name="Comma 4 4 2 2 4 2 3" xfId="1052" xr:uid="{00000000-0005-0000-0000-000019040000}"/>
    <cellStyle name="Comma 4 4 2 2 4 2 4" xfId="1053" xr:uid="{00000000-0005-0000-0000-00001A040000}"/>
    <cellStyle name="Comma 4 4 2 2 4 3" xfId="1054" xr:uid="{00000000-0005-0000-0000-00001B040000}"/>
    <cellStyle name="Comma 4 4 2 2 4 4" xfId="1055" xr:uid="{00000000-0005-0000-0000-00001C040000}"/>
    <cellStyle name="Comma 4 4 2 2 4 5" xfId="1056" xr:uid="{00000000-0005-0000-0000-00001D040000}"/>
    <cellStyle name="Comma 4 4 2 2 5" xfId="1057" xr:uid="{00000000-0005-0000-0000-00001E040000}"/>
    <cellStyle name="Comma 4 4 2 2 5 2" xfId="1058" xr:uid="{00000000-0005-0000-0000-00001F040000}"/>
    <cellStyle name="Comma 4 4 2 2 5 3" xfId="1059" xr:uid="{00000000-0005-0000-0000-000020040000}"/>
    <cellStyle name="Comma 4 4 2 2 5 4" xfId="1060" xr:uid="{00000000-0005-0000-0000-000021040000}"/>
    <cellStyle name="Comma 4 4 2 2 6" xfId="1061" xr:uid="{00000000-0005-0000-0000-000022040000}"/>
    <cellStyle name="Comma 4 4 2 2 6 2" xfId="1062" xr:uid="{00000000-0005-0000-0000-000023040000}"/>
    <cellStyle name="Comma 4 4 2 2 6 3" xfId="1063" xr:uid="{00000000-0005-0000-0000-000024040000}"/>
    <cellStyle name="Comma 4 4 2 2 6 4" xfId="1064" xr:uid="{00000000-0005-0000-0000-000025040000}"/>
    <cellStyle name="Comma 4 4 2 2 7" xfId="1065" xr:uid="{00000000-0005-0000-0000-000026040000}"/>
    <cellStyle name="Comma 4 4 2 2 8" xfId="1066" xr:uid="{00000000-0005-0000-0000-000027040000}"/>
    <cellStyle name="Comma 4 4 2 2 9" xfId="1067" xr:uid="{00000000-0005-0000-0000-000028040000}"/>
    <cellStyle name="Comma 4 4 2 3" xfId="1068" xr:uid="{00000000-0005-0000-0000-000029040000}"/>
    <cellStyle name="Comma 4 4 2 3 2" xfId="1069" xr:uid="{00000000-0005-0000-0000-00002A040000}"/>
    <cellStyle name="Comma 4 4 2 3 2 2" xfId="1070" xr:uid="{00000000-0005-0000-0000-00002B040000}"/>
    <cellStyle name="Comma 4 4 2 3 2 3" xfId="1071" xr:uid="{00000000-0005-0000-0000-00002C040000}"/>
    <cellStyle name="Comma 4 4 2 3 2 4" xfId="1072" xr:uid="{00000000-0005-0000-0000-00002D040000}"/>
    <cellStyle name="Comma 4 4 2 3 3" xfId="1073" xr:uid="{00000000-0005-0000-0000-00002E040000}"/>
    <cellStyle name="Comma 4 4 2 3 4" xfId="1074" xr:uid="{00000000-0005-0000-0000-00002F040000}"/>
    <cellStyle name="Comma 4 4 2 3 5" xfId="1075" xr:uid="{00000000-0005-0000-0000-000030040000}"/>
    <cellStyle name="Comma 4 4 2 4" xfId="1076" xr:uid="{00000000-0005-0000-0000-000031040000}"/>
    <cellStyle name="Comma 4 4 2 4 2" xfId="1077" xr:uid="{00000000-0005-0000-0000-000032040000}"/>
    <cellStyle name="Comma 4 4 2 4 2 2" xfId="1078" xr:uid="{00000000-0005-0000-0000-000033040000}"/>
    <cellStyle name="Comma 4 4 2 4 2 3" xfId="1079" xr:uid="{00000000-0005-0000-0000-000034040000}"/>
    <cellStyle name="Comma 4 4 2 4 2 4" xfId="1080" xr:uid="{00000000-0005-0000-0000-000035040000}"/>
    <cellStyle name="Comma 4 4 2 4 3" xfId="1081" xr:uid="{00000000-0005-0000-0000-000036040000}"/>
    <cellStyle name="Comma 4 4 2 4 4" xfId="1082" xr:uid="{00000000-0005-0000-0000-000037040000}"/>
    <cellStyle name="Comma 4 4 2 4 5" xfId="1083" xr:uid="{00000000-0005-0000-0000-000038040000}"/>
    <cellStyle name="Comma 4 4 2 5" xfId="1084" xr:uid="{00000000-0005-0000-0000-000039040000}"/>
    <cellStyle name="Comma 4 4 2 5 2" xfId="1085" xr:uid="{00000000-0005-0000-0000-00003A040000}"/>
    <cellStyle name="Comma 4 4 2 5 2 2" xfId="1086" xr:uid="{00000000-0005-0000-0000-00003B040000}"/>
    <cellStyle name="Comma 4 4 2 5 2 3" xfId="1087" xr:uid="{00000000-0005-0000-0000-00003C040000}"/>
    <cellStyle name="Comma 4 4 2 5 2 4" xfId="1088" xr:uid="{00000000-0005-0000-0000-00003D040000}"/>
    <cellStyle name="Comma 4 4 2 5 3" xfId="1089" xr:uid="{00000000-0005-0000-0000-00003E040000}"/>
    <cellStyle name="Comma 4 4 2 5 4" xfId="1090" xr:uid="{00000000-0005-0000-0000-00003F040000}"/>
    <cellStyle name="Comma 4 4 2 5 5" xfId="1091" xr:uid="{00000000-0005-0000-0000-000040040000}"/>
    <cellStyle name="Comma 4 4 2 6" xfId="1092" xr:uid="{00000000-0005-0000-0000-000041040000}"/>
    <cellStyle name="Comma 4 4 2 6 2" xfId="1093" xr:uid="{00000000-0005-0000-0000-000042040000}"/>
    <cellStyle name="Comma 4 4 2 6 3" xfId="1094" xr:uid="{00000000-0005-0000-0000-000043040000}"/>
    <cellStyle name="Comma 4 4 2 6 4" xfId="1095" xr:uid="{00000000-0005-0000-0000-000044040000}"/>
    <cellStyle name="Comma 4 4 2 7" xfId="1096" xr:uid="{00000000-0005-0000-0000-000045040000}"/>
    <cellStyle name="Comma 4 4 2 7 2" xfId="1097" xr:uid="{00000000-0005-0000-0000-000046040000}"/>
    <cellStyle name="Comma 4 4 2 7 3" xfId="1098" xr:uid="{00000000-0005-0000-0000-000047040000}"/>
    <cellStyle name="Comma 4 4 2 7 4" xfId="1099" xr:uid="{00000000-0005-0000-0000-000048040000}"/>
    <cellStyle name="Comma 4 4 2 8" xfId="1100" xr:uid="{00000000-0005-0000-0000-000049040000}"/>
    <cellStyle name="Comma 4 4 2 9" xfId="1101" xr:uid="{00000000-0005-0000-0000-00004A040000}"/>
    <cellStyle name="Comma 4 4 3" xfId="1102" xr:uid="{00000000-0005-0000-0000-00004B040000}"/>
    <cellStyle name="Comma 4 4 3 2" xfId="1103" xr:uid="{00000000-0005-0000-0000-00004C040000}"/>
    <cellStyle name="Comma 4 4 3 2 2" xfId="1104" xr:uid="{00000000-0005-0000-0000-00004D040000}"/>
    <cellStyle name="Comma 4 4 3 2 2 2" xfId="1105" xr:uid="{00000000-0005-0000-0000-00004E040000}"/>
    <cellStyle name="Comma 4 4 3 2 2 3" xfId="1106" xr:uid="{00000000-0005-0000-0000-00004F040000}"/>
    <cellStyle name="Comma 4 4 3 2 2 4" xfId="1107" xr:uid="{00000000-0005-0000-0000-000050040000}"/>
    <cellStyle name="Comma 4 4 3 2 3" xfId="1108" xr:uid="{00000000-0005-0000-0000-000051040000}"/>
    <cellStyle name="Comma 4 4 3 2 4" xfId="1109" xr:uid="{00000000-0005-0000-0000-000052040000}"/>
    <cellStyle name="Comma 4 4 3 2 5" xfId="1110" xr:uid="{00000000-0005-0000-0000-000053040000}"/>
    <cellStyle name="Comma 4 4 3 3" xfId="1111" xr:uid="{00000000-0005-0000-0000-000054040000}"/>
    <cellStyle name="Comma 4 4 3 3 2" xfId="1112" xr:uid="{00000000-0005-0000-0000-000055040000}"/>
    <cellStyle name="Comma 4 4 3 3 2 2" xfId="1113" xr:uid="{00000000-0005-0000-0000-000056040000}"/>
    <cellStyle name="Comma 4 4 3 3 2 3" xfId="1114" xr:uid="{00000000-0005-0000-0000-000057040000}"/>
    <cellStyle name="Comma 4 4 3 3 2 4" xfId="1115" xr:uid="{00000000-0005-0000-0000-000058040000}"/>
    <cellStyle name="Comma 4 4 3 3 3" xfId="1116" xr:uid="{00000000-0005-0000-0000-000059040000}"/>
    <cellStyle name="Comma 4 4 3 3 4" xfId="1117" xr:uid="{00000000-0005-0000-0000-00005A040000}"/>
    <cellStyle name="Comma 4 4 3 3 5" xfId="1118" xr:uid="{00000000-0005-0000-0000-00005B040000}"/>
    <cellStyle name="Comma 4 4 3 4" xfId="1119" xr:uid="{00000000-0005-0000-0000-00005C040000}"/>
    <cellStyle name="Comma 4 4 3 4 2" xfId="1120" xr:uid="{00000000-0005-0000-0000-00005D040000}"/>
    <cellStyle name="Comma 4 4 3 4 2 2" xfId="1121" xr:uid="{00000000-0005-0000-0000-00005E040000}"/>
    <cellStyle name="Comma 4 4 3 4 2 3" xfId="1122" xr:uid="{00000000-0005-0000-0000-00005F040000}"/>
    <cellStyle name="Comma 4 4 3 4 2 4" xfId="1123" xr:uid="{00000000-0005-0000-0000-000060040000}"/>
    <cellStyle name="Comma 4 4 3 4 3" xfId="1124" xr:uid="{00000000-0005-0000-0000-000061040000}"/>
    <cellStyle name="Comma 4 4 3 4 4" xfId="1125" xr:uid="{00000000-0005-0000-0000-000062040000}"/>
    <cellStyle name="Comma 4 4 3 4 5" xfId="1126" xr:uid="{00000000-0005-0000-0000-000063040000}"/>
    <cellStyle name="Comma 4 4 3 5" xfId="1127" xr:uid="{00000000-0005-0000-0000-000064040000}"/>
    <cellStyle name="Comma 4 4 3 5 2" xfId="1128" xr:uid="{00000000-0005-0000-0000-000065040000}"/>
    <cellStyle name="Comma 4 4 3 5 3" xfId="1129" xr:uid="{00000000-0005-0000-0000-000066040000}"/>
    <cellStyle name="Comma 4 4 3 5 4" xfId="1130" xr:uid="{00000000-0005-0000-0000-000067040000}"/>
    <cellStyle name="Comma 4 4 3 6" xfId="1131" xr:uid="{00000000-0005-0000-0000-000068040000}"/>
    <cellStyle name="Comma 4 4 3 6 2" xfId="1132" xr:uid="{00000000-0005-0000-0000-000069040000}"/>
    <cellStyle name="Comma 4 4 3 6 3" xfId="1133" xr:uid="{00000000-0005-0000-0000-00006A040000}"/>
    <cellStyle name="Comma 4 4 3 6 4" xfId="1134" xr:uid="{00000000-0005-0000-0000-00006B040000}"/>
    <cellStyle name="Comma 4 4 3 7" xfId="1135" xr:uid="{00000000-0005-0000-0000-00006C040000}"/>
    <cellStyle name="Comma 4 4 3 8" xfId="1136" xr:uid="{00000000-0005-0000-0000-00006D040000}"/>
    <cellStyle name="Comma 4 4 3 9" xfId="1137" xr:uid="{00000000-0005-0000-0000-00006E040000}"/>
    <cellStyle name="Comma 4 4 4" xfId="1138" xr:uid="{00000000-0005-0000-0000-00006F040000}"/>
    <cellStyle name="Comma 4 4 4 2" xfId="1139" xr:uid="{00000000-0005-0000-0000-000070040000}"/>
    <cellStyle name="Comma 4 4 4 2 2" xfId="1140" xr:uid="{00000000-0005-0000-0000-000071040000}"/>
    <cellStyle name="Comma 4 4 4 2 3" xfId="1141" xr:uid="{00000000-0005-0000-0000-000072040000}"/>
    <cellStyle name="Comma 4 4 4 2 4" xfId="1142" xr:uid="{00000000-0005-0000-0000-000073040000}"/>
    <cellStyle name="Comma 4 4 4 3" xfId="1143" xr:uid="{00000000-0005-0000-0000-000074040000}"/>
    <cellStyle name="Comma 4 4 4 4" xfId="1144" xr:uid="{00000000-0005-0000-0000-000075040000}"/>
    <cellStyle name="Comma 4 4 4 5" xfId="1145" xr:uid="{00000000-0005-0000-0000-000076040000}"/>
    <cellStyle name="Comma 4 4 5" xfId="1146" xr:uid="{00000000-0005-0000-0000-000077040000}"/>
    <cellStyle name="Comma 4 4 5 2" xfId="1147" xr:uid="{00000000-0005-0000-0000-000078040000}"/>
    <cellStyle name="Comma 4 4 5 2 2" xfId="1148" xr:uid="{00000000-0005-0000-0000-000079040000}"/>
    <cellStyle name="Comma 4 4 5 2 3" xfId="1149" xr:uid="{00000000-0005-0000-0000-00007A040000}"/>
    <cellStyle name="Comma 4 4 5 2 4" xfId="1150" xr:uid="{00000000-0005-0000-0000-00007B040000}"/>
    <cellStyle name="Comma 4 4 5 3" xfId="1151" xr:uid="{00000000-0005-0000-0000-00007C040000}"/>
    <cellStyle name="Comma 4 4 5 4" xfId="1152" xr:uid="{00000000-0005-0000-0000-00007D040000}"/>
    <cellStyle name="Comma 4 4 5 5" xfId="1153" xr:uid="{00000000-0005-0000-0000-00007E040000}"/>
    <cellStyle name="Comma 4 4 6" xfId="1154" xr:uid="{00000000-0005-0000-0000-00007F040000}"/>
    <cellStyle name="Comma 4 4 6 2" xfId="1155" xr:uid="{00000000-0005-0000-0000-000080040000}"/>
    <cellStyle name="Comma 4 4 6 2 2" xfId="1156" xr:uid="{00000000-0005-0000-0000-000081040000}"/>
    <cellStyle name="Comma 4 4 6 2 3" xfId="1157" xr:uid="{00000000-0005-0000-0000-000082040000}"/>
    <cellStyle name="Comma 4 4 6 2 4" xfId="1158" xr:uid="{00000000-0005-0000-0000-000083040000}"/>
    <cellStyle name="Comma 4 4 6 3" xfId="1159" xr:uid="{00000000-0005-0000-0000-000084040000}"/>
    <cellStyle name="Comma 4 4 6 4" xfId="1160" xr:uid="{00000000-0005-0000-0000-000085040000}"/>
    <cellStyle name="Comma 4 4 6 5" xfId="1161" xr:uid="{00000000-0005-0000-0000-000086040000}"/>
    <cellStyle name="Comma 4 4 7" xfId="1162" xr:uid="{00000000-0005-0000-0000-000087040000}"/>
    <cellStyle name="Comma 4 4 7 2" xfId="1163" xr:uid="{00000000-0005-0000-0000-000088040000}"/>
    <cellStyle name="Comma 4 4 7 3" xfId="1164" xr:uid="{00000000-0005-0000-0000-000089040000}"/>
    <cellStyle name="Comma 4 4 7 4" xfId="1165" xr:uid="{00000000-0005-0000-0000-00008A040000}"/>
    <cellStyle name="Comma 4 4 8" xfId="1166" xr:uid="{00000000-0005-0000-0000-00008B040000}"/>
    <cellStyle name="Comma 4 4 8 2" xfId="1167" xr:uid="{00000000-0005-0000-0000-00008C040000}"/>
    <cellStyle name="Comma 4 4 8 3" xfId="1168" xr:uid="{00000000-0005-0000-0000-00008D040000}"/>
    <cellStyle name="Comma 4 4 8 4" xfId="1169" xr:uid="{00000000-0005-0000-0000-00008E040000}"/>
    <cellStyle name="Comma 4 4 9" xfId="1170" xr:uid="{00000000-0005-0000-0000-00008F040000}"/>
    <cellStyle name="Comma 4 5" xfId="1171" xr:uid="{00000000-0005-0000-0000-000090040000}"/>
    <cellStyle name="Comma 4 5 10" xfId="1172" xr:uid="{00000000-0005-0000-0000-000091040000}"/>
    <cellStyle name="Comma 4 5 11" xfId="1173" xr:uid="{00000000-0005-0000-0000-000092040000}"/>
    <cellStyle name="Comma 4 5 2" xfId="1174" xr:uid="{00000000-0005-0000-0000-000093040000}"/>
    <cellStyle name="Comma 4 5 2 2" xfId="1175" xr:uid="{00000000-0005-0000-0000-000094040000}"/>
    <cellStyle name="Comma 4 5 2 2 2" xfId="1176" xr:uid="{00000000-0005-0000-0000-000095040000}"/>
    <cellStyle name="Comma 4 5 2 2 2 2" xfId="1177" xr:uid="{00000000-0005-0000-0000-000096040000}"/>
    <cellStyle name="Comma 4 5 2 2 2 3" xfId="1178" xr:uid="{00000000-0005-0000-0000-000097040000}"/>
    <cellStyle name="Comma 4 5 2 2 2 4" xfId="1179" xr:uid="{00000000-0005-0000-0000-000098040000}"/>
    <cellStyle name="Comma 4 5 2 2 3" xfId="1180" xr:uid="{00000000-0005-0000-0000-000099040000}"/>
    <cellStyle name="Comma 4 5 2 2 4" xfId="1181" xr:uid="{00000000-0005-0000-0000-00009A040000}"/>
    <cellStyle name="Comma 4 5 2 2 5" xfId="1182" xr:uid="{00000000-0005-0000-0000-00009B040000}"/>
    <cellStyle name="Comma 4 5 2 3" xfId="1183" xr:uid="{00000000-0005-0000-0000-00009C040000}"/>
    <cellStyle name="Comma 4 5 2 3 2" xfId="1184" xr:uid="{00000000-0005-0000-0000-00009D040000}"/>
    <cellStyle name="Comma 4 5 2 3 2 2" xfId="1185" xr:uid="{00000000-0005-0000-0000-00009E040000}"/>
    <cellStyle name="Comma 4 5 2 3 2 3" xfId="1186" xr:uid="{00000000-0005-0000-0000-00009F040000}"/>
    <cellStyle name="Comma 4 5 2 3 2 4" xfId="1187" xr:uid="{00000000-0005-0000-0000-0000A0040000}"/>
    <cellStyle name="Comma 4 5 2 3 3" xfId="1188" xr:uid="{00000000-0005-0000-0000-0000A1040000}"/>
    <cellStyle name="Comma 4 5 2 3 4" xfId="1189" xr:uid="{00000000-0005-0000-0000-0000A2040000}"/>
    <cellStyle name="Comma 4 5 2 3 5" xfId="1190" xr:uid="{00000000-0005-0000-0000-0000A3040000}"/>
    <cellStyle name="Comma 4 5 2 4" xfId="1191" xr:uid="{00000000-0005-0000-0000-0000A4040000}"/>
    <cellStyle name="Comma 4 5 2 4 2" xfId="1192" xr:uid="{00000000-0005-0000-0000-0000A5040000}"/>
    <cellStyle name="Comma 4 5 2 4 2 2" xfId="1193" xr:uid="{00000000-0005-0000-0000-0000A6040000}"/>
    <cellStyle name="Comma 4 5 2 4 2 3" xfId="1194" xr:uid="{00000000-0005-0000-0000-0000A7040000}"/>
    <cellStyle name="Comma 4 5 2 4 2 4" xfId="1195" xr:uid="{00000000-0005-0000-0000-0000A8040000}"/>
    <cellStyle name="Comma 4 5 2 4 3" xfId="1196" xr:uid="{00000000-0005-0000-0000-0000A9040000}"/>
    <cellStyle name="Comma 4 5 2 4 4" xfId="1197" xr:uid="{00000000-0005-0000-0000-0000AA040000}"/>
    <cellStyle name="Comma 4 5 2 4 5" xfId="1198" xr:uid="{00000000-0005-0000-0000-0000AB040000}"/>
    <cellStyle name="Comma 4 5 2 5" xfId="1199" xr:uid="{00000000-0005-0000-0000-0000AC040000}"/>
    <cellStyle name="Comma 4 5 2 5 2" xfId="1200" xr:uid="{00000000-0005-0000-0000-0000AD040000}"/>
    <cellStyle name="Comma 4 5 2 5 3" xfId="1201" xr:uid="{00000000-0005-0000-0000-0000AE040000}"/>
    <cellStyle name="Comma 4 5 2 5 4" xfId="1202" xr:uid="{00000000-0005-0000-0000-0000AF040000}"/>
    <cellStyle name="Comma 4 5 2 6" xfId="1203" xr:uid="{00000000-0005-0000-0000-0000B0040000}"/>
    <cellStyle name="Comma 4 5 2 6 2" xfId="1204" xr:uid="{00000000-0005-0000-0000-0000B1040000}"/>
    <cellStyle name="Comma 4 5 2 6 3" xfId="1205" xr:uid="{00000000-0005-0000-0000-0000B2040000}"/>
    <cellStyle name="Comma 4 5 2 6 4" xfId="1206" xr:uid="{00000000-0005-0000-0000-0000B3040000}"/>
    <cellStyle name="Comma 4 5 2 7" xfId="1207" xr:uid="{00000000-0005-0000-0000-0000B4040000}"/>
    <cellStyle name="Comma 4 5 2 8" xfId="1208" xr:uid="{00000000-0005-0000-0000-0000B5040000}"/>
    <cellStyle name="Comma 4 5 2 9" xfId="1209" xr:uid="{00000000-0005-0000-0000-0000B6040000}"/>
    <cellStyle name="Comma 4 5 3" xfId="1210" xr:uid="{00000000-0005-0000-0000-0000B7040000}"/>
    <cellStyle name="Comma 4 5 3 2" xfId="1211" xr:uid="{00000000-0005-0000-0000-0000B8040000}"/>
    <cellStyle name="Comma 4 5 3 2 2" xfId="1212" xr:uid="{00000000-0005-0000-0000-0000B9040000}"/>
    <cellStyle name="Comma 4 5 3 2 3" xfId="1213" xr:uid="{00000000-0005-0000-0000-0000BA040000}"/>
    <cellStyle name="Comma 4 5 3 2 4" xfId="1214" xr:uid="{00000000-0005-0000-0000-0000BB040000}"/>
    <cellStyle name="Comma 4 5 3 3" xfId="1215" xr:uid="{00000000-0005-0000-0000-0000BC040000}"/>
    <cellStyle name="Comma 4 5 3 4" xfId="1216" xr:uid="{00000000-0005-0000-0000-0000BD040000}"/>
    <cellStyle name="Comma 4 5 3 5" xfId="1217" xr:uid="{00000000-0005-0000-0000-0000BE040000}"/>
    <cellStyle name="Comma 4 5 4" xfId="1218" xr:uid="{00000000-0005-0000-0000-0000BF040000}"/>
    <cellStyle name="Comma 4 5 4 2" xfId="1219" xr:uid="{00000000-0005-0000-0000-0000C0040000}"/>
    <cellStyle name="Comma 4 5 4 2 2" xfId="1220" xr:uid="{00000000-0005-0000-0000-0000C1040000}"/>
    <cellStyle name="Comma 4 5 4 2 3" xfId="1221" xr:uid="{00000000-0005-0000-0000-0000C2040000}"/>
    <cellStyle name="Comma 4 5 4 2 4" xfId="1222" xr:uid="{00000000-0005-0000-0000-0000C3040000}"/>
    <cellStyle name="Comma 4 5 4 3" xfId="1223" xr:uid="{00000000-0005-0000-0000-0000C4040000}"/>
    <cellStyle name="Comma 4 5 4 4" xfId="1224" xr:uid="{00000000-0005-0000-0000-0000C5040000}"/>
    <cellStyle name="Comma 4 5 4 5" xfId="1225" xr:uid="{00000000-0005-0000-0000-0000C6040000}"/>
    <cellStyle name="Comma 4 5 5" xfId="1226" xr:uid="{00000000-0005-0000-0000-0000C7040000}"/>
    <cellStyle name="Comma 4 5 5 2" xfId="1227" xr:uid="{00000000-0005-0000-0000-0000C8040000}"/>
    <cellStyle name="Comma 4 5 5 2 2" xfId="1228" xr:uid="{00000000-0005-0000-0000-0000C9040000}"/>
    <cellStyle name="Comma 4 5 5 2 3" xfId="1229" xr:uid="{00000000-0005-0000-0000-0000CA040000}"/>
    <cellStyle name="Comma 4 5 5 2 4" xfId="1230" xr:uid="{00000000-0005-0000-0000-0000CB040000}"/>
    <cellStyle name="Comma 4 5 5 3" xfId="1231" xr:uid="{00000000-0005-0000-0000-0000CC040000}"/>
    <cellStyle name="Comma 4 5 5 4" xfId="1232" xr:uid="{00000000-0005-0000-0000-0000CD040000}"/>
    <cellStyle name="Comma 4 5 5 5" xfId="1233" xr:uid="{00000000-0005-0000-0000-0000CE040000}"/>
    <cellStyle name="Comma 4 5 6" xfId="1234" xr:uid="{00000000-0005-0000-0000-0000CF040000}"/>
    <cellStyle name="Comma 4 5 6 2" xfId="1235" xr:uid="{00000000-0005-0000-0000-0000D0040000}"/>
    <cellStyle name="Comma 4 5 6 3" xfId="1236" xr:uid="{00000000-0005-0000-0000-0000D1040000}"/>
    <cellStyle name="Comma 4 5 6 4" xfId="1237" xr:uid="{00000000-0005-0000-0000-0000D2040000}"/>
    <cellStyle name="Comma 4 5 7" xfId="1238" xr:uid="{00000000-0005-0000-0000-0000D3040000}"/>
    <cellStyle name="Comma 4 5 7 2" xfId="1239" xr:uid="{00000000-0005-0000-0000-0000D4040000}"/>
    <cellStyle name="Comma 4 5 7 3" xfId="1240" xr:uid="{00000000-0005-0000-0000-0000D5040000}"/>
    <cellStyle name="Comma 4 5 7 4" xfId="1241" xr:uid="{00000000-0005-0000-0000-0000D6040000}"/>
    <cellStyle name="Comma 4 5 8" xfId="1242" xr:uid="{00000000-0005-0000-0000-0000D7040000}"/>
    <cellStyle name="Comma 4 5 9" xfId="1243" xr:uid="{00000000-0005-0000-0000-0000D8040000}"/>
    <cellStyle name="Comma 4 6" xfId="1244" xr:uid="{00000000-0005-0000-0000-0000D9040000}"/>
    <cellStyle name="Comma 4 6 2" xfId="1245" xr:uid="{00000000-0005-0000-0000-0000DA040000}"/>
    <cellStyle name="Comma 4 6 2 2" xfId="1246" xr:uid="{00000000-0005-0000-0000-0000DB040000}"/>
    <cellStyle name="Comma 4 6 2 2 2" xfId="1247" xr:uid="{00000000-0005-0000-0000-0000DC040000}"/>
    <cellStyle name="Comma 4 6 2 2 3" xfId="1248" xr:uid="{00000000-0005-0000-0000-0000DD040000}"/>
    <cellStyle name="Comma 4 6 2 2 4" xfId="1249" xr:uid="{00000000-0005-0000-0000-0000DE040000}"/>
    <cellStyle name="Comma 4 6 2 3" xfId="1250" xr:uid="{00000000-0005-0000-0000-0000DF040000}"/>
    <cellStyle name="Comma 4 6 2 4" xfId="1251" xr:uid="{00000000-0005-0000-0000-0000E0040000}"/>
    <cellStyle name="Comma 4 6 2 5" xfId="1252" xr:uid="{00000000-0005-0000-0000-0000E1040000}"/>
    <cellStyle name="Comma 4 6 3" xfId="1253" xr:uid="{00000000-0005-0000-0000-0000E2040000}"/>
    <cellStyle name="Comma 4 6 3 2" xfId="1254" xr:uid="{00000000-0005-0000-0000-0000E3040000}"/>
    <cellStyle name="Comma 4 6 3 2 2" xfId="1255" xr:uid="{00000000-0005-0000-0000-0000E4040000}"/>
    <cellStyle name="Comma 4 6 3 2 3" xfId="1256" xr:uid="{00000000-0005-0000-0000-0000E5040000}"/>
    <cellStyle name="Comma 4 6 3 2 4" xfId="1257" xr:uid="{00000000-0005-0000-0000-0000E6040000}"/>
    <cellStyle name="Comma 4 6 3 3" xfId="1258" xr:uid="{00000000-0005-0000-0000-0000E7040000}"/>
    <cellStyle name="Comma 4 6 3 4" xfId="1259" xr:uid="{00000000-0005-0000-0000-0000E8040000}"/>
    <cellStyle name="Comma 4 6 3 5" xfId="1260" xr:uid="{00000000-0005-0000-0000-0000E9040000}"/>
    <cellStyle name="Comma 4 6 4" xfId="1261" xr:uid="{00000000-0005-0000-0000-0000EA040000}"/>
    <cellStyle name="Comma 4 6 4 2" xfId="1262" xr:uid="{00000000-0005-0000-0000-0000EB040000}"/>
    <cellStyle name="Comma 4 6 4 2 2" xfId="1263" xr:uid="{00000000-0005-0000-0000-0000EC040000}"/>
    <cellStyle name="Comma 4 6 4 2 3" xfId="1264" xr:uid="{00000000-0005-0000-0000-0000ED040000}"/>
    <cellStyle name="Comma 4 6 4 2 4" xfId="1265" xr:uid="{00000000-0005-0000-0000-0000EE040000}"/>
    <cellStyle name="Comma 4 6 4 3" xfId="1266" xr:uid="{00000000-0005-0000-0000-0000EF040000}"/>
    <cellStyle name="Comma 4 6 4 4" xfId="1267" xr:uid="{00000000-0005-0000-0000-0000F0040000}"/>
    <cellStyle name="Comma 4 6 4 5" xfId="1268" xr:uid="{00000000-0005-0000-0000-0000F1040000}"/>
    <cellStyle name="Comma 4 6 5" xfId="1269" xr:uid="{00000000-0005-0000-0000-0000F2040000}"/>
    <cellStyle name="Comma 4 6 5 2" xfId="1270" xr:uid="{00000000-0005-0000-0000-0000F3040000}"/>
    <cellStyle name="Comma 4 6 5 3" xfId="1271" xr:uid="{00000000-0005-0000-0000-0000F4040000}"/>
    <cellStyle name="Comma 4 6 5 4" xfId="1272" xr:uid="{00000000-0005-0000-0000-0000F5040000}"/>
    <cellStyle name="Comma 4 6 6" xfId="1273" xr:uid="{00000000-0005-0000-0000-0000F6040000}"/>
    <cellStyle name="Comma 4 6 6 2" xfId="1274" xr:uid="{00000000-0005-0000-0000-0000F7040000}"/>
    <cellStyle name="Comma 4 6 6 3" xfId="1275" xr:uid="{00000000-0005-0000-0000-0000F8040000}"/>
    <cellStyle name="Comma 4 6 6 4" xfId="1276" xr:uid="{00000000-0005-0000-0000-0000F9040000}"/>
    <cellStyle name="Comma 4 6 7" xfId="1277" xr:uid="{00000000-0005-0000-0000-0000FA040000}"/>
    <cellStyle name="Comma 4 6 8" xfId="1278" xr:uid="{00000000-0005-0000-0000-0000FB040000}"/>
    <cellStyle name="Comma 4 6 9" xfId="1279" xr:uid="{00000000-0005-0000-0000-0000FC040000}"/>
    <cellStyle name="Comma 4 7" xfId="1280" xr:uid="{00000000-0005-0000-0000-0000FD040000}"/>
    <cellStyle name="Comma 5" xfId="1281" xr:uid="{00000000-0005-0000-0000-0000FE040000}"/>
    <cellStyle name="Comma 5 2" xfId="1282" xr:uid="{00000000-0005-0000-0000-0000FF040000}"/>
    <cellStyle name="Comma 5 2 10" xfId="1283" xr:uid="{00000000-0005-0000-0000-000000050000}"/>
    <cellStyle name="Comma 5 2 11" xfId="1284" xr:uid="{00000000-0005-0000-0000-000001050000}"/>
    <cellStyle name="Comma 5 2 2" xfId="1285" xr:uid="{00000000-0005-0000-0000-000002050000}"/>
    <cellStyle name="Comma 5 2 2 2" xfId="1286" xr:uid="{00000000-0005-0000-0000-000003050000}"/>
    <cellStyle name="Comma 5 2 2 2 2" xfId="1287" xr:uid="{00000000-0005-0000-0000-000004050000}"/>
    <cellStyle name="Comma 5 2 2 2 2 2" xfId="1288" xr:uid="{00000000-0005-0000-0000-000005050000}"/>
    <cellStyle name="Comma 5 2 2 2 2 3" xfId="1289" xr:uid="{00000000-0005-0000-0000-000006050000}"/>
    <cellStyle name="Comma 5 2 2 2 2 4" xfId="1290" xr:uid="{00000000-0005-0000-0000-000007050000}"/>
    <cellStyle name="Comma 5 2 2 2 3" xfId="1291" xr:uid="{00000000-0005-0000-0000-000008050000}"/>
    <cellStyle name="Comma 5 2 2 2 4" xfId="1292" xr:uid="{00000000-0005-0000-0000-000009050000}"/>
    <cellStyle name="Comma 5 2 2 2 5" xfId="1293" xr:uid="{00000000-0005-0000-0000-00000A050000}"/>
    <cellStyle name="Comma 5 2 2 3" xfId="1294" xr:uid="{00000000-0005-0000-0000-00000B050000}"/>
    <cellStyle name="Comma 5 2 2 3 2" xfId="1295" xr:uid="{00000000-0005-0000-0000-00000C050000}"/>
    <cellStyle name="Comma 5 2 2 3 2 2" xfId="1296" xr:uid="{00000000-0005-0000-0000-00000D050000}"/>
    <cellStyle name="Comma 5 2 2 3 2 3" xfId="1297" xr:uid="{00000000-0005-0000-0000-00000E050000}"/>
    <cellStyle name="Comma 5 2 2 3 2 4" xfId="1298" xr:uid="{00000000-0005-0000-0000-00000F050000}"/>
    <cellStyle name="Comma 5 2 2 3 3" xfId="1299" xr:uid="{00000000-0005-0000-0000-000010050000}"/>
    <cellStyle name="Comma 5 2 2 3 4" xfId="1300" xr:uid="{00000000-0005-0000-0000-000011050000}"/>
    <cellStyle name="Comma 5 2 2 3 5" xfId="1301" xr:uid="{00000000-0005-0000-0000-000012050000}"/>
    <cellStyle name="Comma 5 2 2 4" xfId="1302" xr:uid="{00000000-0005-0000-0000-000013050000}"/>
    <cellStyle name="Comma 5 2 2 4 2" xfId="1303" xr:uid="{00000000-0005-0000-0000-000014050000}"/>
    <cellStyle name="Comma 5 2 2 4 2 2" xfId="1304" xr:uid="{00000000-0005-0000-0000-000015050000}"/>
    <cellStyle name="Comma 5 2 2 4 2 3" xfId="1305" xr:uid="{00000000-0005-0000-0000-000016050000}"/>
    <cellStyle name="Comma 5 2 2 4 2 4" xfId="1306" xr:uid="{00000000-0005-0000-0000-000017050000}"/>
    <cellStyle name="Comma 5 2 2 4 3" xfId="1307" xr:uid="{00000000-0005-0000-0000-000018050000}"/>
    <cellStyle name="Comma 5 2 2 4 4" xfId="1308" xr:uid="{00000000-0005-0000-0000-000019050000}"/>
    <cellStyle name="Comma 5 2 2 4 5" xfId="1309" xr:uid="{00000000-0005-0000-0000-00001A050000}"/>
    <cellStyle name="Comma 5 2 2 5" xfId="1310" xr:uid="{00000000-0005-0000-0000-00001B050000}"/>
    <cellStyle name="Comma 5 2 2 5 2" xfId="1311" xr:uid="{00000000-0005-0000-0000-00001C050000}"/>
    <cellStyle name="Comma 5 2 2 5 3" xfId="1312" xr:uid="{00000000-0005-0000-0000-00001D050000}"/>
    <cellStyle name="Comma 5 2 2 5 4" xfId="1313" xr:uid="{00000000-0005-0000-0000-00001E050000}"/>
    <cellStyle name="Comma 5 2 2 6" xfId="1314" xr:uid="{00000000-0005-0000-0000-00001F050000}"/>
    <cellStyle name="Comma 5 2 2 6 2" xfId="1315" xr:uid="{00000000-0005-0000-0000-000020050000}"/>
    <cellStyle name="Comma 5 2 2 6 3" xfId="1316" xr:uid="{00000000-0005-0000-0000-000021050000}"/>
    <cellStyle name="Comma 5 2 2 6 4" xfId="1317" xr:uid="{00000000-0005-0000-0000-000022050000}"/>
    <cellStyle name="Comma 5 2 2 7" xfId="1318" xr:uid="{00000000-0005-0000-0000-000023050000}"/>
    <cellStyle name="Comma 5 2 2 8" xfId="1319" xr:uid="{00000000-0005-0000-0000-000024050000}"/>
    <cellStyle name="Comma 5 2 2 9" xfId="1320" xr:uid="{00000000-0005-0000-0000-000025050000}"/>
    <cellStyle name="Comma 5 2 3" xfId="1321" xr:uid="{00000000-0005-0000-0000-000026050000}"/>
    <cellStyle name="Comma 5 2 3 2" xfId="1322" xr:uid="{00000000-0005-0000-0000-000027050000}"/>
    <cellStyle name="Comma 5 2 3 2 2" xfId="1323" xr:uid="{00000000-0005-0000-0000-000028050000}"/>
    <cellStyle name="Comma 5 2 3 2 3" xfId="1324" xr:uid="{00000000-0005-0000-0000-000029050000}"/>
    <cellStyle name="Comma 5 2 3 2 4" xfId="1325" xr:uid="{00000000-0005-0000-0000-00002A050000}"/>
    <cellStyle name="Comma 5 2 3 3" xfId="1326" xr:uid="{00000000-0005-0000-0000-00002B050000}"/>
    <cellStyle name="Comma 5 2 3 4" xfId="1327" xr:uid="{00000000-0005-0000-0000-00002C050000}"/>
    <cellStyle name="Comma 5 2 3 5" xfId="1328" xr:uid="{00000000-0005-0000-0000-00002D050000}"/>
    <cellStyle name="Comma 5 2 4" xfId="1329" xr:uid="{00000000-0005-0000-0000-00002E050000}"/>
    <cellStyle name="Comma 5 2 4 2" xfId="1330" xr:uid="{00000000-0005-0000-0000-00002F050000}"/>
    <cellStyle name="Comma 5 2 4 2 2" xfId="1331" xr:uid="{00000000-0005-0000-0000-000030050000}"/>
    <cellStyle name="Comma 5 2 4 2 3" xfId="1332" xr:uid="{00000000-0005-0000-0000-000031050000}"/>
    <cellStyle name="Comma 5 2 4 2 4" xfId="1333" xr:uid="{00000000-0005-0000-0000-000032050000}"/>
    <cellStyle name="Comma 5 2 4 3" xfId="1334" xr:uid="{00000000-0005-0000-0000-000033050000}"/>
    <cellStyle name="Comma 5 2 4 4" xfId="1335" xr:uid="{00000000-0005-0000-0000-000034050000}"/>
    <cellStyle name="Comma 5 2 4 5" xfId="1336" xr:uid="{00000000-0005-0000-0000-000035050000}"/>
    <cellStyle name="Comma 5 2 5" xfId="1337" xr:uid="{00000000-0005-0000-0000-000036050000}"/>
    <cellStyle name="Comma 5 2 5 2" xfId="1338" xr:uid="{00000000-0005-0000-0000-000037050000}"/>
    <cellStyle name="Comma 5 2 5 2 2" xfId="1339" xr:uid="{00000000-0005-0000-0000-000038050000}"/>
    <cellStyle name="Comma 5 2 5 2 3" xfId="1340" xr:uid="{00000000-0005-0000-0000-000039050000}"/>
    <cellStyle name="Comma 5 2 5 2 4" xfId="1341" xr:uid="{00000000-0005-0000-0000-00003A050000}"/>
    <cellStyle name="Comma 5 2 5 3" xfId="1342" xr:uid="{00000000-0005-0000-0000-00003B050000}"/>
    <cellStyle name="Comma 5 2 5 4" xfId="1343" xr:uid="{00000000-0005-0000-0000-00003C050000}"/>
    <cellStyle name="Comma 5 2 5 5" xfId="1344" xr:uid="{00000000-0005-0000-0000-00003D050000}"/>
    <cellStyle name="Comma 5 2 6" xfId="1345" xr:uid="{00000000-0005-0000-0000-00003E050000}"/>
    <cellStyle name="Comma 5 2 6 2" xfId="1346" xr:uid="{00000000-0005-0000-0000-00003F050000}"/>
    <cellStyle name="Comma 5 2 6 3" xfId="1347" xr:uid="{00000000-0005-0000-0000-000040050000}"/>
    <cellStyle name="Comma 5 2 6 4" xfId="1348" xr:uid="{00000000-0005-0000-0000-000041050000}"/>
    <cellStyle name="Comma 5 2 7" xfId="1349" xr:uid="{00000000-0005-0000-0000-000042050000}"/>
    <cellStyle name="Comma 5 2 7 2" xfId="1350" xr:uid="{00000000-0005-0000-0000-000043050000}"/>
    <cellStyle name="Comma 5 2 7 3" xfId="1351" xr:uid="{00000000-0005-0000-0000-000044050000}"/>
    <cellStyle name="Comma 5 2 7 4" xfId="1352" xr:uid="{00000000-0005-0000-0000-000045050000}"/>
    <cellStyle name="Comma 5 2 8" xfId="1353" xr:uid="{00000000-0005-0000-0000-000046050000}"/>
    <cellStyle name="Comma 5 2 9" xfId="1354" xr:uid="{00000000-0005-0000-0000-000047050000}"/>
    <cellStyle name="Comma 5 3" xfId="1355" xr:uid="{00000000-0005-0000-0000-000048050000}"/>
    <cellStyle name="Comma 5 3 2" xfId="1356" xr:uid="{00000000-0005-0000-0000-000049050000}"/>
    <cellStyle name="Comma 5 3 3" xfId="1357" xr:uid="{00000000-0005-0000-0000-00004A050000}"/>
    <cellStyle name="Comma 5 4" xfId="1358" xr:uid="{00000000-0005-0000-0000-00004B050000}"/>
    <cellStyle name="Comma 5 4 10" xfId="1359" xr:uid="{00000000-0005-0000-0000-00004C050000}"/>
    <cellStyle name="Comma 5 4 2" xfId="1360" xr:uid="{00000000-0005-0000-0000-00004D050000}"/>
    <cellStyle name="Comma 5 4 2 2" xfId="1361" xr:uid="{00000000-0005-0000-0000-00004E050000}"/>
    <cellStyle name="Comma 5 4 2 2 2" xfId="1362" xr:uid="{00000000-0005-0000-0000-00004F050000}"/>
    <cellStyle name="Comma 5 4 2 2 3" xfId="1363" xr:uid="{00000000-0005-0000-0000-000050050000}"/>
    <cellStyle name="Comma 5 4 2 2 4" xfId="1364" xr:uid="{00000000-0005-0000-0000-000051050000}"/>
    <cellStyle name="Comma 5 4 2 3" xfId="1365" xr:uid="{00000000-0005-0000-0000-000052050000}"/>
    <cellStyle name="Comma 5 4 2 4" xfId="1366" xr:uid="{00000000-0005-0000-0000-000053050000}"/>
    <cellStyle name="Comma 5 4 2 5" xfId="1367" xr:uid="{00000000-0005-0000-0000-000054050000}"/>
    <cellStyle name="Comma 5 4 3" xfId="1368" xr:uid="{00000000-0005-0000-0000-000055050000}"/>
    <cellStyle name="Comma 5 4 3 2" xfId="1369" xr:uid="{00000000-0005-0000-0000-000056050000}"/>
    <cellStyle name="Comma 5 4 3 2 2" xfId="1370" xr:uid="{00000000-0005-0000-0000-000057050000}"/>
    <cellStyle name="Comma 5 4 3 2 3" xfId="1371" xr:uid="{00000000-0005-0000-0000-000058050000}"/>
    <cellStyle name="Comma 5 4 3 2 4" xfId="1372" xr:uid="{00000000-0005-0000-0000-000059050000}"/>
    <cellStyle name="Comma 5 4 3 3" xfId="1373" xr:uid="{00000000-0005-0000-0000-00005A050000}"/>
    <cellStyle name="Comma 5 4 3 4" xfId="1374" xr:uid="{00000000-0005-0000-0000-00005B050000}"/>
    <cellStyle name="Comma 5 4 3 5" xfId="1375" xr:uid="{00000000-0005-0000-0000-00005C050000}"/>
    <cellStyle name="Comma 5 4 4" xfId="1376" xr:uid="{00000000-0005-0000-0000-00005D050000}"/>
    <cellStyle name="Comma 5 4 4 2" xfId="1377" xr:uid="{00000000-0005-0000-0000-00005E050000}"/>
    <cellStyle name="Comma 5 4 4 2 2" xfId="1378" xr:uid="{00000000-0005-0000-0000-00005F050000}"/>
    <cellStyle name="Comma 5 4 4 2 3" xfId="1379" xr:uid="{00000000-0005-0000-0000-000060050000}"/>
    <cellStyle name="Comma 5 4 4 2 4" xfId="1380" xr:uid="{00000000-0005-0000-0000-000061050000}"/>
    <cellStyle name="Comma 5 4 4 3" xfId="1381" xr:uid="{00000000-0005-0000-0000-000062050000}"/>
    <cellStyle name="Comma 5 4 4 4" xfId="1382" xr:uid="{00000000-0005-0000-0000-000063050000}"/>
    <cellStyle name="Comma 5 4 4 5" xfId="1383" xr:uid="{00000000-0005-0000-0000-000064050000}"/>
    <cellStyle name="Comma 5 4 5" xfId="1384" xr:uid="{00000000-0005-0000-0000-000065050000}"/>
    <cellStyle name="Comma 5 4 5 2" xfId="1385" xr:uid="{00000000-0005-0000-0000-000066050000}"/>
    <cellStyle name="Comma 5 4 5 3" xfId="1386" xr:uid="{00000000-0005-0000-0000-000067050000}"/>
    <cellStyle name="Comma 5 4 5 4" xfId="1387" xr:uid="{00000000-0005-0000-0000-000068050000}"/>
    <cellStyle name="Comma 5 4 6" xfId="1388" xr:uid="{00000000-0005-0000-0000-000069050000}"/>
    <cellStyle name="Comma 5 4 6 2" xfId="1389" xr:uid="{00000000-0005-0000-0000-00006A050000}"/>
    <cellStyle name="Comma 5 4 6 3" xfId="1390" xr:uid="{00000000-0005-0000-0000-00006B050000}"/>
    <cellStyle name="Comma 5 4 6 4" xfId="1391" xr:uid="{00000000-0005-0000-0000-00006C050000}"/>
    <cellStyle name="Comma 5 4 7" xfId="1392" xr:uid="{00000000-0005-0000-0000-00006D050000}"/>
    <cellStyle name="Comma 5 4 8" xfId="1393" xr:uid="{00000000-0005-0000-0000-00006E050000}"/>
    <cellStyle name="Comma 5 4 9" xfId="1394" xr:uid="{00000000-0005-0000-0000-00006F050000}"/>
    <cellStyle name="Comma 5 5" xfId="1395" xr:uid="{00000000-0005-0000-0000-000070050000}"/>
    <cellStyle name="Comma 5 6" xfId="1396" xr:uid="{00000000-0005-0000-0000-000071050000}"/>
    <cellStyle name="Comma 6" xfId="1397" xr:uid="{00000000-0005-0000-0000-000072050000}"/>
    <cellStyle name="Comma 6 2" xfId="1398" xr:uid="{00000000-0005-0000-0000-000073050000}"/>
    <cellStyle name="Comma 6 2 10" xfId="1399" xr:uid="{00000000-0005-0000-0000-000074050000}"/>
    <cellStyle name="Comma 6 2 11" xfId="1400" xr:uid="{00000000-0005-0000-0000-000075050000}"/>
    <cellStyle name="Comma 6 2 2" xfId="1401" xr:uid="{00000000-0005-0000-0000-000076050000}"/>
    <cellStyle name="Comma 6 2 2 2" xfId="1402" xr:uid="{00000000-0005-0000-0000-000077050000}"/>
    <cellStyle name="Comma 6 2 2 2 2" xfId="1403" xr:uid="{00000000-0005-0000-0000-000078050000}"/>
    <cellStyle name="Comma 6 2 2 2 2 2" xfId="1404" xr:uid="{00000000-0005-0000-0000-000079050000}"/>
    <cellStyle name="Comma 6 2 2 2 2 3" xfId="1405" xr:uid="{00000000-0005-0000-0000-00007A050000}"/>
    <cellStyle name="Comma 6 2 2 2 2 4" xfId="1406" xr:uid="{00000000-0005-0000-0000-00007B050000}"/>
    <cellStyle name="Comma 6 2 2 2 3" xfId="1407" xr:uid="{00000000-0005-0000-0000-00007C050000}"/>
    <cellStyle name="Comma 6 2 2 2 4" xfId="1408" xr:uid="{00000000-0005-0000-0000-00007D050000}"/>
    <cellStyle name="Comma 6 2 2 2 5" xfId="1409" xr:uid="{00000000-0005-0000-0000-00007E050000}"/>
    <cellStyle name="Comma 6 2 2 3" xfId="1410" xr:uid="{00000000-0005-0000-0000-00007F050000}"/>
    <cellStyle name="Comma 6 2 2 3 2" xfId="1411" xr:uid="{00000000-0005-0000-0000-000080050000}"/>
    <cellStyle name="Comma 6 2 2 3 2 2" xfId="1412" xr:uid="{00000000-0005-0000-0000-000081050000}"/>
    <cellStyle name="Comma 6 2 2 3 2 3" xfId="1413" xr:uid="{00000000-0005-0000-0000-000082050000}"/>
    <cellStyle name="Comma 6 2 2 3 2 4" xfId="1414" xr:uid="{00000000-0005-0000-0000-000083050000}"/>
    <cellStyle name="Comma 6 2 2 3 3" xfId="1415" xr:uid="{00000000-0005-0000-0000-000084050000}"/>
    <cellStyle name="Comma 6 2 2 3 4" xfId="1416" xr:uid="{00000000-0005-0000-0000-000085050000}"/>
    <cellStyle name="Comma 6 2 2 3 5" xfId="1417" xr:uid="{00000000-0005-0000-0000-000086050000}"/>
    <cellStyle name="Comma 6 2 2 4" xfId="1418" xr:uid="{00000000-0005-0000-0000-000087050000}"/>
    <cellStyle name="Comma 6 2 2 4 2" xfId="1419" xr:uid="{00000000-0005-0000-0000-000088050000}"/>
    <cellStyle name="Comma 6 2 2 4 2 2" xfId="1420" xr:uid="{00000000-0005-0000-0000-000089050000}"/>
    <cellStyle name="Comma 6 2 2 4 2 3" xfId="1421" xr:uid="{00000000-0005-0000-0000-00008A050000}"/>
    <cellStyle name="Comma 6 2 2 4 2 4" xfId="1422" xr:uid="{00000000-0005-0000-0000-00008B050000}"/>
    <cellStyle name="Comma 6 2 2 4 3" xfId="1423" xr:uid="{00000000-0005-0000-0000-00008C050000}"/>
    <cellStyle name="Comma 6 2 2 4 4" xfId="1424" xr:uid="{00000000-0005-0000-0000-00008D050000}"/>
    <cellStyle name="Comma 6 2 2 4 5" xfId="1425" xr:uid="{00000000-0005-0000-0000-00008E050000}"/>
    <cellStyle name="Comma 6 2 2 5" xfId="1426" xr:uid="{00000000-0005-0000-0000-00008F050000}"/>
    <cellStyle name="Comma 6 2 2 5 2" xfId="1427" xr:uid="{00000000-0005-0000-0000-000090050000}"/>
    <cellStyle name="Comma 6 2 2 5 3" xfId="1428" xr:uid="{00000000-0005-0000-0000-000091050000}"/>
    <cellStyle name="Comma 6 2 2 5 4" xfId="1429" xr:uid="{00000000-0005-0000-0000-000092050000}"/>
    <cellStyle name="Comma 6 2 2 6" xfId="1430" xr:uid="{00000000-0005-0000-0000-000093050000}"/>
    <cellStyle name="Comma 6 2 2 6 2" xfId="1431" xr:uid="{00000000-0005-0000-0000-000094050000}"/>
    <cellStyle name="Comma 6 2 2 6 3" xfId="1432" xr:uid="{00000000-0005-0000-0000-000095050000}"/>
    <cellStyle name="Comma 6 2 2 6 4" xfId="1433" xr:uid="{00000000-0005-0000-0000-000096050000}"/>
    <cellStyle name="Comma 6 2 2 7" xfId="1434" xr:uid="{00000000-0005-0000-0000-000097050000}"/>
    <cellStyle name="Comma 6 2 2 8" xfId="1435" xr:uid="{00000000-0005-0000-0000-000098050000}"/>
    <cellStyle name="Comma 6 2 2 9" xfId="1436" xr:uid="{00000000-0005-0000-0000-000099050000}"/>
    <cellStyle name="Comma 6 2 3" xfId="1437" xr:uid="{00000000-0005-0000-0000-00009A050000}"/>
    <cellStyle name="Comma 6 2 3 2" xfId="1438" xr:uid="{00000000-0005-0000-0000-00009B050000}"/>
    <cellStyle name="Comma 6 2 3 2 2" xfId="1439" xr:uid="{00000000-0005-0000-0000-00009C050000}"/>
    <cellStyle name="Comma 6 2 3 2 3" xfId="1440" xr:uid="{00000000-0005-0000-0000-00009D050000}"/>
    <cellStyle name="Comma 6 2 3 2 4" xfId="1441" xr:uid="{00000000-0005-0000-0000-00009E050000}"/>
    <cellStyle name="Comma 6 2 3 3" xfId="1442" xr:uid="{00000000-0005-0000-0000-00009F050000}"/>
    <cellStyle name="Comma 6 2 3 4" xfId="1443" xr:uid="{00000000-0005-0000-0000-0000A0050000}"/>
    <cellStyle name="Comma 6 2 3 5" xfId="1444" xr:uid="{00000000-0005-0000-0000-0000A1050000}"/>
    <cellStyle name="Comma 6 2 4" xfId="1445" xr:uid="{00000000-0005-0000-0000-0000A2050000}"/>
    <cellStyle name="Comma 6 2 4 2" xfId="1446" xr:uid="{00000000-0005-0000-0000-0000A3050000}"/>
    <cellStyle name="Comma 6 2 4 2 2" xfId="1447" xr:uid="{00000000-0005-0000-0000-0000A4050000}"/>
    <cellStyle name="Comma 6 2 4 2 3" xfId="1448" xr:uid="{00000000-0005-0000-0000-0000A5050000}"/>
    <cellStyle name="Comma 6 2 4 2 4" xfId="1449" xr:uid="{00000000-0005-0000-0000-0000A6050000}"/>
    <cellStyle name="Comma 6 2 4 3" xfId="1450" xr:uid="{00000000-0005-0000-0000-0000A7050000}"/>
    <cellStyle name="Comma 6 2 4 4" xfId="1451" xr:uid="{00000000-0005-0000-0000-0000A8050000}"/>
    <cellStyle name="Comma 6 2 4 5" xfId="1452" xr:uid="{00000000-0005-0000-0000-0000A9050000}"/>
    <cellStyle name="Comma 6 2 5" xfId="1453" xr:uid="{00000000-0005-0000-0000-0000AA050000}"/>
    <cellStyle name="Comma 6 2 5 2" xfId="1454" xr:uid="{00000000-0005-0000-0000-0000AB050000}"/>
    <cellStyle name="Comma 6 2 5 2 2" xfId="1455" xr:uid="{00000000-0005-0000-0000-0000AC050000}"/>
    <cellStyle name="Comma 6 2 5 2 3" xfId="1456" xr:uid="{00000000-0005-0000-0000-0000AD050000}"/>
    <cellStyle name="Comma 6 2 5 2 4" xfId="1457" xr:uid="{00000000-0005-0000-0000-0000AE050000}"/>
    <cellStyle name="Comma 6 2 5 3" xfId="1458" xr:uid="{00000000-0005-0000-0000-0000AF050000}"/>
    <cellStyle name="Comma 6 2 5 4" xfId="1459" xr:uid="{00000000-0005-0000-0000-0000B0050000}"/>
    <cellStyle name="Comma 6 2 5 5" xfId="1460" xr:uid="{00000000-0005-0000-0000-0000B1050000}"/>
    <cellStyle name="Comma 6 2 6" xfId="1461" xr:uid="{00000000-0005-0000-0000-0000B2050000}"/>
    <cellStyle name="Comma 6 2 6 2" xfId="1462" xr:uid="{00000000-0005-0000-0000-0000B3050000}"/>
    <cellStyle name="Comma 6 2 6 3" xfId="1463" xr:uid="{00000000-0005-0000-0000-0000B4050000}"/>
    <cellStyle name="Comma 6 2 6 4" xfId="1464" xr:uid="{00000000-0005-0000-0000-0000B5050000}"/>
    <cellStyle name="Comma 6 2 7" xfId="1465" xr:uid="{00000000-0005-0000-0000-0000B6050000}"/>
    <cellStyle name="Comma 6 2 7 2" xfId="1466" xr:uid="{00000000-0005-0000-0000-0000B7050000}"/>
    <cellStyle name="Comma 6 2 7 3" xfId="1467" xr:uid="{00000000-0005-0000-0000-0000B8050000}"/>
    <cellStyle name="Comma 6 2 7 4" xfId="1468" xr:uid="{00000000-0005-0000-0000-0000B9050000}"/>
    <cellStyle name="Comma 6 2 8" xfId="1469" xr:uid="{00000000-0005-0000-0000-0000BA050000}"/>
    <cellStyle name="Comma 6 2 9" xfId="1470" xr:uid="{00000000-0005-0000-0000-0000BB050000}"/>
    <cellStyle name="Comma 6 3" xfId="1471" xr:uid="{00000000-0005-0000-0000-0000BC050000}"/>
    <cellStyle name="Comma 6 3 10" xfId="1472" xr:uid="{00000000-0005-0000-0000-0000BD050000}"/>
    <cellStyle name="Comma 6 3 2" xfId="1473" xr:uid="{00000000-0005-0000-0000-0000BE050000}"/>
    <cellStyle name="Comma 6 3 2 2" xfId="1474" xr:uid="{00000000-0005-0000-0000-0000BF050000}"/>
    <cellStyle name="Comma 6 3 2 2 2" xfId="1475" xr:uid="{00000000-0005-0000-0000-0000C0050000}"/>
    <cellStyle name="Comma 6 3 2 2 3" xfId="1476" xr:uid="{00000000-0005-0000-0000-0000C1050000}"/>
    <cellStyle name="Comma 6 3 2 2 4" xfId="1477" xr:uid="{00000000-0005-0000-0000-0000C2050000}"/>
    <cellStyle name="Comma 6 3 2 3" xfId="1478" xr:uid="{00000000-0005-0000-0000-0000C3050000}"/>
    <cellStyle name="Comma 6 3 2 4" xfId="1479" xr:uid="{00000000-0005-0000-0000-0000C4050000}"/>
    <cellStyle name="Comma 6 3 2 5" xfId="1480" xr:uid="{00000000-0005-0000-0000-0000C5050000}"/>
    <cellStyle name="Comma 6 3 3" xfId="1481" xr:uid="{00000000-0005-0000-0000-0000C6050000}"/>
    <cellStyle name="Comma 6 3 3 2" xfId="1482" xr:uid="{00000000-0005-0000-0000-0000C7050000}"/>
    <cellStyle name="Comma 6 3 3 2 2" xfId="1483" xr:uid="{00000000-0005-0000-0000-0000C8050000}"/>
    <cellStyle name="Comma 6 3 3 2 3" xfId="1484" xr:uid="{00000000-0005-0000-0000-0000C9050000}"/>
    <cellStyle name="Comma 6 3 3 2 4" xfId="1485" xr:uid="{00000000-0005-0000-0000-0000CA050000}"/>
    <cellStyle name="Comma 6 3 3 3" xfId="1486" xr:uid="{00000000-0005-0000-0000-0000CB050000}"/>
    <cellStyle name="Comma 6 3 3 4" xfId="1487" xr:uid="{00000000-0005-0000-0000-0000CC050000}"/>
    <cellStyle name="Comma 6 3 3 5" xfId="1488" xr:uid="{00000000-0005-0000-0000-0000CD050000}"/>
    <cellStyle name="Comma 6 3 4" xfId="1489" xr:uid="{00000000-0005-0000-0000-0000CE050000}"/>
    <cellStyle name="Comma 6 3 4 2" xfId="1490" xr:uid="{00000000-0005-0000-0000-0000CF050000}"/>
    <cellStyle name="Comma 6 3 4 2 2" xfId="1491" xr:uid="{00000000-0005-0000-0000-0000D0050000}"/>
    <cellStyle name="Comma 6 3 4 2 3" xfId="1492" xr:uid="{00000000-0005-0000-0000-0000D1050000}"/>
    <cellStyle name="Comma 6 3 4 2 4" xfId="1493" xr:uid="{00000000-0005-0000-0000-0000D2050000}"/>
    <cellStyle name="Comma 6 3 4 3" xfId="1494" xr:uid="{00000000-0005-0000-0000-0000D3050000}"/>
    <cellStyle name="Comma 6 3 4 4" xfId="1495" xr:uid="{00000000-0005-0000-0000-0000D4050000}"/>
    <cellStyle name="Comma 6 3 4 5" xfId="1496" xr:uid="{00000000-0005-0000-0000-0000D5050000}"/>
    <cellStyle name="Comma 6 3 5" xfId="1497" xr:uid="{00000000-0005-0000-0000-0000D6050000}"/>
    <cellStyle name="Comma 6 3 5 2" xfId="1498" xr:uid="{00000000-0005-0000-0000-0000D7050000}"/>
    <cellStyle name="Comma 6 3 5 3" xfId="1499" xr:uid="{00000000-0005-0000-0000-0000D8050000}"/>
    <cellStyle name="Comma 6 3 5 4" xfId="1500" xr:uid="{00000000-0005-0000-0000-0000D9050000}"/>
    <cellStyle name="Comma 6 3 6" xfId="1501" xr:uid="{00000000-0005-0000-0000-0000DA050000}"/>
    <cellStyle name="Comma 6 3 6 2" xfId="1502" xr:uid="{00000000-0005-0000-0000-0000DB050000}"/>
    <cellStyle name="Comma 6 3 6 3" xfId="1503" xr:uid="{00000000-0005-0000-0000-0000DC050000}"/>
    <cellStyle name="Comma 6 3 6 4" xfId="1504" xr:uid="{00000000-0005-0000-0000-0000DD050000}"/>
    <cellStyle name="Comma 6 3 7" xfId="1505" xr:uid="{00000000-0005-0000-0000-0000DE050000}"/>
    <cellStyle name="Comma 6 3 8" xfId="1506" xr:uid="{00000000-0005-0000-0000-0000DF050000}"/>
    <cellStyle name="Comma 6 3 9" xfId="1507" xr:uid="{00000000-0005-0000-0000-0000E0050000}"/>
    <cellStyle name="Comma 6 4" xfId="1508" xr:uid="{00000000-0005-0000-0000-0000E1050000}"/>
    <cellStyle name="Comma 6 5" xfId="1509" xr:uid="{00000000-0005-0000-0000-0000E2050000}"/>
    <cellStyle name="Comma 7" xfId="1510" xr:uid="{00000000-0005-0000-0000-0000E3050000}"/>
    <cellStyle name="Comma 7 2" xfId="1511" xr:uid="{00000000-0005-0000-0000-0000E4050000}"/>
    <cellStyle name="Comma 7 2 10" xfId="1512" xr:uid="{00000000-0005-0000-0000-0000E5050000}"/>
    <cellStyle name="Comma 7 2 11" xfId="1513" xr:uid="{00000000-0005-0000-0000-0000E6050000}"/>
    <cellStyle name="Comma 7 2 2" xfId="1514" xr:uid="{00000000-0005-0000-0000-0000E7050000}"/>
    <cellStyle name="Comma 7 2 2 2" xfId="1515" xr:uid="{00000000-0005-0000-0000-0000E8050000}"/>
    <cellStyle name="Comma 7 2 2 2 2" xfId="1516" xr:uid="{00000000-0005-0000-0000-0000E9050000}"/>
    <cellStyle name="Comma 7 2 2 2 2 2" xfId="1517" xr:uid="{00000000-0005-0000-0000-0000EA050000}"/>
    <cellStyle name="Comma 7 2 2 2 2 3" xfId="1518" xr:uid="{00000000-0005-0000-0000-0000EB050000}"/>
    <cellStyle name="Comma 7 2 2 2 2 4" xfId="1519" xr:uid="{00000000-0005-0000-0000-0000EC050000}"/>
    <cellStyle name="Comma 7 2 2 2 3" xfId="1520" xr:uid="{00000000-0005-0000-0000-0000ED050000}"/>
    <cellStyle name="Comma 7 2 2 2 4" xfId="1521" xr:uid="{00000000-0005-0000-0000-0000EE050000}"/>
    <cellStyle name="Comma 7 2 2 2 5" xfId="1522" xr:uid="{00000000-0005-0000-0000-0000EF050000}"/>
    <cellStyle name="Comma 7 2 2 3" xfId="1523" xr:uid="{00000000-0005-0000-0000-0000F0050000}"/>
    <cellStyle name="Comma 7 2 2 3 2" xfId="1524" xr:uid="{00000000-0005-0000-0000-0000F1050000}"/>
    <cellStyle name="Comma 7 2 2 3 2 2" xfId="1525" xr:uid="{00000000-0005-0000-0000-0000F2050000}"/>
    <cellStyle name="Comma 7 2 2 3 2 3" xfId="1526" xr:uid="{00000000-0005-0000-0000-0000F3050000}"/>
    <cellStyle name="Comma 7 2 2 3 2 4" xfId="1527" xr:uid="{00000000-0005-0000-0000-0000F4050000}"/>
    <cellStyle name="Comma 7 2 2 3 3" xfId="1528" xr:uid="{00000000-0005-0000-0000-0000F5050000}"/>
    <cellStyle name="Comma 7 2 2 3 4" xfId="1529" xr:uid="{00000000-0005-0000-0000-0000F6050000}"/>
    <cellStyle name="Comma 7 2 2 3 5" xfId="1530" xr:uid="{00000000-0005-0000-0000-0000F7050000}"/>
    <cellStyle name="Comma 7 2 2 4" xfId="1531" xr:uid="{00000000-0005-0000-0000-0000F8050000}"/>
    <cellStyle name="Comma 7 2 2 4 2" xfId="1532" xr:uid="{00000000-0005-0000-0000-0000F9050000}"/>
    <cellStyle name="Comma 7 2 2 4 2 2" xfId="1533" xr:uid="{00000000-0005-0000-0000-0000FA050000}"/>
    <cellStyle name="Comma 7 2 2 4 2 3" xfId="1534" xr:uid="{00000000-0005-0000-0000-0000FB050000}"/>
    <cellStyle name="Comma 7 2 2 4 2 4" xfId="1535" xr:uid="{00000000-0005-0000-0000-0000FC050000}"/>
    <cellStyle name="Comma 7 2 2 4 3" xfId="1536" xr:uid="{00000000-0005-0000-0000-0000FD050000}"/>
    <cellStyle name="Comma 7 2 2 4 4" xfId="1537" xr:uid="{00000000-0005-0000-0000-0000FE050000}"/>
    <cellStyle name="Comma 7 2 2 4 5" xfId="1538" xr:uid="{00000000-0005-0000-0000-0000FF050000}"/>
    <cellStyle name="Comma 7 2 2 5" xfId="1539" xr:uid="{00000000-0005-0000-0000-000000060000}"/>
    <cellStyle name="Comma 7 2 2 5 2" xfId="1540" xr:uid="{00000000-0005-0000-0000-000001060000}"/>
    <cellStyle name="Comma 7 2 2 5 3" xfId="1541" xr:uid="{00000000-0005-0000-0000-000002060000}"/>
    <cellStyle name="Comma 7 2 2 5 4" xfId="1542" xr:uid="{00000000-0005-0000-0000-000003060000}"/>
    <cellStyle name="Comma 7 2 2 6" xfId="1543" xr:uid="{00000000-0005-0000-0000-000004060000}"/>
    <cellStyle name="Comma 7 2 2 6 2" xfId="1544" xr:uid="{00000000-0005-0000-0000-000005060000}"/>
    <cellStyle name="Comma 7 2 2 6 3" xfId="1545" xr:uid="{00000000-0005-0000-0000-000006060000}"/>
    <cellStyle name="Comma 7 2 2 6 4" xfId="1546" xr:uid="{00000000-0005-0000-0000-000007060000}"/>
    <cellStyle name="Comma 7 2 2 7" xfId="1547" xr:uid="{00000000-0005-0000-0000-000008060000}"/>
    <cellStyle name="Comma 7 2 2 8" xfId="1548" xr:uid="{00000000-0005-0000-0000-000009060000}"/>
    <cellStyle name="Comma 7 2 2 9" xfId="1549" xr:uid="{00000000-0005-0000-0000-00000A060000}"/>
    <cellStyle name="Comma 7 2 3" xfId="1550" xr:uid="{00000000-0005-0000-0000-00000B060000}"/>
    <cellStyle name="Comma 7 2 3 2" xfId="1551" xr:uid="{00000000-0005-0000-0000-00000C060000}"/>
    <cellStyle name="Comma 7 2 3 2 2" xfId="1552" xr:uid="{00000000-0005-0000-0000-00000D060000}"/>
    <cellStyle name="Comma 7 2 3 2 3" xfId="1553" xr:uid="{00000000-0005-0000-0000-00000E060000}"/>
    <cellStyle name="Comma 7 2 3 2 4" xfId="1554" xr:uid="{00000000-0005-0000-0000-00000F060000}"/>
    <cellStyle name="Comma 7 2 3 3" xfId="1555" xr:uid="{00000000-0005-0000-0000-000010060000}"/>
    <cellStyle name="Comma 7 2 3 4" xfId="1556" xr:uid="{00000000-0005-0000-0000-000011060000}"/>
    <cellStyle name="Comma 7 2 3 5" xfId="1557" xr:uid="{00000000-0005-0000-0000-000012060000}"/>
    <cellStyle name="Comma 7 2 4" xfId="1558" xr:uid="{00000000-0005-0000-0000-000013060000}"/>
    <cellStyle name="Comma 7 2 4 2" xfId="1559" xr:uid="{00000000-0005-0000-0000-000014060000}"/>
    <cellStyle name="Comma 7 2 4 2 2" xfId="1560" xr:uid="{00000000-0005-0000-0000-000015060000}"/>
    <cellStyle name="Comma 7 2 4 2 3" xfId="1561" xr:uid="{00000000-0005-0000-0000-000016060000}"/>
    <cellStyle name="Comma 7 2 4 2 4" xfId="1562" xr:uid="{00000000-0005-0000-0000-000017060000}"/>
    <cellStyle name="Comma 7 2 4 3" xfId="1563" xr:uid="{00000000-0005-0000-0000-000018060000}"/>
    <cellStyle name="Comma 7 2 4 4" xfId="1564" xr:uid="{00000000-0005-0000-0000-000019060000}"/>
    <cellStyle name="Comma 7 2 4 5" xfId="1565" xr:uid="{00000000-0005-0000-0000-00001A060000}"/>
    <cellStyle name="Comma 7 2 5" xfId="1566" xr:uid="{00000000-0005-0000-0000-00001B060000}"/>
    <cellStyle name="Comma 7 2 5 2" xfId="1567" xr:uid="{00000000-0005-0000-0000-00001C060000}"/>
    <cellStyle name="Comma 7 2 5 2 2" xfId="1568" xr:uid="{00000000-0005-0000-0000-00001D060000}"/>
    <cellStyle name="Comma 7 2 5 2 3" xfId="1569" xr:uid="{00000000-0005-0000-0000-00001E060000}"/>
    <cellStyle name="Comma 7 2 5 2 4" xfId="1570" xr:uid="{00000000-0005-0000-0000-00001F060000}"/>
    <cellStyle name="Comma 7 2 5 3" xfId="1571" xr:uid="{00000000-0005-0000-0000-000020060000}"/>
    <cellStyle name="Comma 7 2 5 4" xfId="1572" xr:uid="{00000000-0005-0000-0000-000021060000}"/>
    <cellStyle name="Comma 7 2 5 5" xfId="1573" xr:uid="{00000000-0005-0000-0000-000022060000}"/>
    <cellStyle name="Comma 7 2 6" xfId="1574" xr:uid="{00000000-0005-0000-0000-000023060000}"/>
    <cellStyle name="Comma 7 2 6 2" xfId="1575" xr:uid="{00000000-0005-0000-0000-000024060000}"/>
    <cellStyle name="Comma 7 2 6 3" xfId="1576" xr:uid="{00000000-0005-0000-0000-000025060000}"/>
    <cellStyle name="Comma 7 2 6 4" xfId="1577" xr:uid="{00000000-0005-0000-0000-000026060000}"/>
    <cellStyle name="Comma 7 2 7" xfId="1578" xr:uid="{00000000-0005-0000-0000-000027060000}"/>
    <cellStyle name="Comma 7 2 7 2" xfId="1579" xr:uid="{00000000-0005-0000-0000-000028060000}"/>
    <cellStyle name="Comma 7 2 7 3" xfId="1580" xr:uid="{00000000-0005-0000-0000-000029060000}"/>
    <cellStyle name="Comma 7 2 7 4" xfId="1581" xr:uid="{00000000-0005-0000-0000-00002A060000}"/>
    <cellStyle name="Comma 7 2 8" xfId="1582" xr:uid="{00000000-0005-0000-0000-00002B060000}"/>
    <cellStyle name="Comma 7 2 9" xfId="1583" xr:uid="{00000000-0005-0000-0000-00002C060000}"/>
    <cellStyle name="Comma 7 3" xfId="1584" xr:uid="{00000000-0005-0000-0000-00002D060000}"/>
    <cellStyle name="Comma 7 3 2" xfId="1585" xr:uid="{00000000-0005-0000-0000-00002E060000}"/>
    <cellStyle name="Comma 7 3 2 2" xfId="1586" xr:uid="{00000000-0005-0000-0000-00002F060000}"/>
    <cellStyle name="Comma 7 3 2 2 2" xfId="1587" xr:uid="{00000000-0005-0000-0000-000030060000}"/>
    <cellStyle name="Comma 7 3 2 2 3" xfId="1588" xr:uid="{00000000-0005-0000-0000-000031060000}"/>
    <cellStyle name="Comma 7 3 2 2 4" xfId="1589" xr:uid="{00000000-0005-0000-0000-000032060000}"/>
    <cellStyle name="Comma 7 3 2 3" xfId="1590" xr:uid="{00000000-0005-0000-0000-000033060000}"/>
    <cellStyle name="Comma 7 3 2 4" xfId="1591" xr:uid="{00000000-0005-0000-0000-000034060000}"/>
    <cellStyle name="Comma 7 3 2 5" xfId="1592" xr:uid="{00000000-0005-0000-0000-000035060000}"/>
    <cellStyle name="Comma 7 3 3" xfId="1593" xr:uid="{00000000-0005-0000-0000-000036060000}"/>
    <cellStyle name="Comma 7 3 3 2" xfId="1594" xr:uid="{00000000-0005-0000-0000-000037060000}"/>
    <cellStyle name="Comma 7 3 3 2 2" xfId="1595" xr:uid="{00000000-0005-0000-0000-000038060000}"/>
    <cellStyle name="Comma 7 3 3 2 3" xfId="1596" xr:uid="{00000000-0005-0000-0000-000039060000}"/>
    <cellStyle name="Comma 7 3 3 2 4" xfId="1597" xr:uid="{00000000-0005-0000-0000-00003A060000}"/>
    <cellStyle name="Comma 7 3 3 3" xfId="1598" xr:uid="{00000000-0005-0000-0000-00003B060000}"/>
    <cellStyle name="Comma 7 3 3 4" xfId="1599" xr:uid="{00000000-0005-0000-0000-00003C060000}"/>
    <cellStyle name="Comma 7 3 3 5" xfId="1600" xr:uid="{00000000-0005-0000-0000-00003D060000}"/>
    <cellStyle name="Comma 7 3 4" xfId="1601" xr:uid="{00000000-0005-0000-0000-00003E060000}"/>
    <cellStyle name="Comma 7 3 4 2" xfId="1602" xr:uid="{00000000-0005-0000-0000-00003F060000}"/>
    <cellStyle name="Comma 7 3 4 2 2" xfId="1603" xr:uid="{00000000-0005-0000-0000-000040060000}"/>
    <cellStyle name="Comma 7 3 4 2 3" xfId="1604" xr:uid="{00000000-0005-0000-0000-000041060000}"/>
    <cellStyle name="Comma 7 3 4 2 4" xfId="1605" xr:uid="{00000000-0005-0000-0000-000042060000}"/>
    <cellStyle name="Comma 7 3 4 3" xfId="1606" xr:uid="{00000000-0005-0000-0000-000043060000}"/>
    <cellStyle name="Comma 7 3 4 4" xfId="1607" xr:uid="{00000000-0005-0000-0000-000044060000}"/>
    <cellStyle name="Comma 7 3 4 5" xfId="1608" xr:uid="{00000000-0005-0000-0000-000045060000}"/>
    <cellStyle name="Comma 7 3 5" xfId="1609" xr:uid="{00000000-0005-0000-0000-000046060000}"/>
    <cellStyle name="Comma 7 3 5 2" xfId="1610" xr:uid="{00000000-0005-0000-0000-000047060000}"/>
    <cellStyle name="Comma 7 3 5 3" xfId="1611" xr:uid="{00000000-0005-0000-0000-000048060000}"/>
    <cellStyle name="Comma 7 3 5 4" xfId="1612" xr:uid="{00000000-0005-0000-0000-000049060000}"/>
    <cellStyle name="Comma 7 3 6" xfId="1613" xr:uid="{00000000-0005-0000-0000-00004A060000}"/>
    <cellStyle name="Comma 7 3 6 2" xfId="1614" xr:uid="{00000000-0005-0000-0000-00004B060000}"/>
    <cellStyle name="Comma 7 3 6 3" xfId="1615" xr:uid="{00000000-0005-0000-0000-00004C060000}"/>
    <cellStyle name="Comma 7 3 6 4" xfId="1616" xr:uid="{00000000-0005-0000-0000-00004D060000}"/>
    <cellStyle name="Comma 7 3 7" xfId="1617" xr:uid="{00000000-0005-0000-0000-00004E060000}"/>
    <cellStyle name="Comma 7 3 8" xfId="1618" xr:uid="{00000000-0005-0000-0000-00004F060000}"/>
    <cellStyle name="Comma 7 3 9" xfId="1619" xr:uid="{00000000-0005-0000-0000-000050060000}"/>
    <cellStyle name="Comma 7 4" xfId="1620" xr:uid="{00000000-0005-0000-0000-000051060000}"/>
    <cellStyle name="Comma 8" xfId="1621" xr:uid="{00000000-0005-0000-0000-000052060000}"/>
    <cellStyle name="Comma 8 2" xfId="1622" xr:uid="{00000000-0005-0000-0000-000053060000}"/>
    <cellStyle name="Comma 8 2 2" xfId="1623" xr:uid="{00000000-0005-0000-0000-000054060000}"/>
    <cellStyle name="Comma 8 2 2 2" xfId="1624" xr:uid="{00000000-0005-0000-0000-000055060000}"/>
    <cellStyle name="Comma 8 2 2 3" xfId="1625" xr:uid="{00000000-0005-0000-0000-000056060000}"/>
    <cellStyle name="Comma 8 2 2 4" xfId="1626" xr:uid="{00000000-0005-0000-0000-000057060000}"/>
    <cellStyle name="Comma 8 2 3" xfId="1627" xr:uid="{00000000-0005-0000-0000-000058060000}"/>
    <cellStyle name="Comma 8 2 4" xfId="1628" xr:uid="{00000000-0005-0000-0000-000059060000}"/>
    <cellStyle name="Comma 8 2 5" xfId="1629" xr:uid="{00000000-0005-0000-0000-00005A060000}"/>
    <cellStyle name="Comma 8 3" xfId="1630" xr:uid="{00000000-0005-0000-0000-00005B060000}"/>
    <cellStyle name="Comma 8 3 2" xfId="1631" xr:uid="{00000000-0005-0000-0000-00005C060000}"/>
    <cellStyle name="Comma 8 3 2 2" xfId="1632" xr:uid="{00000000-0005-0000-0000-00005D060000}"/>
    <cellStyle name="Comma 8 3 2 3" xfId="1633" xr:uid="{00000000-0005-0000-0000-00005E060000}"/>
    <cellStyle name="Comma 8 3 2 4" xfId="1634" xr:uid="{00000000-0005-0000-0000-00005F060000}"/>
    <cellStyle name="Comma 8 3 3" xfId="1635" xr:uid="{00000000-0005-0000-0000-000060060000}"/>
    <cellStyle name="Comma 8 3 4" xfId="1636" xr:uid="{00000000-0005-0000-0000-000061060000}"/>
    <cellStyle name="Comma 8 3 5" xfId="1637" xr:uid="{00000000-0005-0000-0000-000062060000}"/>
    <cellStyle name="Comma 8 4" xfId="1638" xr:uid="{00000000-0005-0000-0000-000063060000}"/>
    <cellStyle name="Comma 8 4 2" xfId="1639" xr:uid="{00000000-0005-0000-0000-000064060000}"/>
    <cellStyle name="Comma 8 4 2 2" xfId="1640" xr:uid="{00000000-0005-0000-0000-000065060000}"/>
    <cellStyle name="Comma 8 4 2 3" xfId="1641" xr:uid="{00000000-0005-0000-0000-000066060000}"/>
    <cellStyle name="Comma 8 4 2 4" xfId="1642" xr:uid="{00000000-0005-0000-0000-000067060000}"/>
    <cellStyle name="Comma 8 4 3" xfId="1643" xr:uid="{00000000-0005-0000-0000-000068060000}"/>
    <cellStyle name="Comma 8 4 4" xfId="1644" xr:uid="{00000000-0005-0000-0000-000069060000}"/>
    <cellStyle name="Comma 8 4 5" xfId="1645" xr:uid="{00000000-0005-0000-0000-00006A060000}"/>
    <cellStyle name="Comma 8 5" xfId="1646" xr:uid="{00000000-0005-0000-0000-00006B060000}"/>
    <cellStyle name="Comma 8 5 2" xfId="1647" xr:uid="{00000000-0005-0000-0000-00006C060000}"/>
    <cellStyle name="Comma 8 5 3" xfId="1648" xr:uid="{00000000-0005-0000-0000-00006D060000}"/>
    <cellStyle name="Comma 8 5 4" xfId="1649" xr:uid="{00000000-0005-0000-0000-00006E060000}"/>
    <cellStyle name="Comma 8 6" xfId="1650" xr:uid="{00000000-0005-0000-0000-00006F060000}"/>
    <cellStyle name="Comma 8 6 2" xfId="1651" xr:uid="{00000000-0005-0000-0000-000070060000}"/>
    <cellStyle name="Comma 8 6 3" xfId="1652" xr:uid="{00000000-0005-0000-0000-000071060000}"/>
    <cellStyle name="Comma 8 6 4" xfId="1653" xr:uid="{00000000-0005-0000-0000-000072060000}"/>
    <cellStyle name="Comma 8 7" xfId="1654" xr:uid="{00000000-0005-0000-0000-000073060000}"/>
    <cellStyle name="Comma 8 8" xfId="1655" xr:uid="{00000000-0005-0000-0000-000074060000}"/>
    <cellStyle name="Comma 8 9" xfId="1656" xr:uid="{00000000-0005-0000-0000-000075060000}"/>
    <cellStyle name="Comma 9" xfId="1657" xr:uid="{00000000-0005-0000-0000-000076060000}"/>
    <cellStyle name="Comma0 - Type3" xfId="1658" xr:uid="{00000000-0005-0000-0000-000077060000}"/>
    <cellStyle name="CustomizationCells" xfId="1659" xr:uid="{00000000-0005-0000-0000-000078060000}"/>
    <cellStyle name="CustomizationCells 2" xfId="1660" xr:uid="{00000000-0005-0000-0000-000079060000}"/>
    <cellStyle name="CustomizationCells 3" xfId="1661" xr:uid="{00000000-0005-0000-0000-00007A060000}"/>
    <cellStyle name="CustomizationCells 4" xfId="1662" xr:uid="{00000000-0005-0000-0000-00007B060000}"/>
    <cellStyle name="CustomizationCells 5" xfId="1663" xr:uid="{00000000-0005-0000-0000-00007C060000}"/>
    <cellStyle name="CustomizationCells 6" xfId="1664" xr:uid="{00000000-0005-0000-0000-00007D060000}"/>
    <cellStyle name="Euro" xfId="1665" xr:uid="{00000000-0005-0000-0000-00007E060000}"/>
    <cellStyle name="Euro 10" xfId="1666" xr:uid="{00000000-0005-0000-0000-00007F060000}"/>
    <cellStyle name="Euro 10 2" xfId="1667" xr:uid="{00000000-0005-0000-0000-000080060000}"/>
    <cellStyle name="Euro 10 2 2" xfId="1668" xr:uid="{00000000-0005-0000-0000-000081060000}"/>
    <cellStyle name="Euro 10 2 2 2" xfId="1669" xr:uid="{00000000-0005-0000-0000-000082060000}"/>
    <cellStyle name="Euro 10 2 3" xfId="1670" xr:uid="{00000000-0005-0000-0000-000083060000}"/>
    <cellStyle name="Euro 10 3" xfId="1671" xr:uid="{00000000-0005-0000-0000-000084060000}"/>
    <cellStyle name="Euro 10 3 2" xfId="1672" xr:uid="{00000000-0005-0000-0000-000085060000}"/>
    <cellStyle name="Euro 10 3 2 2" xfId="1673" xr:uid="{00000000-0005-0000-0000-000086060000}"/>
    <cellStyle name="Euro 10 3 2 3" xfId="1674" xr:uid="{00000000-0005-0000-0000-000087060000}"/>
    <cellStyle name="Euro 10 3 2 3 2" xfId="1675" xr:uid="{00000000-0005-0000-0000-000088060000}"/>
    <cellStyle name="Euro 10 3 3" xfId="1676" xr:uid="{00000000-0005-0000-0000-000089060000}"/>
    <cellStyle name="Euro 10 3 3 2" xfId="1677" xr:uid="{00000000-0005-0000-0000-00008A060000}"/>
    <cellStyle name="Euro 10 3 4" xfId="1678" xr:uid="{00000000-0005-0000-0000-00008B060000}"/>
    <cellStyle name="Euro 10 3 4 2" xfId="1679" xr:uid="{00000000-0005-0000-0000-00008C060000}"/>
    <cellStyle name="Euro 10 3 5" xfId="1680" xr:uid="{00000000-0005-0000-0000-00008D060000}"/>
    <cellStyle name="Euro 10 4" xfId="1681" xr:uid="{00000000-0005-0000-0000-00008E060000}"/>
    <cellStyle name="Euro 10 4 2" xfId="1682" xr:uid="{00000000-0005-0000-0000-00008F060000}"/>
    <cellStyle name="Euro 10 4 2 2" xfId="1683" xr:uid="{00000000-0005-0000-0000-000090060000}"/>
    <cellStyle name="Euro 10 4 3" xfId="1684" xr:uid="{00000000-0005-0000-0000-000091060000}"/>
    <cellStyle name="Euro 10 5" xfId="1685" xr:uid="{00000000-0005-0000-0000-000092060000}"/>
    <cellStyle name="Euro 10 6" xfId="1686" xr:uid="{00000000-0005-0000-0000-000093060000}"/>
    <cellStyle name="Euro 10 6 2" xfId="1687" xr:uid="{00000000-0005-0000-0000-000094060000}"/>
    <cellStyle name="Euro 11" xfId="1688" xr:uid="{00000000-0005-0000-0000-000095060000}"/>
    <cellStyle name="Euro 11 2" xfId="1689" xr:uid="{00000000-0005-0000-0000-000096060000}"/>
    <cellStyle name="Euro 11 2 2" xfId="1690" xr:uid="{00000000-0005-0000-0000-000097060000}"/>
    <cellStyle name="Euro 11 2 2 2" xfId="1691" xr:uid="{00000000-0005-0000-0000-000098060000}"/>
    <cellStyle name="Euro 11 2 3" xfId="1692" xr:uid="{00000000-0005-0000-0000-000099060000}"/>
    <cellStyle name="Euro 11 3" xfId="1693" xr:uid="{00000000-0005-0000-0000-00009A060000}"/>
    <cellStyle name="Euro 11 3 2" xfId="1694" xr:uid="{00000000-0005-0000-0000-00009B060000}"/>
    <cellStyle name="Euro 11 3 2 2" xfId="1695" xr:uid="{00000000-0005-0000-0000-00009C060000}"/>
    <cellStyle name="Euro 11 3 2 3" xfId="1696" xr:uid="{00000000-0005-0000-0000-00009D060000}"/>
    <cellStyle name="Euro 11 3 2 3 2" xfId="1697" xr:uid="{00000000-0005-0000-0000-00009E060000}"/>
    <cellStyle name="Euro 11 3 3" xfId="1698" xr:uid="{00000000-0005-0000-0000-00009F060000}"/>
    <cellStyle name="Euro 11 3 3 2" xfId="1699" xr:uid="{00000000-0005-0000-0000-0000A0060000}"/>
    <cellStyle name="Euro 11 3 4" xfId="1700" xr:uid="{00000000-0005-0000-0000-0000A1060000}"/>
    <cellStyle name="Euro 11 3 4 2" xfId="1701" xr:uid="{00000000-0005-0000-0000-0000A2060000}"/>
    <cellStyle name="Euro 11 3 5" xfId="1702" xr:uid="{00000000-0005-0000-0000-0000A3060000}"/>
    <cellStyle name="Euro 11 4" xfId="1703" xr:uid="{00000000-0005-0000-0000-0000A4060000}"/>
    <cellStyle name="Euro 11 4 2" xfId="1704" xr:uid="{00000000-0005-0000-0000-0000A5060000}"/>
    <cellStyle name="Euro 11 4 2 2" xfId="1705" xr:uid="{00000000-0005-0000-0000-0000A6060000}"/>
    <cellStyle name="Euro 11 4 3" xfId="1706" xr:uid="{00000000-0005-0000-0000-0000A7060000}"/>
    <cellStyle name="Euro 11 5" xfId="1707" xr:uid="{00000000-0005-0000-0000-0000A8060000}"/>
    <cellStyle name="Euro 11 6" xfId="1708" xr:uid="{00000000-0005-0000-0000-0000A9060000}"/>
    <cellStyle name="Euro 11 6 2" xfId="1709" xr:uid="{00000000-0005-0000-0000-0000AA060000}"/>
    <cellStyle name="Euro 12" xfId="1710" xr:uid="{00000000-0005-0000-0000-0000AB060000}"/>
    <cellStyle name="Euro 12 2" xfId="1711" xr:uid="{00000000-0005-0000-0000-0000AC060000}"/>
    <cellStyle name="Euro 12 2 2" xfId="1712" xr:uid="{00000000-0005-0000-0000-0000AD060000}"/>
    <cellStyle name="Euro 12 2 2 2" xfId="1713" xr:uid="{00000000-0005-0000-0000-0000AE060000}"/>
    <cellStyle name="Euro 12 2 3" xfId="1714" xr:uid="{00000000-0005-0000-0000-0000AF060000}"/>
    <cellStyle name="Euro 12 3" xfId="1715" xr:uid="{00000000-0005-0000-0000-0000B0060000}"/>
    <cellStyle name="Euro 12 3 2" xfId="1716" xr:uid="{00000000-0005-0000-0000-0000B1060000}"/>
    <cellStyle name="Euro 12 3 2 2" xfId="1717" xr:uid="{00000000-0005-0000-0000-0000B2060000}"/>
    <cellStyle name="Euro 12 3 2 3" xfId="1718" xr:uid="{00000000-0005-0000-0000-0000B3060000}"/>
    <cellStyle name="Euro 12 3 2 3 2" xfId="1719" xr:uid="{00000000-0005-0000-0000-0000B4060000}"/>
    <cellStyle name="Euro 12 3 3" xfId="1720" xr:uid="{00000000-0005-0000-0000-0000B5060000}"/>
    <cellStyle name="Euro 12 3 3 2" xfId="1721" xr:uid="{00000000-0005-0000-0000-0000B6060000}"/>
    <cellStyle name="Euro 12 3 4" xfId="1722" xr:uid="{00000000-0005-0000-0000-0000B7060000}"/>
    <cellStyle name="Euro 12 3 4 2" xfId="1723" xr:uid="{00000000-0005-0000-0000-0000B8060000}"/>
    <cellStyle name="Euro 12 3 5" xfId="1724" xr:uid="{00000000-0005-0000-0000-0000B9060000}"/>
    <cellStyle name="Euro 12 4" xfId="1725" xr:uid="{00000000-0005-0000-0000-0000BA060000}"/>
    <cellStyle name="Euro 12 4 2" xfId="1726" xr:uid="{00000000-0005-0000-0000-0000BB060000}"/>
    <cellStyle name="Euro 12 4 2 2" xfId="1727" xr:uid="{00000000-0005-0000-0000-0000BC060000}"/>
    <cellStyle name="Euro 12 4 3" xfId="1728" xr:uid="{00000000-0005-0000-0000-0000BD060000}"/>
    <cellStyle name="Euro 12 5" xfId="1729" xr:uid="{00000000-0005-0000-0000-0000BE060000}"/>
    <cellStyle name="Euro 12 6" xfId="1730" xr:uid="{00000000-0005-0000-0000-0000BF060000}"/>
    <cellStyle name="Euro 12 6 2" xfId="1731" xr:uid="{00000000-0005-0000-0000-0000C0060000}"/>
    <cellStyle name="Euro 13" xfId="1732" xr:uid="{00000000-0005-0000-0000-0000C1060000}"/>
    <cellStyle name="Euro 13 2" xfId="1733" xr:uid="{00000000-0005-0000-0000-0000C2060000}"/>
    <cellStyle name="Euro 13 2 2" xfId="1734" xr:uid="{00000000-0005-0000-0000-0000C3060000}"/>
    <cellStyle name="Euro 13 2 2 2" xfId="1735" xr:uid="{00000000-0005-0000-0000-0000C4060000}"/>
    <cellStyle name="Euro 13 2 3" xfId="1736" xr:uid="{00000000-0005-0000-0000-0000C5060000}"/>
    <cellStyle name="Euro 13 3" xfId="1737" xr:uid="{00000000-0005-0000-0000-0000C6060000}"/>
    <cellStyle name="Euro 13 3 2" xfId="1738" xr:uid="{00000000-0005-0000-0000-0000C7060000}"/>
    <cellStyle name="Euro 13 3 2 2" xfId="1739" xr:uid="{00000000-0005-0000-0000-0000C8060000}"/>
    <cellStyle name="Euro 13 3 2 3" xfId="1740" xr:uid="{00000000-0005-0000-0000-0000C9060000}"/>
    <cellStyle name="Euro 13 3 2 3 2" xfId="1741" xr:uid="{00000000-0005-0000-0000-0000CA060000}"/>
    <cellStyle name="Euro 13 3 3" xfId="1742" xr:uid="{00000000-0005-0000-0000-0000CB060000}"/>
    <cellStyle name="Euro 13 3 3 2" xfId="1743" xr:uid="{00000000-0005-0000-0000-0000CC060000}"/>
    <cellStyle name="Euro 13 3 4" xfId="1744" xr:uid="{00000000-0005-0000-0000-0000CD060000}"/>
    <cellStyle name="Euro 13 3 4 2" xfId="1745" xr:uid="{00000000-0005-0000-0000-0000CE060000}"/>
    <cellStyle name="Euro 13 3 5" xfId="1746" xr:uid="{00000000-0005-0000-0000-0000CF060000}"/>
    <cellStyle name="Euro 13 4" xfId="1747" xr:uid="{00000000-0005-0000-0000-0000D0060000}"/>
    <cellStyle name="Euro 13 4 2" xfId="1748" xr:uid="{00000000-0005-0000-0000-0000D1060000}"/>
    <cellStyle name="Euro 13 4 2 2" xfId="1749" xr:uid="{00000000-0005-0000-0000-0000D2060000}"/>
    <cellStyle name="Euro 13 4 3" xfId="1750" xr:uid="{00000000-0005-0000-0000-0000D3060000}"/>
    <cellStyle name="Euro 13 5" xfId="1751" xr:uid="{00000000-0005-0000-0000-0000D4060000}"/>
    <cellStyle name="Euro 13 6" xfId="1752" xr:uid="{00000000-0005-0000-0000-0000D5060000}"/>
    <cellStyle name="Euro 13 6 2" xfId="1753" xr:uid="{00000000-0005-0000-0000-0000D6060000}"/>
    <cellStyle name="Euro 14" xfId="1754" xr:uid="{00000000-0005-0000-0000-0000D7060000}"/>
    <cellStyle name="Euro 14 2" xfId="1755" xr:uid="{00000000-0005-0000-0000-0000D8060000}"/>
    <cellStyle name="Euro 14 2 2" xfId="1756" xr:uid="{00000000-0005-0000-0000-0000D9060000}"/>
    <cellStyle name="Euro 14 2 2 2" xfId="1757" xr:uid="{00000000-0005-0000-0000-0000DA060000}"/>
    <cellStyle name="Euro 14 2 3" xfId="1758" xr:uid="{00000000-0005-0000-0000-0000DB060000}"/>
    <cellStyle name="Euro 14 3" xfId="1759" xr:uid="{00000000-0005-0000-0000-0000DC060000}"/>
    <cellStyle name="Euro 14 3 2" xfId="1760" xr:uid="{00000000-0005-0000-0000-0000DD060000}"/>
    <cellStyle name="Euro 14 3 2 2" xfId="1761" xr:uid="{00000000-0005-0000-0000-0000DE060000}"/>
    <cellStyle name="Euro 14 3 2 3" xfId="1762" xr:uid="{00000000-0005-0000-0000-0000DF060000}"/>
    <cellStyle name="Euro 14 3 2 3 2" xfId="1763" xr:uid="{00000000-0005-0000-0000-0000E0060000}"/>
    <cellStyle name="Euro 14 3 3" xfId="1764" xr:uid="{00000000-0005-0000-0000-0000E1060000}"/>
    <cellStyle name="Euro 14 3 3 2" xfId="1765" xr:uid="{00000000-0005-0000-0000-0000E2060000}"/>
    <cellStyle name="Euro 14 3 4" xfId="1766" xr:uid="{00000000-0005-0000-0000-0000E3060000}"/>
    <cellStyle name="Euro 14 3 4 2" xfId="1767" xr:uid="{00000000-0005-0000-0000-0000E4060000}"/>
    <cellStyle name="Euro 14 3 5" xfId="1768" xr:uid="{00000000-0005-0000-0000-0000E5060000}"/>
    <cellStyle name="Euro 14 4" xfId="1769" xr:uid="{00000000-0005-0000-0000-0000E6060000}"/>
    <cellStyle name="Euro 14 4 2" xfId="1770" xr:uid="{00000000-0005-0000-0000-0000E7060000}"/>
    <cellStyle name="Euro 14 4 2 2" xfId="1771" xr:uid="{00000000-0005-0000-0000-0000E8060000}"/>
    <cellStyle name="Euro 14 4 3" xfId="1772" xr:uid="{00000000-0005-0000-0000-0000E9060000}"/>
    <cellStyle name="Euro 14 5" xfId="1773" xr:uid="{00000000-0005-0000-0000-0000EA060000}"/>
    <cellStyle name="Euro 14 6" xfId="1774" xr:uid="{00000000-0005-0000-0000-0000EB060000}"/>
    <cellStyle name="Euro 14 6 2" xfId="1775" xr:uid="{00000000-0005-0000-0000-0000EC060000}"/>
    <cellStyle name="Euro 15" xfId="1776" xr:uid="{00000000-0005-0000-0000-0000ED060000}"/>
    <cellStyle name="Euro 15 2" xfId="1777" xr:uid="{00000000-0005-0000-0000-0000EE060000}"/>
    <cellStyle name="Euro 15 2 2" xfId="1778" xr:uid="{00000000-0005-0000-0000-0000EF060000}"/>
    <cellStyle name="Euro 15 2 2 2" xfId="1779" xr:uid="{00000000-0005-0000-0000-0000F0060000}"/>
    <cellStyle name="Euro 15 2 3" xfId="1780" xr:uid="{00000000-0005-0000-0000-0000F1060000}"/>
    <cellStyle name="Euro 15 3" xfId="1781" xr:uid="{00000000-0005-0000-0000-0000F2060000}"/>
    <cellStyle name="Euro 15 3 2" xfId="1782" xr:uid="{00000000-0005-0000-0000-0000F3060000}"/>
    <cellStyle name="Euro 15 3 2 2" xfId="1783" xr:uid="{00000000-0005-0000-0000-0000F4060000}"/>
    <cellStyle name="Euro 15 3 2 3" xfId="1784" xr:uid="{00000000-0005-0000-0000-0000F5060000}"/>
    <cellStyle name="Euro 15 3 2 3 2" xfId="1785" xr:uid="{00000000-0005-0000-0000-0000F6060000}"/>
    <cellStyle name="Euro 15 3 3" xfId="1786" xr:uid="{00000000-0005-0000-0000-0000F7060000}"/>
    <cellStyle name="Euro 15 3 3 2" xfId="1787" xr:uid="{00000000-0005-0000-0000-0000F8060000}"/>
    <cellStyle name="Euro 15 3 4" xfId="1788" xr:uid="{00000000-0005-0000-0000-0000F9060000}"/>
    <cellStyle name="Euro 15 3 4 2" xfId="1789" xr:uid="{00000000-0005-0000-0000-0000FA060000}"/>
    <cellStyle name="Euro 15 3 5" xfId="1790" xr:uid="{00000000-0005-0000-0000-0000FB060000}"/>
    <cellStyle name="Euro 15 4" xfId="1791" xr:uid="{00000000-0005-0000-0000-0000FC060000}"/>
    <cellStyle name="Euro 15 4 2" xfId="1792" xr:uid="{00000000-0005-0000-0000-0000FD060000}"/>
    <cellStyle name="Euro 15 4 2 2" xfId="1793" xr:uid="{00000000-0005-0000-0000-0000FE060000}"/>
    <cellStyle name="Euro 15 4 3" xfId="1794" xr:uid="{00000000-0005-0000-0000-0000FF060000}"/>
    <cellStyle name="Euro 15 5" xfId="1795" xr:uid="{00000000-0005-0000-0000-000000070000}"/>
    <cellStyle name="Euro 15 6" xfId="1796" xr:uid="{00000000-0005-0000-0000-000001070000}"/>
    <cellStyle name="Euro 15 6 2" xfId="1797" xr:uid="{00000000-0005-0000-0000-000002070000}"/>
    <cellStyle name="Euro 16" xfId="1798" xr:uid="{00000000-0005-0000-0000-000003070000}"/>
    <cellStyle name="Euro 16 2" xfId="1799" xr:uid="{00000000-0005-0000-0000-000004070000}"/>
    <cellStyle name="Euro 16 2 2" xfId="1800" xr:uid="{00000000-0005-0000-0000-000005070000}"/>
    <cellStyle name="Euro 16 2 2 2" xfId="1801" xr:uid="{00000000-0005-0000-0000-000006070000}"/>
    <cellStyle name="Euro 16 2 3" xfId="1802" xr:uid="{00000000-0005-0000-0000-000007070000}"/>
    <cellStyle name="Euro 16 3" xfId="1803" xr:uid="{00000000-0005-0000-0000-000008070000}"/>
    <cellStyle name="Euro 16 3 2" xfId="1804" xr:uid="{00000000-0005-0000-0000-000009070000}"/>
    <cellStyle name="Euro 16 3 2 2" xfId="1805" xr:uid="{00000000-0005-0000-0000-00000A070000}"/>
    <cellStyle name="Euro 16 3 2 3" xfId="1806" xr:uid="{00000000-0005-0000-0000-00000B070000}"/>
    <cellStyle name="Euro 16 3 2 3 2" xfId="1807" xr:uid="{00000000-0005-0000-0000-00000C070000}"/>
    <cellStyle name="Euro 16 3 3" xfId="1808" xr:uid="{00000000-0005-0000-0000-00000D070000}"/>
    <cellStyle name="Euro 16 3 3 2" xfId="1809" xr:uid="{00000000-0005-0000-0000-00000E070000}"/>
    <cellStyle name="Euro 16 3 4" xfId="1810" xr:uid="{00000000-0005-0000-0000-00000F070000}"/>
    <cellStyle name="Euro 16 3 4 2" xfId="1811" xr:uid="{00000000-0005-0000-0000-000010070000}"/>
    <cellStyle name="Euro 16 3 5" xfId="1812" xr:uid="{00000000-0005-0000-0000-000011070000}"/>
    <cellStyle name="Euro 16 4" xfId="1813" xr:uid="{00000000-0005-0000-0000-000012070000}"/>
    <cellStyle name="Euro 16 4 2" xfId="1814" xr:uid="{00000000-0005-0000-0000-000013070000}"/>
    <cellStyle name="Euro 16 4 2 2" xfId="1815" xr:uid="{00000000-0005-0000-0000-000014070000}"/>
    <cellStyle name="Euro 16 4 3" xfId="1816" xr:uid="{00000000-0005-0000-0000-000015070000}"/>
    <cellStyle name="Euro 16 5" xfId="1817" xr:uid="{00000000-0005-0000-0000-000016070000}"/>
    <cellStyle name="Euro 16 6" xfId="1818" xr:uid="{00000000-0005-0000-0000-000017070000}"/>
    <cellStyle name="Euro 16 6 2" xfId="1819" xr:uid="{00000000-0005-0000-0000-000018070000}"/>
    <cellStyle name="Euro 17" xfId="1820" xr:uid="{00000000-0005-0000-0000-000019070000}"/>
    <cellStyle name="Euro 17 2" xfId="1821" xr:uid="{00000000-0005-0000-0000-00001A070000}"/>
    <cellStyle name="Euro 17 2 2" xfId="1822" xr:uid="{00000000-0005-0000-0000-00001B070000}"/>
    <cellStyle name="Euro 17 2 2 2" xfId="1823" xr:uid="{00000000-0005-0000-0000-00001C070000}"/>
    <cellStyle name="Euro 17 2 3" xfId="1824" xr:uid="{00000000-0005-0000-0000-00001D070000}"/>
    <cellStyle name="Euro 17 3" xfId="1825" xr:uid="{00000000-0005-0000-0000-00001E070000}"/>
    <cellStyle name="Euro 17 3 2" xfId="1826" xr:uid="{00000000-0005-0000-0000-00001F070000}"/>
    <cellStyle name="Euro 17 3 2 2" xfId="1827" xr:uid="{00000000-0005-0000-0000-000020070000}"/>
    <cellStyle name="Euro 17 3 2 3" xfId="1828" xr:uid="{00000000-0005-0000-0000-000021070000}"/>
    <cellStyle name="Euro 17 3 2 3 2" xfId="1829" xr:uid="{00000000-0005-0000-0000-000022070000}"/>
    <cellStyle name="Euro 17 3 3" xfId="1830" xr:uid="{00000000-0005-0000-0000-000023070000}"/>
    <cellStyle name="Euro 17 3 3 2" xfId="1831" xr:uid="{00000000-0005-0000-0000-000024070000}"/>
    <cellStyle name="Euro 17 3 4" xfId="1832" xr:uid="{00000000-0005-0000-0000-000025070000}"/>
    <cellStyle name="Euro 17 3 4 2" xfId="1833" xr:uid="{00000000-0005-0000-0000-000026070000}"/>
    <cellStyle name="Euro 17 3 5" xfId="1834" xr:uid="{00000000-0005-0000-0000-000027070000}"/>
    <cellStyle name="Euro 17 4" xfId="1835" xr:uid="{00000000-0005-0000-0000-000028070000}"/>
    <cellStyle name="Euro 17 4 2" xfId="1836" xr:uid="{00000000-0005-0000-0000-000029070000}"/>
    <cellStyle name="Euro 17 4 2 2" xfId="1837" xr:uid="{00000000-0005-0000-0000-00002A070000}"/>
    <cellStyle name="Euro 17 4 3" xfId="1838" xr:uid="{00000000-0005-0000-0000-00002B070000}"/>
    <cellStyle name="Euro 17 5" xfId="1839" xr:uid="{00000000-0005-0000-0000-00002C070000}"/>
    <cellStyle name="Euro 17 6" xfId="1840" xr:uid="{00000000-0005-0000-0000-00002D070000}"/>
    <cellStyle name="Euro 17 6 2" xfId="1841" xr:uid="{00000000-0005-0000-0000-00002E070000}"/>
    <cellStyle name="Euro 18" xfId="1842" xr:uid="{00000000-0005-0000-0000-00002F070000}"/>
    <cellStyle name="Euro 18 2" xfId="1843" xr:uid="{00000000-0005-0000-0000-000030070000}"/>
    <cellStyle name="Euro 18 2 2" xfId="1844" xr:uid="{00000000-0005-0000-0000-000031070000}"/>
    <cellStyle name="Euro 18 2 2 2" xfId="1845" xr:uid="{00000000-0005-0000-0000-000032070000}"/>
    <cellStyle name="Euro 18 2 3" xfId="1846" xr:uid="{00000000-0005-0000-0000-000033070000}"/>
    <cellStyle name="Euro 18 3" xfId="1847" xr:uid="{00000000-0005-0000-0000-000034070000}"/>
    <cellStyle name="Euro 18 3 2" xfId="1848" xr:uid="{00000000-0005-0000-0000-000035070000}"/>
    <cellStyle name="Euro 18 3 2 2" xfId="1849" xr:uid="{00000000-0005-0000-0000-000036070000}"/>
    <cellStyle name="Euro 18 3 2 3" xfId="1850" xr:uid="{00000000-0005-0000-0000-000037070000}"/>
    <cellStyle name="Euro 18 3 2 3 2" xfId="1851" xr:uid="{00000000-0005-0000-0000-000038070000}"/>
    <cellStyle name="Euro 18 3 3" xfId="1852" xr:uid="{00000000-0005-0000-0000-000039070000}"/>
    <cellStyle name="Euro 18 3 3 2" xfId="1853" xr:uid="{00000000-0005-0000-0000-00003A070000}"/>
    <cellStyle name="Euro 18 3 4" xfId="1854" xr:uid="{00000000-0005-0000-0000-00003B070000}"/>
    <cellStyle name="Euro 18 3 4 2" xfId="1855" xr:uid="{00000000-0005-0000-0000-00003C070000}"/>
    <cellStyle name="Euro 18 3 5" xfId="1856" xr:uid="{00000000-0005-0000-0000-00003D070000}"/>
    <cellStyle name="Euro 18 4" xfId="1857" xr:uid="{00000000-0005-0000-0000-00003E070000}"/>
    <cellStyle name="Euro 18 4 2" xfId="1858" xr:uid="{00000000-0005-0000-0000-00003F070000}"/>
    <cellStyle name="Euro 18 4 2 2" xfId="1859" xr:uid="{00000000-0005-0000-0000-000040070000}"/>
    <cellStyle name="Euro 18 4 3" xfId="1860" xr:uid="{00000000-0005-0000-0000-000041070000}"/>
    <cellStyle name="Euro 18 5" xfId="1861" xr:uid="{00000000-0005-0000-0000-000042070000}"/>
    <cellStyle name="Euro 18 6" xfId="1862" xr:uid="{00000000-0005-0000-0000-000043070000}"/>
    <cellStyle name="Euro 18 6 2" xfId="1863" xr:uid="{00000000-0005-0000-0000-000044070000}"/>
    <cellStyle name="Euro 19" xfId="1864" xr:uid="{00000000-0005-0000-0000-000045070000}"/>
    <cellStyle name="Euro 19 2" xfId="1865" xr:uid="{00000000-0005-0000-0000-000046070000}"/>
    <cellStyle name="Euro 19 2 2" xfId="1866" xr:uid="{00000000-0005-0000-0000-000047070000}"/>
    <cellStyle name="Euro 19 2 2 2" xfId="1867" xr:uid="{00000000-0005-0000-0000-000048070000}"/>
    <cellStyle name="Euro 19 2 3" xfId="1868" xr:uid="{00000000-0005-0000-0000-000049070000}"/>
    <cellStyle name="Euro 19 3" xfId="1869" xr:uid="{00000000-0005-0000-0000-00004A070000}"/>
    <cellStyle name="Euro 19 3 2" xfId="1870" xr:uid="{00000000-0005-0000-0000-00004B070000}"/>
    <cellStyle name="Euro 19 3 2 2" xfId="1871" xr:uid="{00000000-0005-0000-0000-00004C070000}"/>
    <cellStyle name="Euro 19 3 2 3" xfId="1872" xr:uid="{00000000-0005-0000-0000-00004D070000}"/>
    <cellStyle name="Euro 19 3 2 3 2" xfId="1873" xr:uid="{00000000-0005-0000-0000-00004E070000}"/>
    <cellStyle name="Euro 19 3 3" xfId="1874" xr:uid="{00000000-0005-0000-0000-00004F070000}"/>
    <cellStyle name="Euro 19 3 3 2" xfId="1875" xr:uid="{00000000-0005-0000-0000-000050070000}"/>
    <cellStyle name="Euro 19 3 4" xfId="1876" xr:uid="{00000000-0005-0000-0000-000051070000}"/>
    <cellStyle name="Euro 19 3 4 2" xfId="1877" xr:uid="{00000000-0005-0000-0000-000052070000}"/>
    <cellStyle name="Euro 19 3 5" xfId="1878" xr:uid="{00000000-0005-0000-0000-000053070000}"/>
    <cellStyle name="Euro 19 4" xfId="1879" xr:uid="{00000000-0005-0000-0000-000054070000}"/>
    <cellStyle name="Euro 19 4 2" xfId="1880" xr:uid="{00000000-0005-0000-0000-000055070000}"/>
    <cellStyle name="Euro 19 4 2 2" xfId="1881" xr:uid="{00000000-0005-0000-0000-000056070000}"/>
    <cellStyle name="Euro 19 4 3" xfId="1882" xr:uid="{00000000-0005-0000-0000-000057070000}"/>
    <cellStyle name="Euro 19 5" xfId="1883" xr:uid="{00000000-0005-0000-0000-000058070000}"/>
    <cellStyle name="Euro 19 6" xfId="1884" xr:uid="{00000000-0005-0000-0000-000059070000}"/>
    <cellStyle name="Euro 19 6 2" xfId="1885" xr:uid="{00000000-0005-0000-0000-00005A070000}"/>
    <cellStyle name="Euro 2" xfId="1886" xr:uid="{00000000-0005-0000-0000-00005B070000}"/>
    <cellStyle name="Euro 2 2" xfId="1887" xr:uid="{00000000-0005-0000-0000-00005C070000}"/>
    <cellStyle name="Euro 2 2 2" xfId="1888" xr:uid="{00000000-0005-0000-0000-00005D070000}"/>
    <cellStyle name="Euro 2 2 2 2" xfId="1889" xr:uid="{00000000-0005-0000-0000-00005E070000}"/>
    <cellStyle name="Euro 2 2 3" xfId="1890" xr:uid="{00000000-0005-0000-0000-00005F070000}"/>
    <cellStyle name="Euro 2 3" xfId="1891" xr:uid="{00000000-0005-0000-0000-000060070000}"/>
    <cellStyle name="Euro 2 3 2" xfId="1892" xr:uid="{00000000-0005-0000-0000-000061070000}"/>
    <cellStyle name="Euro 2 3 2 2" xfId="1893" xr:uid="{00000000-0005-0000-0000-000062070000}"/>
    <cellStyle name="Euro 2 3 2 3" xfId="1894" xr:uid="{00000000-0005-0000-0000-000063070000}"/>
    <cellStyle name="Euro 2 3 2 3 2" xfId="1895" xr:uid="{00000000-0005-0000-0000-000064070000}"/>
    <cellStyle name="Euro 2 3 3" xfId="1896" xr:uid="{00000000-0005-0000-0000-000065070000}"/>
    <cellStyle name="Euro 2 3 3 2" xfId="1897" xr:uid="{00000000-0005-0000-0000-000066070000}"/>
    <cellStyle name="Euro 2 3 4" xfId="1898" xr:uid="{00000000-0005-0000-0000-000067070000}"/>
    <cellStyle name="Euro 2 3 4 2" xfId="1899" xr:uid="{00000000-0005-0000-0000-000068070000}"/>
    <cellStyle name="Euro 2 3 5" xfId="1900" xr:uid="{00000000-0005-0000-0000-000069070000}"/>
    <cellStyle name="Euro 2 4" xfId="1901" xr:uid="{00000000-0005-0000-0000-00006A070000}"/>
    <cellStyle name="Euro 2 4 2" xfId="1902" xr:uid="{00000000-0005-0000-0000-00006B070000}"/>
    <cellStyle name="Euro 2 4 2 2" xfId="1903" xr:uid="{00000000-0005-0000-0000-00006C070000}"/>
    <cellStyle name="Euro 2 4 3" xfId="1904" xr:uid="{00000000-0005-0000-0000-00006D070000}"/>
    <cellStyle name="Euro 2 5" xfId="1905" xr:uid="{00000000-0005-0000-0000-00006E070000}"/>
    <cellStyle name="Euro 2 6" xfId="1906" xr:uid="{00000000-0005-0000-0000-00006F070000}"/>
    <cellStyle name="Euro 2 6 2" xfId="1907" xr:uid="{00000000-0005-0000-0000-000070070000}"/>
    <cellStyle name="Euro 20" xfId="1908" xr:uid="{00000000-0005-0000-0000-000071070000}"/>
    <cellStyle name="Euro 20 2" xfId="1909" xr:uid="{00000000-0005-0000-0000-000072070000}"/>
    <cellStyle name="Euro 20 2 2" xfId="1910" xr:uid="{00000000-0005-0000-0000-000073070000}"/>
    <cellStyle name="Euro 20 2 2 2" xfId="1911" xr:uid="{00000000-0005-0000-0000-000074070000}"/>
    <cellStyle name="Euro 20 2 3" xfId="1912" xr:uid="{00000000-0005-0000-0000-000075070000}"/>
    <cellStyle name="Euro 20 3" xfId="1913" xr:uid="{00000000-0005-0000-0000-000076070000}"/>
    <cellStyle name="Euro 20 3 2" xfId="1914" xr:uid="{00000000-0005-0000-0000-000077070000}"/>
    <cellStyle name="Euro 20 3 2 2" xfId="1915" xr:uid="{00000000-0005-0000-0000-000078070000}"/>
    <cellStyle name="Euro 20 3 2 3" xfId="1916" xr:uid="{00000000-0005-0000-0000-000079070000}"/>
    <cellStyle name="Euro 20 3 2 3 2" xfId="1917" xr:uid="{00000000-0005-0000-0000-00007A070000}"/>
    <cellStyle name="Euro 20 3 3" xfId="1918" xr:uid="{00000000-0005-0000-0000-00007B070000}"/>
    <cellStyle name="Euro 20 3 3 2" xfId="1919" xr:uid="{00000000-0005-0000-0000-00007C070000}"/>
    <cellStyle name="Euro 20 3 4" xfId="1920" xr:uid="{00000000-0005-0000-0000-00007D070000}"/>
    <cellStyle name="Euro 20 3 4 2" xfId="1921" xr:uid="{00000000-0005-0000-0000-00007E070000}"/>
    <cellStyle name="Euro 20 3 5" xfId="1922" xr:uid="{00000000-0005-0000-0000-00007F070000}"/>
    <cellStyle name="Euro 20 4" xfId="1923" xr:uid="{00000000-0005-0000-0000-000080070000}"/>
    <cellStyle name="Euro 20 4 2" xfId="1924" xr:uid="{00000000-0005-0000-0000-000081070000}"/>
    <cellStyle name="Euro 20 4 2 2" xfId="1925" xr:uid="{00000000-0005-0000-0000-000082070000}"/>
    <cellStyle name="Euro 20 4 3" xfId="1926" xr:uid="{00000000-0005-0000-0000-000083070000}"/>
    <cellStyle name="Euro 20 5" xfId="1927" xr:uid="{00000000-0005-0000-0000-000084070000}"/>
    <cellStyle name="Euro 20 6" xfId="1928" xr:uid="{00000000-0005-0000-0000-000085070000}"/>
    <cellStyle name="Euro 20 6 2" xfId="1929" xr:uid="{00000000-0005-0000-0000-000086070000}"/>
    <cellStyle name="Euro 21" xfId="1930" xr:uid="{00000000-0005-0000-0000-000087070000}"/>
    <cellStyle name="Euro 21 2" xfId="1931" xr:uid="{00000000-0005-0000-0000-000088070000}"/>
    <cellStyle name="Euro 21 2 2" xfId="1932" xr:uid="{00000000-0005-0000-0000-000089070000}"/>
    <cellStyle name="Euro 21 2 2 2" xfId="1933" xr:uid="{00000000-0005-0000-0000-00008A070000}"/>
    <cellStyle name="Euro 21 2 3" xfId="1934" xr:uid="{00000000-0005-0000-0000-00008B070000}"/>
    <cellStyle name="Euro 21 3" xfId="1935" xr:uid="{00000000-0005-0000-0000-00008C070000}"/>
    <cellStyle name="Euro 21 3 2" xfId="1936" xr:uid="{00000000-0005-0000-0000-00008D070000}"/>
    <cellStyle name="Euro 21 3 2 2" xfId="1937" xr:uid="{00000000-0005-0000-0000-00008E070000}"/>
    <cellStyle name="Euro 21 3 2 3" xfId="1938" xr:uid="{00000000-0005-0000-0000-00008F070000}"/>
    <cellStyle name="Euro 21 3 2 3 2" xfId="1939" xr:uid="{00000000-0005-0000-0000-000090070000}"/>
    <cellStyle name="Euro 21 3 3" xfId="1940" xr:uid="{00000000-0005-0000-0000-000091070000}"/>
    <cellStyle name="Euro 21 3 3 2" xfId="1941" xr:uid="{00000000-0005-0000-0000-000092070000}"/>
    <cellStyle name="Euro 21 3 4" xfId="1942" xr:uid="{00000000-0005-0000-0000-000093070000}"/>
    <cellStyle name="Euro 21 3 4 2" xfId="1943" xr:uid="{00000000-0005-0000-0000-000094070000}"/>
    <cellStyle name="Euro 21 3 5" xfId="1944" xr:uid="{00000000-0005-0000-0000-000095070000}"/>
    <cellStyle name="Euro 21 4" xfId="1945" xr:uid="{00000000-0005-0000-0000-000096070000}"/>
    <cellStyle name="Euro 21 4 2" xfId="1946" xr:uid="{00000000-0005-0000-0000-000097070000}"/>
    <cellStyle name="Euro 21 4 2 2" xfId="1947" xr:uid="{00000000-0005-0000-0000-000098070000}"/>
    <cellStyle name="Euro 21 4 3" xfId="1948" xr:uid="{00000000-0005-0000-0000-000099070000}"/>
    <cellStyle name="Euro 21 5" xfId="1949" xr:uid="{00000000-0005-0000-0000-00009A070000}"/>
    <cellStyle name="Euro 21 6" xfId="1950" xr:uid="{00000000-0005-0000-0000-00009B070000}"/>
    <cellStyle name="Euro 21 6 2" xfId="1951" xr:uid="{00000000-0005-0000-0000-00009C070000}"/>
    <cellStyle name="Euro 22" xfId="1952" xr:uid="{00000000-0005-0000-0000-00009D070000}"/>
    <cellStyle name="Euro 22 2" xfId="1953" xr:uid="{00000000-0005-0000-0000-00009E070000}"/>
    <cellStyle name="Euro 22 2 2" xfId="1954" xr:uid="{00000000-0005-0000-0000-00009F070000}"/>
    <cellStyle name="Euro 22 2 2 2" xfId="1955" xr:uid="{00000000-0005-0000-0000-0000A0070000}"/>
    <cellStyle name="Euro 22 2 3" xfId="1956" xr:uid="{00000000-0005-0000-0000-0000A1070000}"/>
    <cellStyle name="Euro 22 3" xfId="1957" xr:uid="{00000000-0005-0000-0000-0000A2070000}"/>
    <cellStyle name="Euro 22 3 2" xfId="1958" xr:uid="{00000000-0005-0000-0000-0000A3070000}"/>
    <cellStyle name="Euro 22 3 2 2" xfId="1959" xr:uid="{00000000-0005-0000-0000-0000A4070000}"/>
    <cellStyle name="Euro 22 3 2 3" xfId="1960" xr:uid="{00000000-0005-0000-0000-0000A5070000}"/>
    <cellStyle name="Euro 22 3 2 3 2" xfId="1961" xr:uid="{00000000-0005-0000-0000-0000A6070000}"/>
    <cellStyle name="Euro 22 3 3" xfId="1962" xr:uid="{00000000-0005-0000-0000-0000A7070000}"/>
    <cellStyle name="Euro 22 3 3 2" xfId="1963" xr:uid="{00000000-0005-0000-0000-0000A8070000}"/>
    <cellStyle name="Euro 22 3 4" xfId="1964" xr:uid="{00000000-0005-0000-0000-0000A9070000}"/>
    <cellStyle name="Euro 22 3 4 2" xfId="1965" xr:uid="{00000000-0005-0000-0000-0000AA070000}"/>
    <cellStyle name="Euro 22 3 5" xfId="1966" xr:uid="{00000000-0005-0000-0000-0000AB070000}"/>
    <cellStyle name="Euro 22 4" xfId="1967" xr:uid="{00000000-0005-0000-0000-0000AC070000}"/>
    <cellStyle name="Euro 22 4 2" xfId="1968" xr:uid="{00000000-0005-0000-0000-0000AD070000}"/>
    <cellStyle name="Euro 22 4 2 2" xfId="1969" xr:uid="{00000000-0005-0000-0000-0000AE070000}"/>
    <cellStyle name="Euro 22 4 3" xfId="1970" xr:uid="{00000000-0005-0000-0000-0000AF070000}"/>
    <cellStyle name="Euro 22 5" xfId="1971" xr:uid="{00000000-0005-0000-0000-0000B0070000}"/>
    <cellStyle name="Euro 22 6" xfId="1972" xr:uid="{00000000-0005-0000-0000-0000B1070000}"/>
    <cellStyle name="Euro 22 6 2" xfId="1973" xr:uid="{00000000-0005-0000-0000-0000B2070000}"/>
    <cellStyle name="Euro 23" xfId="1974" xr:uid="{00000000-0005-0000-0000-0000B3070000}"/>
    <cellStyle name="Euro 23 2" xfId="1975" xr:uid="{00000000-0005-0000-0000-0000B4070000}"/>
    <cellStyle name="Euro 23 2 2" xfId="1976" xr:uid="{00000000-0005-0000-0000-0000B5070000}"/>
    <cellStyle name="Euro 23 2 2 2" xfId="1977" xr:uid="{00000000-0005-0000-0000-0000B6070000}"/>
    <cellStyle name="Euro 23 2 3" xfId="1978" xr:uid="{00000000-0005-0000-0000-0000B7070000}"/>
    <cellStyle name="Euro 23 3" xfId="1979" xr:uid="{00000000-0005-0000-0000-0000B8070000}"/>
    <cellStyle name="Euro 23 3 2" xfId="1980" xr:uid="{00000000-0005-0000-0000-0000B9070000}"/>
    <cellStyle name="Euro 23 3 2 2" xfId="1981" xr:uid="{00000000-0005-0000-0000-0000BA070000}"/>
    <cellStyle name="Euro 23 3 2 3" xfId="1982" xr:uid="{00000000-0005-0000-0000-0000BB070000}"/>
    <cellStyle name="Euro 23 3 2 3 2" xfId="1983" xr:uid="{00000000-0005-0000-0000-0000BC070000}"/>
    <cellStyle name="Euro 23 3 3" xfId="1984" xr:uid="{00000000-0005-0000-0000-0000BD070000}"/>
    <cellStyle name="Euro 23 3 3 2" xfId="1985" xr:uid="{00000000-0005-0000-0000-0000BE070000}"/>
    <cellStyle name="Euro 23 3 4" xfId="1986" xr:uid="{00000000-0005-0000-0000-0000BF070000}"/>
    <cellStyle name="Euro 23 3 4 2" xfId="1987" xr:uid="{00000000-0005-0000-0000-0000C0070000}"/>
    <cellStyle name="Euro 23 3 5" xfId="1988" xr:uid="{00000000-0005-0000-0000-0000C1070000}"/>
    <cellStyle name="Euro 23 4" xfId="1989" xr:uid="{00000000-0005-0000-0000-0000C2070000}"/>
    <cellStyle name="Euro 23 4 2" xfId="1990" xr:uid="{00000000-0005-0000-0000-0000C3070000}"/>
    <cellStyle name="Euro 23 4 2 2" xfId="1991" xr:uid="{00000000-0005-0000-0000-0000C4070000}"/>
    <cellStyle name="Euro 23 4 3" xfId="1992" xr:uid="{00000000-0005-0000-0000-0000C5070000}"/>
    <cellStyle name="Euro 23 5" xfId="1993" xr:uid="{00000000-0005-0000-0000-0000C6070000}"/>
    <cellStyle name="Euro 23 6" xfId="1994" xr:uid="{00000000-0005-0000-0000-0000C7070000}"/>
    <cellStyle name="Euro 23 6 2" xfId="1995" xr:uid="{00000000-0005-0000-0000-0000C8070000}"/>
    <cellStyle name="Euro 24" xfId="1996" xr:uid="{00000000-0005-0000-0000-0000C9070000}"/>
    <cellStyle name="Euro 24 2" xfId="1997" xr:uid="{00000000-0005-0000-0000-0000CA070000}"/>
    <cellStyle name="Euro 24 2 2" xfId="1998" xr:uid="{00000000-0005-0000-0000-0000CB070000}"/>
    <cellStyle name="Euro 24 2 2 2" xfId="1999" xr:uid="{00000000-0005-0000-0000-0000CC070000}"/>
    <cellStyle name="Euro 24 2 3" xfId="2000" xr:uid="{00000000-0005-0000-0000-0000CD070000}"/>
    <cellStyle name="Euro 24 3" xfId="2001" xr:uid="{00000000-0005-0000-0000-0000CE070000}"/>
    <cellStyle name="Euro 24 3 2" xfId="2002" xr:uid="{00000000-0005-0000-0000-0000CF070000}"/>
    <cellStyle name="Euro 24 3 2 2" xfId="2003" xr:uid="{00000000-0005-0000-0000-0000D0070000}"/>
    <cellStyle name="Euro 24 3 2 3" xfId="2004" xr:uid="{00000000-0005-0000-0000-0000D1070000}"/>
    <cellStyle name="Euro 24 3 2 3 2" xfId="2005" xr:uid="{00000000-0005-0000-0000-0000D2070000}"/>
    <cellStyle name="Euro 24 3 3" xfId="2006" xr:uid="{00000000-0005-0000-0000-0000D3070000}"/>
    <cellStyle name="Euro 24 3 3 2" xfId="2007" xr:uid="{00000000-0005-0000-0000-0000D4070000}"/>
    <cellStyle name="Euro 24 3 4" xfId="2008" xr:uid="{00000000-0005-0000-0000-0000D5070000}"/>
    <cellStyle name="Euro 24 3 4 2" xfId="2009" xr:uid="{00000000-0005-0000-0000-0000D6070000}"/>
    <cellStyle name="Euro 24 3 5" xfId="2010" xr:uid="{00000000-0005-0000-0000-0000D7070000}"/>
    <cellStyle name="Euro 24 4" xfId="2011" xr:uid="{00000000-0005-0000-0000-0000D8070000}"/>
    <cellStyle name="Euro 24 4 2" xfId="2012" xr:uid="{00000000-0005-0000-0000-0000D9070000}"/>
    <cellStyle name="Euro 24 4 2 2" xfId="2013" xr:uid="{00000000-0005-0000-0000-0000DA070000}"/>
    <cellStyle name="Euro 24 4 3" xfId="2014" xr:uid="{00000000-0005-0000-0000-0000DB070000}"/>
    <cellStyle name="Euro 24 5" xfId="2015" xr:uid="{00000000-0005-0000-0000-0000DC070000}"/>
    <cellStyle name="Euro 24 6" xfId="2016" xr:uid="{00000000-0005-0000-0000-0000DD070000}"/>
    <cellStyle name="Euro 24 6 2" xfId="2017" xr:uid="{00000000-0005-0000-0000-0000DE070000}"/>
    <cellStyle name="Euro 25" xfId="2018" xr:uid="{00000000-0005-0000-0000-0000DF070000}"/>
    <cellStyle name="Euro 25 2" xfId="2019" xr:uid="{00000000-0005-0000-0000-0000E0070000}"/>
    <cellStyle name="Euro 25 2 2" xfId="2020" xr:uid="{00000000-0005-0000-0000-0000E1070000}"/>
    <cellStyle name="Euro 25 2 2 2" xfId="2021" xr:uid="{00000000-0005-0000-0000-0000E2070000}"/>
    <cellStyle name="Euro 25 2 3" xfId="2022" xr:uid="{00000000-0005-0000-0000-0000E3070000}"/>
    <cellStyle name="Euro 25 3" xfId="2023" xr:uid="{00000000-0005-0000-0000-0000E4070000}"/>
    <cellStyle name="Euro 25 3 2" xfId="2024" xr:uid="{00000000-0005-0000-0000-0000E5070000}"/>
    <cellStyle name="Euro 25 3 2 2" xfId="2025" xr:uid="{00000000-0005-0000-0000-0000E6070000}"/>
    <cellStyle name="Euro 25 3 2 3" xfId="2026" xr:uid="{00000000-0005-0000-0000-0000E7070000}"/>
    <cellStyle name="Euro 25 3 2 3 2" xfId="2027" xr:uid="{00000000-0005-0000-0000-0000E8070000}"/>
    <cellStyle name="Euro 25 3 3" xfId="2028" xr:uid="{00000000-0005-0000-0000-0000E9070000}"/>
    <cellStyle name="Euro 25 3 3 2" xfId="2029" xr:uid="{00000000-0005-0000-0000-0000EA070000}"/>
    <cellStyle name="Euro 25 3 4" xfId="2030" xr:uid="{00000000-0005-0000-0000-0000EB070000}"/>
    <cellStyle name="Euro 25 3 4 2" xfId="2031" xr:uid="{00000000-0005-0000-0000-0000EC070000}"/>
    <cellStyle name="Euro 25 3 5" xfId="2032" xr:uid="{00000000-0005-0000-0000-0000ED070000}"/>
    <cellStyle name="Euro 25 4" xfId="2033" xr:uid="{00000000-0005-0000-0000-0000EE070000}"/>
    <cellStyle name="Euro 25 4 2" xfId="2034" xr:uid="{00000000-0005-0000-0000-0000EF070000}"/>
    <cellStyle name="Euro 25 4 2 2" xfId="2035" xr:uid="{00000000-0005-0000-0000-0000F0070000}"/>
    <cellStyle name="Euro 25 4 3" xfId="2036" xr:uid="{00000000-0005-0000-0000-0000F1070000}"/>
    <cellStyle name="Euro 25 5" xfId="2037" xr:uid="{00000000-0005-0000-0000-0000F2070000}"/>
    <cellStyle name="Euro 25 6" xfId="2038" xr:uid="{00000000-0005-0000-0000-0000F3070000}"/>
    <cellStyle name="Euro 25 6 2" xfId="2039" xr:uid="{00000000-0005-0000-0000-0000F4070000}"/>
    <cellStyle name="Euro 26" xfId="2040" xr:uid="{00000000-0005-0000-0000-0000F5070000}"/>
    <cellStyle name="Euro 26 2" xfId="2041" xr:uid="{00000000-0005-0000-0000-0000F6070000}"/>
    <cellStyle name="Euro 26 2 2" xfId="2042" xr:uid="{00000000-0005-0000-0000-0000F7070000}"/>
    <cellStyle name="Euro 26 2 2 2" xfId="2043" xr:uid="{00000000-0005-0000-0000-0000F8070000}"/>
    <cellStyle name="Euro 26 2 3" xfId="2044" xr:uid="{00000000-0005-0000-0000-0000F9070000}"/>
    <cellStyle name="Euro 26 3" xfId="2045" xr:uid="{00000000-0005-0000-0000-0000FA070000}"/>
    <cellStyle name="Euro 26 3 2" xfId="2046" xr:uid="{00000000-0005-0000-0000-0000FB070000}"/>
    <cellStyle name="Euro 26 3 2 2" xfId="2047" xr:uid="{00000000-0005-0000-0000-0000FC070000}"/>
    <cellStyle name="Euro 26 3 2 3" xfId="2048" xr:uid="{00000000-0005-0000-0000-0000FD070000}"/>
    <cellStyle name="Euro 26 3 2 3 2" xfId="2049" xr:uid="{00000000-0005-0000-0000-0000FE070000}"/>
    <cellStyle name="Euro 26 3 3" xfId="2050" xr:uid="{00000000-0005-0000-0000-0000FF070000}"/>
    <cellStyle name="Euro 26 3 3 2" xfId="2051" xr:uid="{00000000-0005-0000-0000-000000080000}"/>
    <cellStyle name="Euro 26 3 4" xfId="2052" xr:uid="{00000000-0005-0000-0000-000001080000}"/>
    <cellStyle name="Euro 26 3 4 2" xfId="2053" xr:uid="{00000000-0005-0000-0000-000002080000}"/>
    <cellStyle name="Euro 26 3 5" xfId="2054" xr:uid="{00000000-0005-0000-0000-000003080000}"/>
    <cellStyle name="Euro 26 4" xfId="2055" xr:uid="{00000000-0005-0000-0000-000004080000}"/>
    <cellStyle name="Euro 26 4 2" xfId="2056" xr:uid="{00000000-0005-0000-0000-000005080000}"/>
    <cellStyle name="Euro 26 4 2 2" xfId="2057" xr:uid="{00000000-0005-0000-0000-000006080000}"/>
    <cellStyle name="Euro 26 4 3" xfId="2058" xr:uid="{00000000-0005-0000-0000-000007080000}"/>
    <cellStyle name="Euro 26 5" xfId="2059" xr:uid="{00000000-0005-0000-0000-000008080000}"/>
    <cellStyle name="Euro 26 6" xfId="2060" xr:uid="{00000000-0005-0000-0000-000009080000}"/>
    <cellStyle name="Euro 26 6 2" xfId="2061" xr:uid="{00000000-0005-0000-0000-00000A080000}"/>
    <cellStyle name="Euro 27" xfId="2062" xr:uid="{00000000-0005-0000-0000-00000B080000}"/>
    <cellStyle name="Euro 27 2" xfId="2063" xr:uid="{00000000-0005-0000-0000-00000C080000}"/>
    <cellStyle name="Euro 27 2 2" xfId="2064" xr:uid="{00000000-0005-0000-0000-00000D080000}"/>
    <cellStyle name="Euro 27 2 2 2" xfId="2065" xr:uid="{00000000-0005-0000-0000-00000E080000}"/>
    <cellStyle name="Euro 27 2 3" xfId="2066" xr:uid="{00000000-0005-0000-0000-00000F080000}"/>
    <cellStyle name="Euro 27 3" xfId="2067" xr:uid="{00000000-0005-0000-0000-000010080000}"/>
    <cellStyle name="Euro 27 3 2" xfId="2068" xr:uid="{00000000-0005-0000-0000-000011080000}"/>
    <cellStyle name="Euro 27 3 2 2" xfId="2069" xr:uid="{00000000-0005-0000-0000-000012080000}"/>
    <cellStyle name="Euro 27 3 2 3" xfId="2070" xr:uid="{00000000-0005-0000-0000-000013080000}"/>
    <cellStyle name="Euro 27 3 2 3 2" xfId="2071" xr:uid="{00000000-0005-0000-0000-000014080000}"/>
    <cellStyle name="Euro 27 3 3" xfId="2072" xr:uid="{00000000-0005-0000-0000-000015080000}"/>
    <cellStyle name="Euro 27 3 3 2" xfId="2073" xr:uid="{00000000-0005-0000-0000-000016080000}"/>
    <cellStyle name="Euro 27 3 4" xfId="2074" xr:uid="{00000000-0005-0000-0000-000017080000}"/>
    <cellStyle name="Euro 27 3 4 2" xfId="2075" xr:uid="{00000000-0005-0000-0000-000018080000}"/>
    <cellStyle name="Euro 27 3 5" xfId="2076" xr:uid="{00000000-0005-0000-0000-000019080000}"/>
    <cellStyle name="Euro 27 4" xfId="2077" xr:uid="{00000000-0005-0000-0000-00001A080000}"/>
    <cellStyle name="Euro 27 4 2" xfId="2078" xr:uid="{00000000-0005-0000-0000-00001B080000}"/>
    <cellStyle name="Euro 27 4 2 2" xfId="2079" xr:uid="{00000000-0005-0000-0000-00001C080000}"/>
    <cellStyle name="Euro 27 4 3" xfId="2080" xr:uid="{00000000-0005-0000-0000-00001D080000}"/>
    <cellStyle name="Euro 27 5" xfId="2081" xr:uid="{00000000-0005-0000-0000-00001E080000}"/>
    <cellStyle name="Euro 27 6" xfId="2082" xr:uid="{00000000-0005-0000-0000-00001F080000}"/>
    <cellStyle name="Euro 27 6 2" xfId="2083" xr:uid="{00000000-0005-0000-0000-000020080000}"/>
    <cellStyle name="Euro 28" xfId="2084" xr:uid="{00000000-0005-0000-0000-000021080000}"/>
    <cellStyle name="Euro 28 2" xfId="2085" xr:uid="{00000000-0005-0000-0000-000022080000}"/>
    <cellStyle name="Euro 28 2 2" xfId="2086" xr:uid="{00000000-0005-0000-0000-000023080000}"/>
    <cellStyle name="Euro 28 2 2 2" xfId="2087" xr:uid="{00000000-0005-0000-0000-000024080000}"/>
    <cellStyle name="Euro 28 2 3" xfId="2088" xr:uid="{00000000-0005-0000-0000-000025080000}"/>
    <cellStyle name="Euro 28 3" xfId="2089" xr:uid="{00000000-0005-0000-0000-000026080000}"/>
    <cellStyle name="Euro 28 3 2" xfId="2090" xr:uid="{00000000-0005-0000-0000-000027080000}"/>
    <cellStyle name="Euro 28 3 2 2" xfId="2091" xr:uid="{00000000-0005-0000-0000-000028080000}"/>
    <cellStyle name="Euro 28 3 2 3" xfId="2092" xr:uid="{00000000-0005-0000-0000-000029080000}"/>
    <cellStyle name="Euro 28 3 2 3 2" xfId="2093" xr:uid="{00000000-0005-0000-0000-00002A080000}"/>
    <cellStyle name="Euro 28 3 3" xfId="2094" xr:uid="{00000000-0005-0000-0000-00002B080000}"/>
    <cellStyle name="Euro 28 3 3 2" xfId="2095" xr:uid="{00000000-0005-0000-0000-00002C080000}"/>
    <cellStyle name="Euro 28 3 4" xfId="2096" xr:uid="{00000000-0005-0000-0000-00002D080000}"/>
    <cellStyle name="Euro 28 3 4 2" xfId="2097" xr:uid="{00000000-0005-0000-0000-00002E080000}"/>
    <cellStyle name="Euro 28 3 5" xfId="2098" xr:uid="{00000000-0005-0000-0000-00002F080000}"/>
    <cellStyle name="Euro 28 4" xfId="2099" xr:uid="{00000000-0005-0000-0000-000030080000}"/>
    <cellStyle name="Euro 28 4 2" xfId="2100" xr:uid="{00000000-0005-0000-0000-000031080000}"/>
    <cellStyle name="Euro 28 4 2 2" xfId="2101" xr:uid="{00000000-0005-0000-0000-000032080000}"/>
    <cellStyle name="Euro 28 4 3" xfId="2102" xr:uid="{00000000-0005-0000-0000-000033080000}"/>
    <cellStyle name="Euro 28 5" xfId="2103" xr:uid="{00000000-0005-0000-0000-000034080000}"/>
    <cellStyle name="Euro 28 6" xfId="2104" xr:uid="{00000000-0005-0000-0000-000035080000}"/>
    <cellStyle name="Euro 28 6 2" xfId="2105" xr:uid="{00000000-0005-0000-0000-000036080000}"/>
    <cellStyle name="Euro 29" xfId="2106" xr:uid="{00000000-0005-0000-0000-000037080000}"/>
    <cellStyle name="Euro 29 2" xfId="2107" xr:uid="{00000000-0005-0000-0000-000038080000}"/>
    <cellStyle name="Euro 29 2 2" xfId="2108" xr:uid="{00000000-0005-0000-0000-000039080000}"/>
    <cellStyle name="Euro 29 2 2 2" xfId="2109" xr:uid="{00000000-0005-0000-0000-00003A080000}"/>
    <cellStyle name="Euro 29 2 3" xfId="2110" xr:uid="{00000000-0005-0000-0000-00003B080000}"/>
    <cellStyle name="Euro 29 3" xfId="2111" xr:uid="{00000000-0005-0000-0000-00003C080000}"/>
    <cellStyle name="Euro 29 3 2" xfId="2112" xr:uid="{00000000-0005-0000-0000-00003D080000}"/>
    <cellStyle name="Euro 29 3 2 2" xfId="2113" xr:uid="{00000000-0005-0000-0000-00003E080000}"/>
    <cellStyle name="Euro 29 3 2 3" xfId="2114" xr:uid="{00000000-0005-0000-0000-00003F080000}"/>
    <cellStyle name="Euro 29 3 2 3 2" xfId="2115" xr:uid="{00000000-0005-0000-0000-000040080000}"/>
    <cellStyle name="Euro 29 3 3" xfId="2116" xr:uid="{00000000-0005-0000-0000-000041080000}"/>
    <cellStyle name="Euro 29 3 3 2" xfId="2117" xr:uid="{00000000-0005-0000-0000-000042080000}"/>
    <cellStyle name="Euro 29 3 4" xfId="2118" xr:uid="{00000000-0005-0000-0000-000043080000}"/>
    <cellStyle name="Euro 29 3 4 2" xfId="2119" xr:uid="{00000000-0005-0000-0000-000044080000}"/>
    <cellStyle name="Euro 29 3 5" xfId="2120" xr:uid="{00000000-0005-0000-0000-000045080000}"/>
    <cellStyle name="Euro 29 4" xfId="2121" xr:uid="{00000000-0005-0000-0000-000046080000}"/>
    <cellStyle name="Euro 29 4 2" xfId="2122" xr:uid="{00000000-0005-0000-0000-000047080000}"/>
    <cellStyle name="Euro 29 4 2 2" xfId="2123" xr:uid="{00000000-0005-0000-0000-000048080000}"/>
    <cellStyle name="Euro 29 4 3" xfId="2124" xr:uid="{00000000-0005-0000-0000-000049080000}"/>
    <cellStyle name="Euro 29 5" xfId="2125" xr:uid="{00000000-0005-0000-0000-00004A080000}"/>
    <cellStyle name="Euro 29 6" xfId="2126" xr:uid="{00000000-0005-0000-0000-00004B080000}"/>
    <cellStyle name="Euro 29 6 2" xfId="2127" xr:uid="{00000000-0005-0000-0000-00004C080000}"/>
    <cellStyle name="Euro 3" xfId="2128" xr:uid="{00000000-0005-0000-0000-00004D080000}"/>
    <cellStyle name="Euro 3 2" xfId="2129" xr:uid="{00000000-0005-0000-0000-00004E080000}"/>
    <cellStyle name="Euro 3 2 2" xfId="2130" xr:uid="{00000000-0005-0000-0000-00004F080000}"/>
    <cellStyle name="Euro 3 2 2 2" xfId="2131" xr:uid="{00000000-0005-0000-0000-000050080000}"/>
    <cellStyle name="Euro 3 2 3" xfId="2132" xr:uid="{00000000-0005-0000-0000-000051080000}"/>
    <cellStyle name="Euro 3 3" xfId="2133" xr:uid="{00000000-0005-0000-0000-000052080000}"/>
    <cellStyle name="Euro 3 3 2" xfId="2134" xr:uid="{00000000-0005-0000-0000-000053080000}"/>
    <cellStyle name="Euro 3 3 2 2" xfId="2135" xr:uid="{00000000-0005-0000-0000-000054080000}"/>
    <cellStyle name="Euro 3 3 2 3" xfId="2136" xr:uid="{00000000-0005-0000-0000-000055080000}"/>
    <cellStyle name="Euro 3 3 2 3 2" xfId="2137" xr:uid="{00000000-0005-0000-0000-000056080000}"/>
    <cellStyle name="Euro 3 3 3" xfId="2138" xr:uid="{00000000-0005-0000-0000-000057080000}"/>
    <cellStyle name="Euro 3 3 3 2" xfId="2139" xr:uid="{00000000-0005-0000-0000-000058080000}"/>
    <cellStyle name="Euro 3 3 4" xfId="2140" xr:uid="{00000000-0005-0000-0000-000059080000}"/>
    <cellStyle name="Euro 3 3 4 2" xfId="2141" xr:uid="{00000000-0005-0000-0000-00005A080000}"/>
    <cellStyle name="Euro 3 3 5" xfId="2142" xr:uid="{00000000-0005-0000-0000-00005B080000}"/>
    <cellStyle name="Euro 3 4" xfId="2143" xr:uid="{00000000-0005-0000-0000-00005C080000}"/>
    <cellStyle name="Euro 3 4 2" xfId="2144" xr:uid="{00000000-0005-0000-0000-00005D080000}"/>
    <cellStyle name="Euro 3 4 2 2" xfId="2145" xr:uid="{00000000-0005-0000-0000-00005E080000}"/>
    <cellStyle name="Euro 3 4 3" xfId="2146" xr:uid="{00000000-0005-0000-0000-00005F080000}"/>
    <cellStyle name="Euro 3 5" xfId="2147" xr:uid="{00000000-0005-0000-0000-000060080000}"/>
    <cellStyle name="Euro 3 6" xfId="2148" xr:uid="{00000000-0005-0000-0000-000061080000}"/>
    <cellStyle name="Euro 3 6 2" xfId="2149" xr:uid="{00000000-0005-0000-0000-000062080000}"/>
    <cellStyle name="Euro 30" xfId="2150" xr:uid="{00000000-0005-0000-0000-000063080000}"/>
    <cellStyle name="Euro 30 2" xfId="2151" xr:uid="{00000000-0005-0000-0000-000064080000}"/>
    <cellStyle name="Euro 30 2 2" xfId="2152" xr:uid="{00000000-0005-0000-0000-000065080000}"/>
    <cellStyle name="Euro 30 2 2 2" xfId="2153" xr:uid="{00000000-0005-0000-0000-000066080000}"/>
    <cellStyle name="Euro 30 2 3" xfId="2154" xr:uid="{00000000-0005-0000-0000-000067080000}"/>
    <cellStyle name="Euro 30 3" xfId="2155" xr:uid="{00000000-0005-0000-0000-000068080000}"/>
    <cellStyle name="Euro 30 3 2" xfId="2156" xr:uid="{00000000-0005-0000-0000-000069080000}"/>
    <cellStyle name="Euro 30 3 2 2" xfId="2157" xr:uid="{00000000-0005-0000-0000-00006A080000}"/>
    <cellStyle name="Euro 30 3 2 3" xfId="2158" xr:uid="{00000000-0005-0000-0000-00006B080000}"/>
    <cellStyle name="Euro 30 3 2 3 2" xfId="2159" xr:uid="{00000000-0005-0000-0000-00006C080000}"/>
    <cellStyle name="Euro 30 3 3" xfId="2160" xr:uid="{00000000-0005-0000-0000-00006D080000}"/>
    <cellStyle name="Euro 30 3 3 2" xfId="2161" xr:uid="{00000000-0005-0000-0000-00006E080000}"/>
    <cellStyle name="Euro 30 3 4" xfId="2162" xr:uid="{00000000-0005-0000-0000-00006F080000}"/>
    <cellStyle name="Euro 30 3 4 2" xfId="2163" xr:uid="{00000000-0005-0000-0000-000070080000}"/>
    <cellStyle name="Euro 30 3 5" xfId="2164" xr:uid="{00000000-0005-0000-0000-000071080000}"/>
    <cellStyle name="Euro 30 4" xfId="2165" xr:uid="{00000000-0005-0000-0000-000072080000}"/>
    <cellStyle name="Euro 30 4 2" xfId="2166" xr:uid="{00000000-0005-0000-0000-000073080000}"/>
    <cellStyle name="Euro 30 4 2 2" xfId="2167" xr:uid="{00000000-0005-0000-0000-000074080000}"/>
    <cellStyle name="Euro 30 4 3" xfId="2168" xr:uid="{00000000-0005-0000-0000-000075080000}"/>
    <cellStyle name="Euro 30 5" xfId="2169" xr:uid="{00000000-0005-0000-0000-000076080000}"/>
    <cellStyle name="Euro 30 6" xfId="2170" xr:uid="{00000000-0005-0000-0000-000077080000}"/>
    <cellStyle name="Euro 30 6 2" xfId="2171" xr:uid="{00000000-0005-0000-0000-000078080000}"/>
    <cellStyle name="Euro 31" xfId="2172" xr:uid="{00000000-0005-0000-0000-000079080000}"/>
    <cellStyle name="Euro 31 2" xfId="2173" xr:uid="{00000000-0005-0000-0000-00007A080000}"/>
    <cellStyle name="Euro 31 2 2" xfId="2174" xr:uid="{00000000-0005-0000-0000-00007B080000}"/>
    <cellStyle name="Euro 31 2 2 2" xfId="2175" xr:uid="{00000000-0005-0000-0000-00007C080000}"/>
    <cellStyle name="Euro 31 2 3" xfId="2176" xr:uid="{00000000-0005-0000-0000-00007D080000}"/>
    <cellStyle name="Euro 31 3" xfId="2177" xr:uid="{00000000-0005-0000-0000-00007E080000}"/>
    <cellStyle name="Euro 31 3 2" xfId="2178" xr:uid="{00000000-0005-0000-0000-00007F080000}"/>
    <cellStyle name="Euro 31 3 2 2" xfId="2179" xr:uid="{00000000-0005-0000-0000-000080080000}"/>
    <cellStyle name="Euro 31 3 2 3" xfId="2180" xr:uid="{00000000-0005-0000-0000-000081080000}"/>
    <cellStyle name="Euro 31 3 2 3 2" xfId="2181" xr:uid="{00000000-0005-0000-0000-000082080000}"/>
    <cellStyle name="Euro 31 3 3" xfId="2182" xr:uid="{00000000-0005-0000-0000-000083080000}"/>
    <cellStyle name="Euro 31 3 3 2" xfId="2183" xr:uid="{00000000-0005-0000-0000-000084080000}"/>
    <cellStyle name="Euro 31 3 4" xfId="2184" xr:uid="{00000000-0005-0000-0000-000085080000}"/>
    <cellStyle name="Euro 31 3 4 2" xfId="2185" xr:uid="{00000000-0005-0000-0000-000086080000}"/>
    <cellStyle name="Euro 31 3 5" xfId="2186" xr:uid="{00000000-0005-0000-0000-000087080000}"/>
    <cellStyle name="Euro 31 4" xfId="2187" xr:uid="{00000000-0005-0000-0000-000088080000}"/>
    <cellStyle name="Euro 31 4 2" xfId="2188" xr:uid="{00000000-0005-0000-0000-000089080000}"/>
    <cellStyle name="Euro 31 4 2 2" xfId="2189" xr:uid="{00000000-0005-0000-0000-00008A080000}"/>
    <cellStyle name="Euro 31 4 3" xfId="2190" xr:uid="{00000000-0005-0000-0000-00008B080000}"/>
    <cellStyle name="Euro 31 5" xfId="2191" xr:uid="{00000000-0005-0000-0000-00008C080000}"/>
    <cellStyle name="Euro 31 6" xfId="2192" xr:uid="{00000000-0005-0000-0000-00008D080000}"/>
    <cellStyle name="Euro 31 6 2" xfId="2193" xr:uid="{00000000-0005-0000-0000-00008E080000}"/>
    <cellStyle name="Euro 32" xfId="2194" xr:uid="{00000000-0005-0000-0000-00008F080000}"/>
    <cellStyle name="Euro 32 2" xfId="2195" xr:uid="{00000000-0005-0000-0000-000090080000}"/>
    <cellStyle name="Euro 32 2 2" xfId="2196" xr:uid="{00000000-0005-0000-0000-000091080000}"/>
    <cellStyle name="Euro 32 2 2 2" xfId="2197" xr:uid="{00000000-0005-0000-0000-000092080000}"/>
    <cellStyle name="Euro 32 2 3" xfId="2198" xr:uid="{00000000-0005-0000-0000-000093080000}"/>
    <cellStyle name="Euro 32 3" xfId="2199" xr:uid="{00000000-0005-0000-0000-000094080000}"/>
    <cellStyle name="Euro 32 3 2" xfId="2200" xr:uid="{00000000-0005-0000-0000-000095080000}"/>
    <cellStyle name="Euro 32 3 2 2" xfId="2201" xr:uid="{00000000-0005-0000-0000-000096080000}"/>
    <cellStyle name="Euro 32 3 2 3" xfId="2202" xr:uid="{00000000-0005-0000-0000-000097080000}"/>
    <cellStyle name="Euro 32 3 2 3 2" xfId="2203" xr:uid="{00000000-0005-0000-0000-000098080000}"/>
    <cellStyle name="Euro 32 3 3" xfId="2204" xr:uid="{00000000-0005-0000-0000-000099080000}"/>
    <cellStyle name="Euro 32 3 3 2" xfId="2205" xr:uid="{00000000-0005-0000-0000-00009A080000}"/>
    <cellStyle name="Euro 32 3 4" xfId="2206" xr:uid="{00000000-0005-0000-0000-00009B080000}"/>
    <cellStyle name="Euro 32 3 4 2" xfId="2207" xr:uid="{00000000-0005-0000-0000-00009C080000}"/>
    <cellStyle name="Euro 32 3 5" xfId="2208" xr:uid="{00000000-0005-0000-0000-00009D080000}"/>
    <cellStyle name="Euro 32 4" xfId="2209" xr:uid="{00000000-0005-0000-0000-00009E080000}"/>
    <cellStyle name="Euro 32 4 2" xfId="2210" xr:uid="{00000000-0005-0000-0000-00009F080000}"/>
    <cellStyle name="Euro 32 4 2 2" xfId="2211" xr:uid="{00000000-0005-0000-0000-0000A0080000}"/>
    <cellStyle name="Euro 32 4 3" xfId="2212" xr:uid="{00000000-0005-0000-0000-0000A1080000}"/>
    <cellStyle name="Euro 32 5" xfId="2213" xr:uid="{00000000-0005-0000-0000-0000A2080000}"/>
    <cellStyle name="Euro 32 6" xfId="2214" xr:uid="{00000000-0005-0000-0000-0000A3080000}"/>
    <cellStyle name="Euro 32 6 2" xfId="2215" xr:uid="{00000000-0005-0000-0000-0000A4080000}"/>
    <cellStyle name="Euro 33" xfId="2216" xr:uid="{00000000-0005-0000-0000-0000A5080000}"/>
    <cellStyle name="Euro 33 2" xfId="2217" xr:uid="{00000000-0005-0000-0000-0000A6080000}"/>
    <cellStyle name="Euro 33 2 2" xfId="2218" xr:uid="{00000000-0005-0000-0000-0000A7080000}"/>
    <cellStyle name="Euro 33 2 2 2" xfId="2219" xr:uid="{00000000-0005-0000-0000-0000A8080000}"/>
    <cellStyle name="Euro 33 2 3" xfId="2220" xr:uid="{00000000-0005-0000-0000-0000A9080000}"/>
    <cellStyle name="Euro 33 3" xfId="2221" xr:uid="{00000000-0005-0000-0000-0000AA080000}"/>
    <cellStyle name="Euro 33 3 2" xfId="2222" xr:uid="{00000000-0005-0000-0000-0000AB080000}"/>
    <cellStyle name="Euro 33 3 2 2" xfId="2223" xr:uid="{00000000-0005-0000-0000-0000AC080000}"/>
    <cellStyle name="Euro 33 3 2 3" xfId="2224" xr:uid="{00000000-0005-0000-0000-0000AD080000}"/>
    <cellStyle name="Euro 33 3 2 3 2" xfId="2225" xr:uid="{00000000-0005-0000-0000-0000AE080000}"/>
    <cellStyle name="Euro 33 3 3" xfId="2226" xr:uid="{00000000-0005-0000-0000-0000AF080000}"/>
    <cellStyle name="Euro 33 3 3 2" xfId="2227" xr:uid="{00000000-0005-0000-0000-0000B0080000}"/>
    <cellStyle name="Euro 33 3 4" xfId="2228" xr:uid="{00000000-0005-0000-0000-0000B1080000}"/>
    <cellStyle name="Euro 33 3 4 2" xfId="2229" xr:uid="{00000000-0005-0000-0000-0000B2080000}"/>
    <cellStyle name="Euro 33 3 5" xfId="2230" xr:uid="{00000000-0005-0000-0000-0000B3080000}"/>
    <cellStyle name="Euro 33 4" xfId="2231" xr:uid="{00000000-0005-0000-0000-0000B4080000}"/>
    <cellStyle name="Euro 33 4 2" xfId="2232" xr:uid="{00000000-0005-0000-0000-0000B5080000}"/>
    <cellStyle name="Euro 33 4 2 2" xfId="2233" xr:uid="{00000000-0005-0000-0000-0000B6080000}"/>
    <cellStyle name="Euro 33 4 3" xfId="2234" xr:uid="{00000000-0005-0000-0000-0000B7080000}"/>
    <cellStyle name="Euro 33 5" xfId="2235" xr:uid="{00000000-0005-0000-0000-0000B8080000}"/>
    <cellStyle name="Euro 33 6" xfId="2236" xr:uid="{00000000-0005-0000-0000-0000B9080000}"/>
    <cellStyle name="Euro 33 6 2" xfId="2237" xr:uid="{00000000-0005-0000-0000-0000BA080000}"/>
    <cellStyle name="Euro 34" xfId="2238" xr:uid="{00000000-0005-0000-0000-0000BB080000}"/>
    <cellStyle name="Euro 34 2" xfId="2239" xr:uid="{00000000-0005-0000-0000-0000BC080000}"/>
    <cellStyle name="Euro 34 2 2" xfId="2240" xr:uid="{00000000-0005-0000-0000-0000BD080000}"/>
    <cellStyle name="Euro 34 2 2 2" xfId="2241" xr:uid="{00000000-0005-0000-0000-0000BE080000}"/>
    <cellStyle name="Euro 34 2 3" xfId="2242" xr:uid="{00000000-0005-0000-0000-0000BF080000}"/>
    <cellStyle name="Euro 34 3" xfId="2243" xr:uid="{00000000-0005-0000-0000-0000C0080000}"/>
    <cellStyle name="Euro 34 3 2" xfId="2244" xr:uid="{00000000-0005-0000-0000-0000C1080000}"/>
    <cellStyle name="Euro 34 3 2 2" xfId="2245" xr:uid="{00000000-0005-0000-0000-0000C2080000}"/>
    <cellStyle name="Euro 34 3 2 3" xfId="2246" xr:uid="{00000000-0005-0000-0000-0000C3080000}"/>
    <cellStyle name="Euro 34 3 2 3 2" xfId="2247" xr:uid="{00000000-0005-0000-0000-0000C4080000}"/>
    <cellStyle name="Euro 34 3 3" xfId="2248" xr:uid="{00000000-0005-0000-0000-0000C5080000}"/>
    <cellStyle name="Euro 34 3 3 2" xfId="2249" xr:uid="{00000000-0005-0000-0000-0000C6080000}"/>
    <cellStyle name="Euro 34 3 4" xfId="2250" xr:uid="{00000000-0005-0000-0000-0000C7080000}"/>
    <cellStyle name="Euro 34 3 4 2" xfId="2251" xr:uid="{00000000-0005-0000-0000-0000C8080000}"/>
    <cellStyle name="Euro 34 3 5" xfId="2252" xr:uid="{00000000-0005-0000-0000-0000C9080000}"/>
    <cellStyle name="Euro 34 4" xfId="2253" xr:uid="{00000000-0005-0000-0000-0000CA080000}"/>
    <cellStyle name="Euro 34 4 2" xfId="2254" xr:uid="{00000000-0005-0000-0000-0000CB080000}"/>
    <cellStyle name="Euro 34 4 2 2" xfId="2255" xr:uid="{00000000-0005-0000-0000-0000CC080000}"/>
    <cellStyle name="Euro 34 4 3" xfId="2256" xr:uid="{00000000-0005-0000-0000-0000CD080000}"/>
    <cellStyle name="Euro 34 5" xfId="2257" xr:uid="{00000000-0005-0000-0000-0000CE080000}"/>
    <cellStyle name="Euro 34 6" xfId="2258" xr:uid="{00000000-0005-0000-0000-0000CF080000}"/>
    <cellStyle name="Euro 34 6 2" xfId="2259" xr:uid="{00000000-0005-0000-0000-0000D0080000}"/>
    <cellStyle name="Euro 35" xfId="2260" xr:uid="{00000000-0005-0000-0000-0000D1080000}"/>
    <cellStyle name="Euro 35 2" xfId="2261" xr:uid="{00000000-0005-0000-0000-0000D2080000}"/>
    <cellStyle name="Euro 35 2 2" xfId="2262" xr:uid="{00000000-0005-0000-0000-0000D3080000}"/>
    <cellStyle name="Euro 35 2 2 2" xfId="2263" xr:uid="{00000000-0005-0000-0000-0000D4080000}"/>
    <cellStyle name="Euro 35 2 3" xfId="2264" xr:uid="{00000000-0005-0000-0000-0000D5080000}"/>
    <cellStyle name="Euro 35 3" xfId="2265" xr:uid="{00000000-0005-0000-0000-0000D6080000}"/>
    <cellStyle name="Euro 35 3 2" xfId="2266" xr:uid="{00000000-0005-0000-0000-0000D7080000}"/>
    <cellStyle name="Euro 35 3 2 2" xfId="2267" xr:uid="{00000000-0005-0000-0000-0000D8080000}"/>
    <cellStyle name="Euro 35 3 2 3" xfId="2268" xr:uid="{00000000-0005-0000-0000-0000D9080000}"/>
    <cellStyle name="Euro 35 3 2 3 2" xfId="2269" xr:uid="{00000000-0005-0000-0000-0000DA080000}"/>
    <cellStyle name="Euro 35 3 3" xfId="2270" xr:uid="{00000000-0005-0000-0000-0000DB080000}"/>
    <cellStyle name="Euro 35 3 3 2" xfId="2271" xr:uid="{00000000-0005-0000-0000-0000DC080000}"/>
    <cellStyle name="Euro 35 3 4" xfId="2272" xr:uid="{00000000-0005-0000-0000-0000DD080000}"/>
    <cellStyle name="Euro 35 3 4 2" xfId="2273" xr:uid="{00000000-0005-0000-0000-0000DE080000}"/>
    <cellStyle name="Euro 35 3 5" xfId="2274" xr:uid="{00000000-0005-0000-0000-0000DF080000}"/>
    <cellStyle name="Euro 35 4" xfId="2275" xr:uid="{00000000-0005-0000-0000-0000E0080000}"/>
    <cellStyle name="Euro 35 4 2" xfId="2276" xr:uid="{00000000-0005-0000-0000-0000E1080000}"/>
    <cellStyle name="Euro 35 4 2 2" xfId="2277" xr:uid="{00000000-0005-0000-0000-0000E2080000}"/>
    <cellStyle name="Euro 35 4 3" xfId="2278" xr:uid="{00000000-0005-0000-0000-0000E3080000}"/>
    <cellStyle name="Euro 35 5" xfId="2279" xr:uid="{00000000-0005-0000-0000-0000E4080000}"/>
    <cellStyle name="Euro 35 6" xfId="2280" xr:uid="{00000000-0005-0000-0000-0000E5080000}"/>
    <cellStyle name="Euro 35 6 2" xfId="2281" xr:uid="{00000000-0005-0000-0000-0000E6080000}"/>
    <cellStyle name="Euro 36" xfId="2282" xr:uid="{00000000-0005-0000-0000-0000E7080000}"/>
    <cellStyle name="Euro 36 2" xfId="2283" xr:uid="{00000000-0005-0000-0000-0000E8080000}"/>
    <cellStyle name="Euro 36 2 2" xfId="2284" xr:uid="{00000000-0005-0000-0000-0000E9080000}"/>
    <cellStyle name="Euro 36 2 2 2" xfId="2285" xr:uid="{00000000-0005-0000-0000-0000EA080000}"/>
    <cellStyle name="Euro 36 2 3" xfId="2286" xr:uid="{00000000-0005-0000-0000-0000EB080000}"/>
    <cellStyle name="Euro 36 3" xfId="2287" xr:uid="{00000000-0005-0000-0000-0000EC080000}"/>
    <cellStyle name="Euro 36 3 2" xfId="2288" xr:uid="{00000000-0005-0000-0000-0000ED080000}"/>
    <cellStyle name="Euro 36 3 2 2" xfId="2289" xr:uid="{00000000-0005-0000-0000-0000EE080000}"/>
    <cellStyle name="Euro 36 3 2 3" xfId="2290" xr:uid="{00000000-0005-0000-0000-0000EF080000}"/>
    <cellStyle name="Euro 36 3 2 3 2" xfId="2291" xr:uid="{00000000-0005-0000-0000-0000F0080000}"/>
    <cellStyle name="Euro 36 3 3" xfId="2292" xr:uid="{00000000-0005-0000-0000-0000F1080000}"/>
    <cellStyle name="Euro 36 3 3 2" xfId="2293" xr:uid="{00000000-0005-0000-0000-0000F2080000}"/>
    <cellStyle name="Euro 36 3 4" xfId="2294" xr:uid="{00000000-0005-0000-0000-0000F3080000}"/>
    <cellStyle name="Euro 36 3 4 2" xfId="2295" xr:uid="{00000000-0005-0000-0000-0000F4080000}"/>
    <cellStyle name="Euro 36 3 5" xfId="2296" xr:uid="{00000000-0005-0000-0000-0000F5080000}"/>
    <cellStyle name="Euro 36 4" xfId="2297" xr:uid="{00000000-0005-0000-0000-0000F6080000}"/>
    <cellStyle name="Euro 36 4 2" xfId="2298" xr:uid="{00000000-0005-0000-0000-0000F7080000}"/>
    <cellStyle name="Euro 36 4 2 2" xfId="2299" xr:uid="{00000000-0005-0000-0000-0000F8080000}"/>
    <cellStyle name="Euro 36 4 3" xfId="2300" xr:uid="{00000000-0005-0000-0000-0000F9080000}"/>
    <cellStyle name="Euro 36 5" xfId="2301" xr:uid="{00000000-0005-0000-0000-0000FA080000}"/>
    <cellStyle name="Euro 36 6" xfId="2302" xr:uid="{00000000-0005-0000-0000-0000FB080000}"/>
    <cellStyle name="Euro 36 6 2" xfId="2303" xr:uid="{00000000-0005-0000-0000-0000FC080000}"/>
    <cellStyle name="Euro 37" xfId="2304" xr:uid="{00000000-0005-0000-0000-0000FD080000}"/>
    <cellStyle name="Euro 37 2" xfId="2305" xr:uid="{00000000-0005-0000-0000-0000FE080000}"/>
    <cellStyle name="Euro 37 2 2" xfId="2306" xr:uid="{00000000-0005-0000-0000-0000FF080000}"/>
    <cellStyle name="Euro 37 2 2 2" xfId="2307" xr:uid="{00000000-0005-0000-0000-000000090000}"/>
    <cellStyle name="Euro 37 2 3" xfId="2308" xr:uid="{00000000-0005-0000-0000-000001090000}"/>
    <cellStyle name="Euro 37 3" xfId="2309" xr:uid="{00000000-0005-0000-0000-000002090000}"/>
    <cellStyle name="Euro 37 3 2" xfId="2310" xr:uid="{00000000-0005-0000-0000-000003090000}"/>
    <cellStyle name="Euro 37 3 2 2" xfId="2311" xr:uid="{00000000-0005-0000-0000-000004090000}"/>
    <cellStyle name="Euro 37 3 2 3" xfId="2312" xr:uid="{00000000-0005-0000-0000-000005090000}"/>
    <cellStyle name="Euro 37 3 2 3 2" xfId="2313" xr:uid="{00000000-0005-0000-0000-000006090000}"/>
    <cellStyle name="Euro 37 3 3" xfId="2314" xr:uid="{00000000-0005-0000-0000-000007090000}"/>
    <cellStyle name="Euro 37 3 3 2" xfId="2315" xr:uid="{00000000-0005-0000-0000-000008090000}"/>
    <cellStyle name="Euro 37 3 4" xfId="2316" xr:uid="{00000000-0005-0000-0000-000009090000}"/>
    <cellStyle name="Euro 37 3 4 2" xfId="2317" xr:uid="{00000000-0005-0000-0000-00000A090000}"/>
    <cellStyle name="Euro 37 3 5" xfId="2318" xr:uid="{00000000-0005-0000-0000-00000B090000}"/>
    <cellStyle name="Euro 37 4" xfId="2319" xr:uid="{00000000-0005-0000-0000-00000C090000}"/>
    <cellStyle name="Euro 37 4 2" xfId="2320" xr:uid="{00000000-0005-0000-0000-00000D090000}"/>
    <cellStyle name="Euro 37 4 2 2" xfId="2321" xr:uid="{00000000-0005-0000-0000-00000E090000}"/>
    <cellStyle name="Euro 37 4 3" xfId="2322" xr:uid="{00000000-0005-0000-0000-00000F090000}"/>
    <cellStyle name="Euro 37 5" xfId="2323" xr:uid="{00000000-0005-0000-0000-000010090000}"/>
    <cellStyle name="Euro 37 6" xfId="2324" xr:uid="{00000000-0005-0000-0000-000011090000}"/>
    <cellStyle name="Euro 37 6 2" xfId="2325" xr:uid="{00000000-0005-0000-0000-000012090000}"/>
    <cellStyle name="Euro 38" xfId="2326" xr:uid="{00000000-0005-0000-0000-000013090000}"/>
    <cellStyle name="Euro 38 2" xfId="2327" xr:uid="{00000000-0005-0000-0000-000014090000}"/>
    <cellStyle name="Euro 38 2 2" xfId="2328" xr:uid="{00000000-0005-0000-0000-000015090000}"/>
    <cellStyle name="Euro 38 2 2 2" xfId="2329" xr:uid="{00000000-0005-0000-0000-000016090000}"/>
    <cellStyle name="Euro 38 2 3" xfId="2330" xr:uid="{00000000-0005-0000-0000-000017090000}"/>
    <cellStyle name="Euro 38 3" xfId="2331" xr:uid="{00000000-0005-0000-0000-000018090000}"/>
    <cellStyle name="Euro 38 3 2" xfId="2332" xr:uid="{00000000-0005-0000-0000-000019090000}"/>
    <cellStyle name="Euro 38 3 2 2" xfId="2333" xr:uid="{00000000-0005-0000-0000-00001A090000}"/>
    <cellStyle name="Euro 38 3 2 3" xfId="2334" xr:uid="{00000000-0005-0000-0000-00001B090000}"/>
    <cellStyle name="Euro 38 3 2 3 2" xfId="2335" xr:uid="{00000000-0005-0000-0000-00001C090000}"/>
    <cellStyle name="Euro 38 3 3" xfId="2336" xr:uid="{00000000-0005-0000-0000-00001D090000}"/>
    <cellStyle name="Euro 38 3 3 2" xfId="2337" xr:uid="{00000000-0005-0000-0000-00001E090000}"/>
    <cellStyle name="Euro 38 3 4" xfId="2338" xr:uid="{00000000-0005-0000-0000-00001F090000}"/>
    <cellStyle name="Euro 38 3 4 2" xfId="2339" xr:uid="{00000000-0005-0000-0000-000020090000}"/>
    <cellStyle name="Euro 38 3 5" xfId="2340" xr:uid="{00000000-0005-0000-0000-000021090000}"/>
    <cellStyle name="Euro 38 4" xfId="2341" xr:uid="{00000000-0005-0000-0000-000022090000}"/>
    <cellStyle name="Euro 38 4 2" xfId="2342" xr:uid="{00000000-0005-0000-0000-000023090000}"/>
    <cellStyle name="Euro 38 4 2 2" xfId="2343" xr:uid="{00000000-0005-0000-0000-000024090000}"/>
    <cellStyle name="Euro 38 4 3" xfId="2344" xr:uid="{00000000-0005-0000-0000-000025090000}"/>
    <cellStyle name="Euro 38 5" xfId="2345" xr:uid="{00000000-0005-0000-0000-000026090000}"/>
    <cellStyle name="Euro 38 6" xfId="2346" xr:uid="{00000000-0005-0000-0000-000027090000}"/>
    <cellStyle name="Euro 38 6 2" xfId="2347" xr:uid="{00000000-0005-0000-0000-000028090000}"/>
    <cellStyle name="Euro 39" xfId="2348" xr:uid="{00000000-0005-0000-0000-000029090000}"/>
    <cellStyle name="Euro 39 2" xfId="2349" xr:uid="{00000000-0005-0000-0000-00002A090000}"/>
    <cellStyle name="Euro 39 2 2" xfId="2350" xr:uid="{00000000-0005-0000-0000-00002B090000}"/>
    <cellStyle name="Euro 39 2 2 2" xfId="2351" xr:uid="{00000000-0005-0000-0000-00002C090000}"/>
    <cellStyle name="Euro 39 2 3" xfId="2352" xr:uid="{00000000-0005-0000-0000-00002D090000}"/>
    <cellStyle name="Euro 39 3" xfId="2353" xr:uid="{00000000-0005-0000-0000-00002E090000}"/>
    <cellStyle name="Euro 39 3 2" xfId="2354" xr:uid="{00000000-0005-0000-0000-00002F090000}"/>
    <cellStyle name="Euro 39 3 2 2" xfId="2355" xr:uid="{00000000-0005-0000-0000-000030090000}"/>
    <cellStyle name="Euro 39 3 2 3" xfId="2356" xr:uid="{00000000-0005-0000-0000-000031090000}"/>
    <cellStyle name="Euro 39 3 2 3 2" xfId="2357" xr:uid="{00000000-0005-0000-0000-000032090000}"/>
    <cellStyle name="Euro 39 3 3" xfId="2358" xr:uid="{00000000-0005-0000-0000-000033090000}"/>
    <cellStyle name="Euro 39 3 3 2" xfId="2359" xr:uid="{00000000-0005-0000-0000-000034090000}"/>
    <cellStyle name="Euro 39 3 4" xfId="2360" xr:uid="{00000000-0005-0000-0000-000035090000}"/>
    <cellStyle name="Euro 39 3 4 2" xfId="2361" xr:uid="{00000000-0005-0000-0000-000036090000}"/>
    <cellStyle name="Euro 39 3 5" xfId="2362" xr:uid="{00000000-0005-0000-0000-000037090000}"/>
    <cellStyle name="Euro 39 4" xfId="2363" xr:uid="{00000000-0005-0000-0000-000038090000}"/>
    <cellStyle name="Euro 39 4 2" xfId="2364" xr:uid="{00000000-0005-0000-0000-000039090000}"/>
    <cellStyle name="Euro 39 4 2 2" xfId="2365" xr:uid="{00000000-0005-0000-0000-00003A090000}"/>
    <cellStyle name="Euro 39 4 3" xfId="2366" xr:uid="{00000000-0005-0000-0000-00003B090000}"/>
    <cellStyle name="Euro 39 5" xfId="2367" xr:uid="{00000000-0005-0000-0000-00003C090000}"/>
    <cellStyle name="Euro 39 6" xfId="2368" xr:uid="{00000000-0005-0000-0000-00003D090000}"/>
    <cellStyle name="Euro 39 6 2" xfId="2369" xr:uid="{00000000-0005-0000-0000-00003E090000}"/>
    <cellStyle name="Euro 4" xfId="2370" xr:uid="{00000000-0005-0000-0000-00003F090000}"/>
    <cellStyle name="Euro 4 2" xfId="2371" xr:uid="{00000000-0005-0000-0000-000040090000}"/>
    <cellStyle name="Euro 4 2 2" xfId="2372" xr:uid="{00000000-0005-0000-0000-000041090000}"/>
    <cellStyle name="Euro 4 2 2 2" xfId="2373" xr:uid="{00000000-0005-0000-0000-000042090000}"/>
    <cellStyle name="Euro 4 2 3" xfId="2374" xr:uid="{00000000-0005-0000-0000-000043090000}"/>
    <cellStyle name="Euro 4 3" xfId="2375" xr:uid="{00000000-0005-0000-0000-000044090000}"/>
    <cellStyle name="Euro 4 3 2" xfId="2376" xr:uid="{00000000-0005-0000-0000-000045090000}"/>
    <cellStyle name="Euro 4 3 2 2" xfId="2377" xr:uid="{00000000-0005-0000-0000-000046090000}"/>
    <cellStyle name="Euro 4 3 2 3" xfId="2378" xr:uid="{00000000-0005-0000-0000-000047090000}"/>
    <cellStyle name="Euro 4 3 2 3 2" xfId="2379" xr:uid="{00000000-0005-0000-0000-000048090000}"/>
    <cellStyle name="Euro 4 3 3" xfId="2380" xr:uid="{00000000-0005-0000-0000-000049090000}"/>
    <cellStyle name="Euro 4 3 3 2" xfId="2381" xr:uid="{00000000-0005-0000-0000-00004A090000}"/>
    <cellStyle name="Euro 4 3 4" xfId="2382" xr:uid="{00000000-0005-0000-0000-00004B090000}"/>
    <cellStyle name="Euro 4 3 4 2" xfId="2383" xr:uid="{00000000-0005-0000-0000-00004C090000}"/>
    <cellStyle name="Euro 4 3 5" xfId="2384" xr:uid="{00000000-0005-0000-0000-00004D090000}"/>
    <cellStyle name="Euro 4 4" xfId="2385" xr:uid="{00000000-0005-0000-0000-00004E090000}"/>
    <cellStyle name="Euro 4 4 2" xfId="2386" xr:uid="{00000000-0005-0000-0000-00004F090000}"/>
    <cellStyle name="Euro 4 4 2 2" xfId="2387" xr:uid="{00000000-0005-0000-0000-000050090000}"/>
    <cellStyle name="Euro 4 4 3" xfId="2388" xr:uid="{00000000-0005-0000-0000-000051090000}"/>
    <cellStyle name="Euro 4 5" xfId="2389" xr:uid="{00000000-0005-0000-0000-000052090000}"/>
    <cellStyle name="Euro 4 6" xfId="2390" xr:uid="{00000000-0005-0000-0000-000053090000}"/>
    <cellStyle name="Euro 4 6 2" xfId="2391" xr:uid="{00000000-0005-0000-0000-000054090000}"/>
    <cellStyle name="Euro 40" xfId="2392" xr:uid="{00000000-0005-0000-0000-000055090000}"/>
    <cellStyle name="Euro 40 2" xfId="2393" xr:uid="{00000000-0005-0000-0000-000056090000}"/>
    <cellStyle name="Euro 40 2 2" xfId="2394" xr:uid="{00000000-0005-0000-0000-000057090000}"/>
    <cellStyle name="Euro 40 2 2 2" xfId="2395" xr:uid="{00000000-0005-0000-0000-000058090000}"/>
    <cellStyle name="Euro 40 2 3" xfId="2396" xr:uid="{00000000-0005-0000-0000-000059090000}"/>
    <cellStyle name="Euro 40 3" xfId="2397" xr:uid="{00000000-0005-0000-0000-00005A090000}"/>
    <cellStyle name="Euro 40 3 2" xfId="2398" xr:uid="{00000000-0005-0000-0000-00005B090000}"/>
    <cellStyle name="Euro 40 3 2 2" xfId="2399" xr:uid="{00000000-0005-0000-0000-00005C090000}"/>
    <cellStyle name="Euro 40 3 2 3" xfId="2400" xr:uid="{00000000-0005-0000-0000-00005D090000}"/>
    <cellStyle name="Euro 40 3 2 3 2" xfId="2401" xr:uid="{00000000-0005-0000-0000-00005E090000}"/>
    <cellStyle name="Euro 40 3 3" xfId="2402" xr:uid="{00000000-0005-0000-0000-00005F090000}"/>
    <cellStyle name="Euro 40 3 3 2" xfId="2403" xr:uid="{00000000-0005-0000-0000-000060090000}"/>
    <cellStyle name="Euro 40 3 4" xfId="2404" xr:uid="{00000000-0005-0000-0000-000061090000}"/>
    <cellStyle name="Euro 40 3 4 2" xfId="2405" xr:uid="{00000000-0005-0000-0000-000062090000}"/>
    <cellStyle name="Euro 40 3 5" xfId="2406" xr:uid="{00000000-0005-0000-0000-000063090000}"/>
    <cellStyle name="Euro 40 4" xfId="2407" xr:uid="{00000000-0005-0000-0000-000064090000}"/>
    <cellStyle name="Euro 40 4 2" xfId="2408" xr:uid="{00000000-0005-0000-0000-000065090000}"/>
    <cellStyle name="Euro 40 4 2 2" xfId="2409" xr:uid="{00000000-0005-0000-0000-000066090000}"/>
    <cellStyle name="Euro 40 4 3" xfId="2410" xr:uid="{00000000-0005-0000-0000-000067090000}"/>
    <cellStyle name="Euro 40 5" xfId="2411" xr:uid="{00000000-0005-0000-0000-000068090000}"/>
    <cellStyle name="Euro 40 6" xfId="2412" xr:uid="{00000000-0005-0000-0000-000069090000}"/>
    <cellStyle name="Euro 40 6 2" xfId="2413" xr:uid="{00000000-0005-0000-0000-00006A090000}"/>
    <cellStyle name="Euro 41" xfId="2414" xr:uid="{00000000-0005-0000-0000-00006B090000}"/>
    <cellStyle name="Euro 41 2" xfId="2415" xr:uid="{00000000-0005-0000-0000-00006C090000}"/>
    <cellStyle name="Euro 41 2 2" xfId="2416" xr:uid="{00000000-0005-0000-0000-00006D090000}"/>
    <cellStyle name="Euro 41 2 2 2" xfId="2417" xr:uid="{00000000-0005-0000-0000-00006E090000}"/>
    <cellStyle name="Euro 41 2 3" xfId="2418" xr:uid="{00000000-0005-0000-0000-00006F090000}"/>
    <cellStyle name="Euro 41 3" xfId="2419" xr:uid="{00000000-0005-0000-0000-000070090000}"/>
    <cellStyle name="Euro 41 3 2" xfId="2420" xr:uid="{00000000-0005-0000-0000-000071090000}"/>
    <cellStyle name="Euro 41 3 2 2" xfId="2421" xr:uid="{00000000-0005-0000-0000-000072090000}"/>
    <cellStyle name="Euro 41 3 2 3" xfId="2422" xr:uid="{00000000-0005-0000-0000-000073090000}"/>
    <cellStyle name="Euro 41 3 2 3 2" xfId="2423" xr:uid="{00000000-0005-0000-0000-000074090000}"/>
    <cellStyle name="Euro 41 3 3" xfId="2424" xr:uid="{00000000-0005-0000-0000-000075090000}"/>
    <cellStyle name="Euro 41 3 3 2" xfId="2425" xr:uid="{00000000-0005-0000-0000-000076090000}"/>
    <cellStyle name="Euro 41 3 4" xfId="2426" xr:uid="{00000000-0005-0000-0000-000077090000}"/>
    <cellStyle name="Euro 41 3 4 2" xfId="2427" xr:uid="{00000000-0005-0000-0000-000078090000}"/>
    <cellStyle name="Euro 41 3 5" xfId="2428" xr:uid="{00000000-0005-0000-0000-000079090000}"/>
    <cellStyle name="Euro 41 4" xfId="2429" xr:uid="{00000000-0005-0000-0000-00007A090000}"/>
    <cellStyle name="Euro 41 4 2" xfId="2430" xr:uid="{00000000-0005-0000-0000-00007B090000}"/>
    <cellStyle name="Euro 41 4 2 2" xfId="2431" xr:uid="{00000000-0005-0000-0000-00007C090000}"/>
    <cellStyle name="Euro 41 4 3" xfId="2432" xr:uid="{00000000-0005-0000-0000-00007D090000}"/>
    <cellStyle name="Euro 41 5" xfId="2433" xr:uid="{00000000-0005-0000-0000-00007E090000}"/>
    <cellStyle name="Euro 41 6" xfId="2434" xr:uid="{00000000-0005-0000-0000-00007F090000}"/>
    <cellStyle name="Euro 41 6 2" xfId="2435" xr:uid="{00000000-0005-0000-0000-000080090000}"/>
    <cellStyle name="Euro 42" xfId="2436" xr:uid="{00000000-0005-0000-0000-000081090000}"/>
    <cellStyle name="Euro 42 2" xfId="2437" xr:uid="{00000000-0005-0000-0000-000082090000}"/>
    <cellStyle name="Euro 42 2 2" xfId="2438" xr:uid="{00000000-0005-0000-0000-000083090000}"/>
    <cellStyle name="Euro 42 2 2 2" xfId="2439" xr:uid="{00000000-0005-0000-0000-000084090000}"/>
    <cellStyle name="Euro 42 2 3" xfId="2440" xr:uid="{00000000-0005-0000-0000-000085090000}"/>
    <cellStyle name="Euro 42 3" xfId="2441" xr:uid="{00000000-0005-0000-0000-000086090000}"/>
    <cellStyle name="Euro 42 3 2" xfId="2442" xr:uid="{00000000-0005-0000-0000-000087090000}"/>
    <cellStyle name="Euro 42 3 2 2" xfId="2443" xr:uid="{00000000-0005-0000-0000-000088090000}"/>
    <cellStyle name="Euro 42 3 2 3" xfId="2444" xr:uid="{00000000-0005-0000-0000-000089090000}"/>
    <cellStyle name="Euro 42 3 2 3 2" xfId="2445" xr:uid="{00000000-0005-0000-0000-00008A090000}"/>
    <cellStyle name="Euro 42 3 3" xfId="2446" xr:uid="{00000000-0005-0000-0000-00008B090000}"/>
    <cellStyle name="Euro 42 3 3 2" xfId="2447" xr:uid="{00000000-0005-0000-0000-00008C090000}"/>
    <cellStyle name="Euro 42 3 4" xfId="2448" xr:uid="{00000000-0005-0000-0000-00008D090000}"/>
    <cellStyle name="Euro 42 3 4 2" xfId="2449" xr:uid="{00000000-0005-0000-0000-00008E090000}"/>
    <cellStyle name="Euro 42 3 5" xfId="2450" xr:uid="{00000000-0005-0000-0000-00008F090000}"/>
    <cellStyle name="Euro 42 4" xfId="2451" xr:uid="{00000000-0005-0000-0000-000090090000}"/>
    <cellStyle name="Euro 42 4 2" xfId="2452" xr:uid="{00000000-0005-0000-0000-000091090000}"/>
    <cellStyle name="Euro 42 4 2 2" xfId="2453" xr:uid="{00000000-0005-0000-0000-000092090000}"/>
    <cellStyle name="Euro 42 4 3" xfId="2454" xr:uid="{00000000-0005-0000-0000-000093090000}"/>
    <cellStyle name="Euro 42 5" xfId="2455" xr:uid="{00000000-0005-0000-0000-000094090000}"/>
    <cellStyle name="Euro 42 6" xfId="2456" xr:uid="{00000000-0005-0000-0000-000095090000}"/>
    <cellStyle name="Euro 42 6 2" xfId="2457" xr:uid="{00000000-0005-0000-0000-000096090000}"/>
    <cellStyle name="Euro 43" xfId="2458" xr:uid="{00000000-0005-0000-0000-000097090000}"/>
    <cellStyle name="Euro 43 2" xfId="2459" xr:uid="{00000000-0005-0000-0000-000098090000}"/>
    <cellStyle name="Euro 43 2 2" xfId="2460" xr:uid="{00000000-0005-0000-0000-000099090000}"/>
    <cellStyle name="Euro 43 2 2 2" xfId="2461" xr:uid="{00000000-0005-0000-0000-00009A090000}"/>
    <cellStyle name="Euro 43 2 3" xfId="2462" xr:uid="{00000000-0005-0000-0000-00009B090000}"/>
    <cellStyle name="Euro 43 3" xfId="2463" xr:uid="{00000000-0005-0000-0000-00009C090000}"/>
    <cellStyle name="Euro 43 3 2" xfId="2464" xr:uid="{00000000-0005-0000-0000-00009D090000}"/>
    <cellStyle name="Euro 43 3 2 2" xfId="2465" xr:uid="{00000000-0005-0000-0000-00009E090000}"/>
    <cellStyle name="Euro 43 3 2 3" xfId="2466" xr:uid="{00000000-0005-0000-0000-00009F090000}"/>
    <cellStyle name="Euro 43 3 2 3 2" xfId="2467" xr:uid="{00000000-0005-0000-0000-0000A0090000}"/>
    <cellStyle name="Euro 43 3 3" xfId="2468" xr:uid="{00000000-0005-0000-0000-0000A1090000}"/>
    <cellStyle name="Euro 43 3 3 2" xfId="2469" xr:uid="{00000000-0005-0000-0000-0000A2090000}"/>
    <cellStyle name="Euro 43 3 4" xfId="2470" xr:uid="{00000000-0005-0000-0000-0000A3090000}"/>
    <cellStyle name="Euro 43 3 4 2" xfId="2471" xr:uid="{00000000-0005-0000-0000-0000A4090000}"/>
    <cellStyle name="Euro 43 3 5" xfId="2472" xr:uid="{00000000-0005-0000-0000-0000A5090000}"/>
    <cellStyle name="Euro 43 4" xfId="2473" xr:uid="{00000000-0005-0000-0000-0000A6090000}"/>
    <cellStyle name="Euro 43 4 2" xfId="2474" xr:uid="{00000000-0005-0000-0000-0000A7090000}"/>
    <cellStyle name="Euro 43 4 2 2" xfId="2475" xr:uid="{00000000-0005-0000-0000-0000A8090000}"/>
    <cellStyle name="Euro 43 4 3" xfId="2476" xr:uid="{00000000-0005-0000-0000-0000A9090000}"/>
    <cellStyle name="Euro 43 5" xfId="2477" xr:uid="{00000000-0005-0000-0000-0000AA090000}"/>
    <cellStyle name="Euro 43 6" xfId="2478" xr:uid="{00000000-0005-0000-0000-0000AB090000}"/>
    <cellStyle name="Euro 43 6 2" xfId="2479" xr:uid="{00000000-0005-0000-0000-0000AC090000}"/>
    <cellStyle name="Euro 44" xfId="2480" xr:uid="{00000000-0005-0000-0000-0000AD090000}"/>
    <cellStyle name="Euro 44 2" xfId="2481" xr:uid="{00000000-0005-0000-0000-0000AE090000}"/>
    <cellStyle name="Euro 44 2 2" xfId="2482" xr:uid="{00000000-0005-0000-0000-0000AF090000}"/>
    <cellStyle name="Euro 44 2 2 2" xfId="2483" xr:uid="{00000000-0005-0000-0000-0000B0090000}"/>
    <cellStyle name="Euro 44 2 3" xfId="2484" xr:uid="{00000000-0005-0000-0000-0000B1090000}"/>
    <cellStyle name="Euro 44 3" xfId="2485" xr:uid="{00000000-0005-0000-0000-0000B2090000}"/>
    <cellStyle name="Euro 44 3 2" xfId="2486" xr:uid="{00000000-0005-0000-0000-0000B3090000}"/>
    <cellStyle name="Euro 44 3 2 2" xfId="2487" xr:uid="{00000000-0005-0000-0000-0000B4090000}"/>
    <cellStyle name="Euro 44 3 2 3" xfId="2488" xr:uid="{00000000-0005-0000-0000-0000B5090000}"/>
    <cellStyle name="Euro 44 3 2 3 2" xfId="2489" xr:uid="{00000000-0005-0000-0000-0000B6090000}"/>
    <cellStyle name="Euro 44 3 3" xfId="2490" xr:uid="{00000000-0005-0000-0000-0000B7090000}"/>
    <cellStyle name="Euro 44 3 3 2" xfId="2491" xr:uid="{00000000-0005-0000-0000-0000B8090000}"/>
    <cellStyle name="Euro 44 3 4" xfId="2492" xr:uid="{00000000-0005-0000-0000-0000B9090000}"/>
    <cellStyle name="Euro 44 3 4 2" xfId="2493" xr:uid="{00000000-0005-0000-0000-0000BA090000}"/>
    <cellStyle name="Euro 44 3 5" xfId="2494" xr:uid="{00000000-0005-0000-0000-0000BB090000}"/>
    <cellStyle name="Euro 44 4" xfId="2495" xr:uid="{00000000-0005-0000-0000-0000BC090000}"/>
    <cellStyle name="Euro 44 4 2" xfId="2496" xr:uid="{00000000-0005-0000-0000-0000BD090000}"/>
    <cellStyle name="Euro 44 4 2 2" xfId="2497" xr:uid="{00000000-0005-0000-0000-0000BE090000}"/>
    <cellStyle name="Euro 44 4 3" xfId="2498" xr:uid="{00000000-0005-0000-0000-0000BF090000}"/>
    <cellStyle name="Euro 44 5" xfId="2499" xr:uid="{00000000-0005-0000-0000-0000C0090000}"/>
    <cellStyle name="Euro 44 6" xfId="2500" xr:uid="{00000000-0005-0000-0000-0000C1090000}"/>
    <cellStyle name="Euro 44 6 2" xfId="2501" xr:uid="{00000000-0005-0000-0000-0000C2090000}"/>
    <cellStyle name="Euro 45" xfId="2502" xr:uid="{00000000-0005-0000-0000-0000C3090000}"/>
    <cellStyle name="Euro 45 2" xfId="2503" xr:uid="{00000000-0005-0000-0000-0000C4090000}"/>
    <cellStyle name="Euro 45 2 2" xfId="2504" xr:uid="{00000000-0005-0000-0000-0000C5090000}"/>
    <cellStyle name="Euro 45 2 2 2" xfId="2505" xr:uid="{00000000-0005-0000-0000-0000C6090000}"/>
    <cellStyle name="Euro 45 2 3" xfId="2506" xr:uid="{00000000-0005-0000-0000-0000C7090000}"/>
    <cellStyle name="Euro 45 2 4" xfId="2507" xr:uid="{00000000-0005-0000-0000-0000C8090000}"/>
    <cellStyle name="Euro 45 3" xfId="2508" xr:uid="{00000000-0005-0000-0000-0000C9090000}"/>
    <cellStyle name="Euro 45 4" xfId="2509" xr:uid="{00000000-0005-0000-0000-0000CA090000}"/>
    <cellStyle name="Euro 45 5" xfId="2510" xr:uid="{00000000-0005-0000-0000-0000CB090000}"/>
    <cellStyle name="Euro 45 6" xfId="2511" xr:uid="{00000000-0005-0000-0000-0000CC090000}"/>
    <cellStyle name="Euro 46" xfId="2512" xr:uid="{00000000-0005-0000-0000-0000CD090000}"/>
    <cellStyle name="Euro 46 2" xfId="2513" xr:uid="{00000000-0005-0000-0000-0000CE090000}"/>
    <cellStyle name="Euro 46 2 2" xfId="2514" xr:uid="{00000000-0005-0000-0000-0000CF090000}"/>
    <cellStyle name="Euro 46 3" xfId="2515" xr:uid="{00000000-0005-0000-0000-0000D0090000}"/>
    <cellStyle name="Euro 47" xfId="2516" xr:uid="{00000000-0005-0000-0000-0000D1090000}"/>
    <cellStyle name="Euro 47 2" xfId="2517" xr:uid="{00000000-0005-0000-0000-0000D2090000}"/>
    <cellStyle name="Euro 47 2 2" xfId="2518" xr:uid="{00000000-0005-0000-0000-0000D3090000}"/>
    <cellStyle name="Euro 47 2 3" xfId="2519" xr:uid="{00000000-0005-0000-0000-0000D4090000}"/>
    <cellStyle name="Euro 47 2 3 2" xfId="2520" xr:uid="{00000000-0005-0000-0000-0000D5090000}"/>
    <cellStyle name="Euro 47 3" xfId="2521" xr:uid="{00000000-0005-0000-0000-0000D6090000}"/>
    <cellStyle name="Euro 47 3 2" xfId="2522" xr:uid="{00000000-0005-0000-0000-0000D7090000}"/>
    <cellStyle name="Euro 47 4" xfId="2523" xr:uid="{00000000-0005-0000-0000-0000D8090000}"/>
    <cellStyle name="Euro 47 4 2" xfId="2524" xr:uid="{00000000-0005-0000-0000-0000D9090000}"/>
    <cellStyle name="Euro 47 5" xfId="2525" xr:uid="{00000000-0005-0000-0000-0000DA090000}"/>
    <cellStyle name="Euro 48" xfId="2526" xr:uid="{00000000-0005-0000-0000-0000DB090000}"/>
    <cellStyle name="Euro 48 2" xfId="2527" xr:uid="{00000000-0005-0000-0000-0000DC090000}"/>
    <cellStyle name="Euro 48 2 2" xfId="2528" xr:uid="{00000000-0005-0000-0000-0000DD090000}"/>
    <cellStyle name="Euro 48 3" xfId="2529" xr:uid="{00000000-0005-0000-0000-0000DE090000}"/>
    <cellStyle name="Euro 49" xfId="2530" xr:uid="{00000000-0005-0000-0000-0000DF090000}"/>
    <cellStyle name="Euro 49 2" xfId="2531" xr:uid="{00000000-0005-0000-0000-0000E0090000}"/>
    <cellStyle name="Euro 49 2 2" xfId="2532" xr:uid="{00000000-0005-0000-0000-0000E1090000}"/>
    <cellStyle name="Euro 49 3" xfId="2533" xr:uid="{00000000-0005-0000-0000-0000E2090000}"/>
    <cellStyle name="Euro 5" xfId="2534" xr:uid="{00000000-0005-0000-0000-0000E3090000}"/>
    <cellStyle name="Euro 5 2" xfId="2535" xr:uid="{00000000-0005-0000-0000-0000E4090000}"/>
    <cellStyle name="Euro 5 2 2" xfId="2536" xr:uid="{00000000-0005-0000-0000-0000E5090000}"/>
    <cellStyle name="Euro 5 2 2 2" xfId="2537" xr:uid="{00000000-0005-0000-0000-0000E6090000}"/>
    <cellStyle name="Euro 5 2 3" xfId="2538" xr:uid="{00000000-0005-0000-0000-0000E7090000}"/>
    <cellStyle name="Euro 5 3" xfId="2539" xr:uid="{00000000-0005-0000-0000-0000E8090000}"/>
    <cellStyle name="Euro 5 3 2" xfId="2540" xr:uid="{00000000-0005-0000-0000-0000E9090000}"/>
    <cellStyle name="Euro 5 3 2 2" xfId="2541" xr:uid="{00000000-0005-0000-0000-0000EA090000}"/>
    <cellStyle name="Euro 5 3 2 3" xfId="2542" xr:uid="{00000000-0005-0000-0000-0000EB090000}"/>
    <cellStyle name="Euro 5 3 2 3 2" xfId="2543" xr:uid="{00000000-0005-0000-0000-0000EC090000}"/>
    <cellStyle name="Euro 5 3 3" xfId="2544" xr:uid="{00000000-0005-0000-0000-0000ED090000}"/>
    <cellStyle name="Euro 5 3 3 2" xfId="2545" xr:uid="{00000000-0005-0000-0000-0000EE090000}"/>
    <cellStyle name="Euro 5 3 4" xfId="2546" xr:uid="{00000000-0005-0000-0000-0000EF090000}"/>
    <cellStyle name="Euro 5 3 4 2" xfId="2547" xr:uid="{00000000-0005-0000-0000-0000F0090000}"/>
    <cellStyle name="Euro 5 3 5" xfId="2548" xr:uid="{00000000-0005-0000-0000-0000F1090000}"/>
    <cellStyle name="Euro 5 4" xfId="2549" xr:uid="{00000000-0005-0000-0000-0000F2090000}"/>
    <cellStyle name="Euro 5 4 2" xfId="2550" xr:uid="{00000000-0005-0000-0000-0000F3090000}"/>
    <cellStyle name="Euro 5 4 2 2" xfId="2551" xr:uid="{00000000-0005-0000-0000-0000F4090000}"/>
    <cellStyle name="Euro 5 4 3" xfId="2552" xr:uid="{00000000-0005-0000-0000-0000F5090000}"/>
    <cellStyle name="Euro 5 5" xfId="2553" xr:uid="{00000000-0005-0000-0000-0000F6090000}"/>
    <cellStyle name="Euro 5 6" xfId="2554" xr:uid="{00000000-0005-0000-0000-0000F7090000}"/>
    <cellStyle name="Euro 5 6 2" xfId="2555" xr:uid="{00000000-0005-0000-0000-0000F8090000}"/>
    <cellStyle name="Euro 50" xfId="2556" xr:uid="{00000000-0005-0000-0000-0000F9090000}"/>
    <cellStyle name="Euro 51" xfId="2557" xr:uid="{00000000-0005-0000-0000-0000FA090000}"/>
    <cellStyle name="Euro 51 2" xfId="2558" xr:uid="{00000000-0005-0000-0000-0000FB090000}"/>
    <cellStyle name="Euro 51 2 2" xfId="2559" xr:uid="{00000000-0005-0000-0000-0000FC090000}"/>
    <cellStyle name="Euro 51 3" xfId="2560" xr:uid="{00000000-0005-0000-0000-0000FD090000}"/>
    <cellStyle name="Euro 51 4" xfId="2561" xr:uid="{00000000-0005-0000-0000-0000FE090000}"/>
    <cellStyle name="Euro 6" xfId="2562" xr:uid="{00000000-0005-0000-0000-0000FF090000}"/>
    <cellStyle name="Euro 6 2" xfId="2563" xr:uid="{00000000-0005-0000-0000-0000000A0000}"/>
    <cellStyle name="Euro 6 2 2" xfId="2564" xr:uid="{00000000-0005-0000-0000-0000010A0000}"/>
    <cellStyle name="Euro 6 2 2 2" xfId="2565" xr:uid="{00000000-0005-0000-0000-0000020A0000}"/>
    <cellStyle name="Euro 6 2 3" xfId="2566" xr:uid="{00000000-0005-0000-0000-0000030A0000}"/>
    <cellStyle name="Euro 6 3" xfId="2567" xr:uid="{00000000-0005-0000-0000-0000040A0000}"/>
    <cellStyle name="Euro 6 3 2" xfId="2568" xr:uid="{00000000-0005-0000-0000-0000050A0000}"/>
    <cellStyle name="Euro 6 3 2 2" xfId="2569" xr:uid="{00000000-0005-0000-0000-0000060A0000}"/>
    <cellStyle name="Euro 6 3 2 3" xfId="2570" xr:uid="{00000000-0005-0000-0000-0000070A0000}"/>
    <cellStyle name="Euro 6 3 2 3 2" xfId="2571" xr:uid="{00000000-0005-0000-0000-0000080A0000}"/>
    <cellStyle name="Euro 6 3 3" xfId="2572" xr:uid="{00000000-0005-0000-0000-0000090A0000}"/>
    <cellStyle name="Euro 6 3 3 2" xfId="2573" xr:uid="{00000000-0005-0000-0000-00000A0A0000}"/>
    <cellStyle name="Euro 6 3 4" xfId="2574" xr:uid="{00000000-0005-0000-0000-00000B0A0000}"/>
    <cellStyle name="Euro 6 3 4 2" xfId="2575" xr:uid="{00000000-0005-0000-0000-00000C0A0000}"/>
    <cellStyle name="Euro 6 3 5" xfId="2576" xr:uid="{00000000-0005-0000-0000-00000D0A0000}"/>
    <cellStyle name="Euro 6 4" xfId="2577" xr:uid="{00000000-0005-0000-0000-00000E0A0000}"/>
    <cellStyle name="Euro 6 4 2" xfId="2578" xr:uid="{00000000-0005-0000-0000-00000F0A0000}"/>
    <cellStyle name="Euro 6 4 2 2" xfId="2579" xr:uid="{00000000-0005-0000-0000-0000100A0000}"/>
    <cellStyle name="Euro 6 4 3" xfId="2580" xr:uid="{00000000-0005-0000-0000-0000110A0000}"/>
    <cellStyle name="Euro 6 5" xfId="2581" xr:uid="{00000000-0005-0000-0000-0000120A0000}"/>
    <cellStyle name="Euro 6 6" xfId="2582" xr:uid="{00000000-0005-0000-0000-0000130A0000}"/>
    <cellStyle name="Euro 6 6 2" xfId="2583" xr:uid="{00000000-0005-0000-0000-0000140A0000}"/>
    <cellStyle name="Euro 7" xfId="2584" xr:uid="{00000000-0005-0000-0000-0000150A0000}"/>
    <cellStyle name="Euro 7 2" xfId="2585" xr:uid="{00000000-0005-0000-0000-0000160A0000}"/>
    <cellStyle name="Euro 7 2 2" xfId="2586" xr:uid="{00000000-0005-0000-0000-0000170A0000}"/>
    <cellStyle name="Euro 7 2 2 2" xfId="2587" xr:uid="{00000000-0005-0000-0000-0000180A0000}"/>
    <cellStyle name="Euro 7 2 3" xfId="2588" xr:uid="{00000000-0005-0000-0000-0000190A0000}"/>
    <cellStyle name="Euro 7 3" xfId="2589" xr:uid="{00000000-0005-0000-0000-00001A0A0000}"/>
    <cellStyle name="Euro 7 3 2" xfId="2590" xr:uid="{00000000-0005-0000-0000-00001B0A0000}"/>
    <cellStyle name="Euro 7 3 2 2" xfId="2591" xr:uid="{00000000-0005-0000-0000-00001C0A0000}"/>
    <cellStyle name="Euro 7 3 2 3" xfId="2592" xr:uid="{00000000-0005-0000-0000-00001D0A0000}"/>
    <cellStyle name="Euro 7 3 2 3 2" xfId="2593" xr:uid="{00000000-0005-0000-0000-00001E0A0000}"/>
    <cellStyle name="Euro 7 3 3" xfId="2594" xr:uid="{00000000-0005-0000-0000-00001F0A0000}"/>
    <cellStyle name="Euro 7 3 3 2" xfId="2595" xr:uid="{00000000-0005-0000-0000-0000200A0000}"/>
    <cellStyle name="Euro 7 3 4" xfId="2596" xr:uid="{00000000-0005-0000-0000-0000210A0000}"/>
    <cellStyle name="Euro 7 3 4 2" xfId="2597" xr:uid="{00000000-0005-0000-0000-0000220A0000}"/>
    <cellStyle name="Euro 7 3 5" xfId="2598" xr:uid="{00000000-0005-0000-0000-0000230A0000}"/>
    <cellStyle name="Euro 7 4" xfId="2599" xr:uid="{00000000-0005-0000-0000-0000240A0000}"/>
    <cellStyle name="Euro 7 4 2" xfId="2600" xr:uid="{00000000-0005-0000-0000-0000250A0000}"/>
    <cellStyle name="Euro 7 4 2 2" xfId="2601" xr:uid="{00000000-0005-0000-0000-0000260A0000}"/>
    <cellStyle name="Euro 7 4 3" xfId="2602" xr:uid="{00000000-0005-0000-0000-0000270A0000}"/>
    <cellStyle name="Euro 7 5" xfId="2603" xr:uid="{00000000-0005-0000-0000-0000280A0000}"/>
    <cellStyle name="Euro 7 6" xfId="2604" xr:uid="{00000000-0005-0000-0000-0000290A0000}"/>
    <cellStyle name="Euro 7 6 2" xfId="2605" xr:uid="{00000000-0005-0000-0000-00002A0A0000}"/>
    <cellStyle name="Euro 8" xfId="2606" xr:uid="{00000000-0005-0000-0000-00002B0A0000}"/>
    <cellStyle name="Euro 8 2" xfId="2607" xr:uid="{00000000-0005-0000-0000-00002C0A0000}"/>
    <cellStyle name="Euro 8 2 2" xfId="2608" xr:uid="{00000000-0005-0000-0000-00002D0A0000}"/>
    <cellStyle name="Euro 8 2 2 2" xfId="2609" xr:uid="{00000000-0005-0000-0000-00002E0A0000}"/>
    <cellStyle name="Euro 8 2 3" xfId="2610" xr:uid="{00000000-0005-0000-0000-00002F0A0000}"/>
    <cellStyle name="Euro 8 3" xfId="2611" xr:uid="{00000000-0005-0000-0000-0000300A0000}"/>
    <cellStyle name="Euro 8 3 2" xfId="2612" xr:uid="{00000000-0005-0000-0000-0000310A0000}"/>
    <cellStyle name="Euro 8 3 2 2" xfId="2613" xr:uid="{00000000-0005-0000-0000-0000320A0000}"/>
    <cellStyle name="Euro 8 3 2 3" xfId="2614" xr:uid="{00000000-0005-0000-0000-0000330A0000}"/>
    <cellStyle name="Euro 8 3 2 3 2" xfId="2615" xr:uid="{00000000-0005-0000-0000-0000340A0000}"/>
    <cellStyle name="Euro 8 3 3" xfId="2616" xr:uid="{00000000-0005-0000-0000-0000350A0000}"/>
    <cellStyle name="Euro 8 3 3 2" xfId="2617" xr:uid="{00000000-0005-0000-0000-0000360A0000}"/>
    <cellStyle name="Euro 8 3 4" xfId="2618" xr:uid="{00000000-0005-0000-0000-0000370A0000}"/>
    <cellStyle name="Euro 8 3 4 2" xfId="2619" xr:uid="{00000000-0005-0000-0000-0000380A0000}"/>
    <cellStyle name="Euro 8 3 5" xfId="2620" xr:uid="{00000000-0005-0000-0000-0000390A0000}"/>
    <cellStyle name="Euro 8 4" xfId="2621" xr:uid="{00000000-0005-0000-0000-00003A0A0000}"/>
    <cellStyle name="Euro 8 4 2" xfId="2622" xr:uid="{00000000-0005-0000-0000-00003B0A0000}"/>
    <cellStyle name="Euro 8 4 2 2" xfId="2623" xr:uid="{00000000-0005-0000-0000-00003C0A0000}"/>
    <cellStyle name="Euro 8 4 3" xfId="2624" xr:uid="{00000000-0005-0000-0000-00003D0A0000}"/>
    <cellStyle name="Euro 8 5" xfId="2625" xr:uid="{00000000-0005-0000-0000-00003E0A0000}"/>
    <cellStyle name="Euro 8 6" xfId="2626" xr:uid="{00000000-0005-0000-0000-00003F0A0000}"/>
    <cellStyle name="Euro 8 6 2" xfId="2627" xr:uid="{00000000-0005-0000-0000-0000400A0000}"/>
    <cellStyle name="Euro 9" xfId="2628" xr:uid="{00000000-0005-0000-0000-0000410A0000}"/>
    <cellStyle name="Euro 9 2" xfId="2629" xr:uid="{00000000-0005-0000-0000-0000420A0000}"/>
    <cellStyle name="Euro 9 2 2" xfId="2630" xr:uid="{00000000-0005-0000-0000-0000430A0000}"/>
    <cellStyle name="Euro 9 2 2 2" xfId="2631" xr:uid="{00000000-0005-0000-0000-0000440A0000}"/>
    <cellStyle name="Euro 9 2 3" xfId="2632" xr:uid="{00000000-0005-0000-0000-0000450A0000}"/>
    <cellStyle name="Euro 9 3" xfId="2633" xr:uid="{00000000-0005-0000-0000-0000460A0000}"/>
    <cellStyle name="Euro 9 3 2" xfId="2634" xr:uid="{00000000-0005-0000-0000-0000470A0000}"/>
    <cellStyle name="Euro 9 3 2 2" xfId="2635" xr:uid="{00000000-0005-0000-0000-0000480A0000}"/>
    <cellStyle name="Euro 9 3 2 3" xfId="2636" xr:uid="{00000000-0005-0000-0000-0000490A0000}"/>
    <cellStyle name="Euro 9 3 2 3 2" xfId="2637" xr:uid="{00000000-0005-0000-0000-00004A0A0000}"/>
    <cellStyle name="Euro 9 3 3" xfId="2638" xr:uid="{00000000-0005-0000-0000-00004B0A0000}"/>
    <cellStyle name="Euro 9 3 3 2" xfId="2639" xr:uid="{00000000-0005-0000-0000-00004C0A0000}"/>
    <cellStyle name="Euro 9 3 4" xfId="2640" xr:uid="{00000000-0005-0000-0000-00004D0A0000}"/>
    <cellStyle name="Euro 9 3 4 2" xfId="2641" xr:uid="{00000000-0005-0000-0000-00004E0A0000}"/>
    <cellStyle name="Euro 9 3 5" xfId="2642" xr:uid="{00000000-0005-0000-0000-00004F0A0000}"/>
    <cellStyle name="Euro 9 4" xfId="2643" xr:uid="{00000000-0005-0000-0000-0000500A0000}"/>
    <cellStyle name="Euro 9 4 2" xfId="2644" xr:uid="{00000000-0005-0000-0000-0000510A0000}"/>
    <cellStyle name="Euro 9 4 2 2" xfId="2645" xr:uid="{00000000-0005-0000-0000-0000520A0000}"/>
    <cellStyle name="Euro 9 4 3" xfId="2646" xr:uid="{00000000-0005-0000-0000-0000530A0000}"/>
    <cellStyle name="Euro 9 5" xfId="2647" xr:uid="{00000000-0005-0000-0000-0000540A0000}"/>
    <cellStyle name="Euro 9 6" xfId="2648" xr:uid="{00000000-0005-0000-0000-0000550A0000}"/>
    <cellStyle name="Euro 9 6 2" xfId="2649" xr:uid="{00000000-0005-0000-0000-0000560A0000}"/>
    <cellStyle name="Explanatory Text 2" xfId="2650" xr:uid="{00000000-0005-0000-0000-0000570A0000}"/>
    <cellStyle name="Fixed2 - Type2" xfId="2651" xr:uid="{00000000-0005-0000-0000-0000580A0000}"/>
    <cellStyle name="Good 2" xfId="2652" xr:uid="{00000000-0005-0000-0000-0000590A0000}"/>
    <cellStyle name="Heading 1 2" xfId="2653" xr:uid="{00000000-0005-0000-0000-00005A0A0000}"/>
    <cellStyle name="Heading 1 2 2" xfId="10383" xr:uid="{5998D0C5-FAB8-4A80-A52E-27B503D50D2F}"/>
    <cellStyle name="Heading 1 3" xfId="2654" xr:uid="{00000000-0005-0000-0000-00005B0A0000}"/>
    <cellStyle name="Heading 2 2" xfId="2655" xr:uid="{00000000-0005-0000-0000-00005C0A0000}"/>
    <cellStyle name="Hyperlink 2" xfId="2656" xr:uid="{00000000-0005-0000-0000-00005D0A0000}"/>
    <cellStyle name="Hyperlink 2 2" xfId="2657" xr:uid="{00000000-0005-0000-0000-00005E0A0000}"/>
    <cellStyle name="Hyperlink 2 3" xfId="2658" xr:uid="{00000000-0005-0000-0000-00005F0A0000}"/>
    <cellStyle name="Hyperlink 2 4" xfId="2659" xr:uid="{00000000-0005-0000-0000-0000600A0000}"/>
    <cellStyle name="Hyperlink 3" xfId="2660" xr:uid="{00000000-0005-0000-0000-0000610A0000}"/>
    <cellStyle name="Hyperlink 3 3" xfId="10386" xr:uid="{B84018F3-12D4-4C41-B6CB-38E4805B0980}"/>
    <cellStyle name="Hyperlink 4" xfId="2661" xr:uid="{00000000-0005-0000-0000-0000620A0000}"/>
    <cellStyle name="Hyperlink 5" xfId="2662" xr:uid="{00000000-0005-0000-0000-0000630A0000}"/>
    <cellStyle name="Hyperlink 6" xfId="10378" xr:uid="{0192B57E-0161-408E-95C8-F4B0B44E2630}"/>
    <cellStyle name="Input 2" xfId="2663" xr:uid="{00000000-0005-0000-0000-0000640A0000}"/>
    <cellStyle name="Input 2 2" xfId="2664" xr:uid="{00000000-0005-0000-0000-0000650A0000}"/>
    <cellStyle name="Input 2 2 2" xfId="2665" xr:uid="{00000000-0005-0000-0000-0000660A0000}"/>
    <cellStyle name="Input 2 3" xfId="2666" xr:uid="{00000000-0005-0000-0000-0000670A0000}"/>
    <cellStyle name="Input 2 4" xfId="2667" xr:uid="{00000000-0005-0000-0000-0000680A0000}"/>
    <cellStyle name="Input 2 5" xfId="2668" xr:uid="{00000000-0005-0000-0000-0000690A0000}"/>
    <cellStyle name="Input 2 6" xfId="2669" xr:uid="{00000000-0005-0000-0000-00006A0A0000}"/>
    <cellStyle name="Input 2 7" xfId="2670" xr:uid="{00000000-0005-0000-0000-00006B0A0000}"/>
    <cellStyle name="Input 3" xfId="2671" xr:uid="{00000000-0005-0000-0000-00006C0A0000}"/>
    <cellStyle name="Input 3 2" xfId="2672" xr:uid="{00000000-0005-0000-0000-00006D0A0000}"/>
    <cellStyle name="Input 3 2 2" xfId="2673" xr:uid="{00000000-0005-0000-0000-00006E0A0000}"/>
    <cellStyle name="Input 3 3" xfId="2674" xr:uid="{00000000-0005-0000-0000-00006F0A0000}"/>
    <cellStyle name="Input 3 3 2" xfId="2675" xr:uid="{00000000-0005-0000-0000-0000700A0000}"/>
    <cellStyle name="Input 3 4" xfId="2676" xr:uid="{00000000-0005-0000-0000-0000710A0000}"/>
    <cellStyle name="Input 3 4 2" xfId="2677" xr:uid="{00000000-0005-0000-0000-0000720A0000}"/>
    <cellStyle name="Input 3 5" xfId="2678" xr:uid="{00000000-0005-0000-0000-0000730A0000}"/>
    <cellStyle name="Input 3 6" xfId="2679" xr:uid="{00000000-0005-0000-0000-0000740A0000}"/>
    <cellStyle name="Input 4" xfId="2680" xr:uid="{00000000-0005-0000-0000-0000750A0000}"/>
    <cellStyle name="InputCells" xfId="2681" xr:uid="{00000000-0005-0000-0000-0000760A0000}"/>
    <cellStyle name="Komma 2" xfId="2682" xr:uid="{00000000-0005-0000-0000-0000770A0000}"/>
    <cellStyle name="Komma 2 10" xfId="2683" xr:uid="{00000000-0005-0000-0000-0000780A0000}"/>
    <cellStyle name="Komma 2 11" xfId="2684" xr:uid="{00000000-0005-0000-0000-0000790A0000}"/>
    <cellStyle name="Komma 2 2" xfId="2685" xr:uid="{00000000-0005-0000-0000-00007A0A0000}"/>
    <cellStyle name="Komma 2 2 10" xfId="2686" xr:uid="{00000000-0005-0000-0000-00007B0A0000}"/>
    <cellStyle name="Komma 2 2 11" xfId="2687" xr:uid="{00000000-0005-0000-0000-00007C0A0000}"/>
    <cellStyle name="Komma 2 2 2" xfId="2688" xr:uid="{00000000-0005-0000-0000-00007D0A0000}"/>
    <cellStyle name="Komma 2 2 2 2" xfId="2689" xr:uid="{00000000-0005-0000-0000-00007E0A0000}"/>
    <cellStyle name="Komma 2 2 2 2 2" xfId="2690" xr:uid="{00000000-0005-0000-0000-00007F0A0000}"/>
    <cellStyle name="Komma 2 2 2 2 2 2" xfId="2691" xr:uid="{00000000-0005-0000-0000-0000800A0000}"/>
    <cellStyle name="Komma 2 2 2 2 2 3" xfId="2692" xr:uid="{00000000-0005-0000-0000-0000810A0000}"/>
    <cellStyle name="Komma 2 2 2 2 2 4" xfId="2693" xr:uid="{00000000-0005-0000-0000-0000820A0000}"/>
    <cellStyle name="Komma 2 2 2 2 3" xfId="2694" xr:uid="{00000000-0005-0000-0000-0000830A0000}"/>
    <cellStyle name="Komma 2 2 2 2 4" xfId="2695" xr:uid="{00000000-0005-0000-0000-0000840A0000}"/>
    <cellStyle name="Komma 2 2 2 2 5" xfId="2696" xr:uid="{00000000-0005-0000-0000-0000850A0000}"/>
    <cellStyle name="Komma 2 2 2 3" xfId="2697" xr:uid="{00000000-0005-0000-0000-0000860A0000}"/>
    <cellStyle name="Komma 2 2 2 3 2" xfId="2698" xr:uid="{00000000-0005-0000-0000-0000870A0000}"/>
    <cellStyle name="Komma 2 2 2 3 2 2" xfId="2699" xr:uid="{00000000-0005-0000-0000-0000880A0000}"/>
    <cellStyle name="Komma 2 2 2 3 2 3" xfId="2700" xr:uid="{00000000-0005-0000-0000-0000890A0000}"/>
    <cellStyle name="Komma 2 2 2 3 2 4" xfId="2701" xr:uid="{00000000-0005-0000-0000-00008A0A0000}"/>
    <cellStyle name="Komma 2 2 2 3 3" xfId="2702" xr:uid="{00000000-0005-0000-0000-00008B0A0000}"/>
    <cellStyle name="Komma 2 2 2 3 4" xfId="2703" xr:uid="{00000000-0005-0000-0000-00008C0A0000}"/>
    <cellStyle name="Komma 2 2 2 3 5" xfId="2704" xr:uid="{00000000-0005-0000-0000-00008D0A0000}"/>
    <cellStyle name="Komma 2 2 2 4" xfId="2705" xr:uid="{00000000-0005-0000-0000-00008E0A0000}"/>
    <cellStyle name="Komma 2 2 2 4 2" xfId="2706" xr:uid="{00000000-0005-0000-0000-00008F0A0000}"/>
    <cellStyle name="Komma 2 2 2 4 2 2" xfId="2707" xr:uid="{00000000-0005-0000-0000-0000900A0000}"/>
    <cellStyle name="Komma 2 2 2 4 2 3" xfId="2708" xr:uid="{00000000-0005-0000-0000-0000910A0000}"/>
    <cellStyle name="Komma 2 2 2 4 2 4" xfId="2709" xr:uid="{00000000-0005-0000-0000-0000920A0000}"/>
    <cellStyle name="Komma 2 2 2 4 3" xfId="2710" xr:uid="{00000000-0005-0000-0000-0000930A0000}"/>
    <cellStyle name="Komma 2 2 2 4 4" xfId="2711" xr:uid="{00000000-0005-0000-0000-0000940A0000}"/>
    <cellStyle name="Komma 2 2 2 4 5" xfId="2712" xr:uid="{00000000-0005-0000-0000-0000950A0000}"/>
    <cellStyle name="Komma 2 2 2 5" xfId="2713" xr:uid="{00000000-0005-0000-0000-0000960A0000}"/>
    <cellStyle name="Komma 2 2 2 5 2" xfId="2714" xr:uid="{00000000-0005-0000-0000-0000970A0000}"/>
    <cellStyle name="Komma 2 2 2 5 3" xfId="2715" xr:uid="{00000000-0005-0000-0000-0000980A0000}"/>
    <cellStyle name="Komma 2 2 2 5 4" xfId="2716" xr:uid="{00000000-0005-0000-0000-0000990A0000}"/>
    <cellStyle name="Komma 2 2 2 6" xfId="2717" xr:uid="{00000000-0005-0000-0000-00009A0A0000}"/>
    <cellStyle name="Komma 2 2 2 6 2" xfId="2718" xr:uid="{00000000-0005-0000-0000-00009B0A0000}"/>
    <cellStyle name="Komma 2 2 2 6 3" xfId="2719" xr:uid="{00000000-0005-0000-0000-00009C0A0000}"/>
    <cellStyle name="Komma 2 2 2 6 4" xfId="2720" xr:uid="{00000000-0005-0000-0000-00009D0A0000}"/>
    <cellStyle name="Komma 2 2 2 7" xfId="2721" xr:uid="{00000000-0005-0000-0000-00009E0A0000}"/>
    <cellStyle name="Komma 2 2 2 8" xfId="2722" xr:uid="{00000000-0005-0000-0000-00009F0A0000}"/>
    <cellStyle name="Komma 2 2 2 9" xfId="2723" xr:uid="{00000000-0005-0000-0000-0000A00A0000}"/>
    <cellStyle name="Komma 2 2 3" xfId="2724" xr:uid="{00000000-0005-0000-0000-0000A10A0000}"/>
    <cellStyle name="Komma 2 2 3 2" xfId="2725" xr:uid="{00000000-0005-0000-0000-0000A20A0000}"/>
    <cellStyle name="Komma 2 2 3 2 2" xfId="2726" xr:uid="{00000000-0005-0000-0000-0000A30A0000}"/>
    <cellStyle name="Komma 2 2 3 2 3" xfId="2727" xr:uid="{00000000-0005-0000-0000-0000A40A0000}"/>
    <cellStyle name="Komma 2 2 3 2 4" xfId="2728" xr:uid="{00000000-0005-0000-0000-0000A50A0000}"/>
    <cellStyle name="Komma 2 2 3 3" xfId="2729" xr:uid="{00000000-0005-0000-0000-0000A60A0000}"/>
    <cellStyle name="Komma 2 2 3 4" xfId="2730" xr:uid="{00000000-0005-0000-0000-0000A70A0000}"/>
    <cellStyle name="Komma 2 2 3 5" xfId="2731" xr:uid="{00000000-0005-0000-0000-0000A80A0000}"/>
    <cellStyle name="Komma 2 2 4" xfId="2732" xr:uid="{00000000-0005-0000-0000-0000A90A0000}"/>
    <cellStyle name="Komma 2 2 4 2" xfId="2733" xr:uid="{00000000-0005-0000-0000-0000AA0A0000}"/>
    <cellStyle name="Komma 2 2 4 2 2" xfId="2734" xr:uid="{00000000-0005-0000-0000-0000AB0A0000}"/>
    <cellStyle name="Komma 2 2 4 2 3" xfId="2735" xr:uid="{00000000-0005-0000-0000-0000AC0A0000}"/>
    <cellStyle name="Komma 2 2 4 2 4" xfId="2736" xr:uid="{00000000-0005-0000-0000-0000AD0A0000}"/>
    <cellStyle name="Komma 2 2 4 3" xfId="2737" xr:uid="{00000000-0005-0000-0000-0000AE0A0000}"/>
    <cellStyle name="Komma 2 2 4 4" xfId="2738" xr:uid="{00000000-0005-0000-0000-0000AF0A0000}"/>
    <cellStyle name="Komma 2 2 4 5" xfId="2739" xr:uid="{00000000-0005-0000-0000-0000B00A0000}"/>
    <cellStyle name="Komma 2 2 5" xfId="2740" xr:uid="{00000000-0005-0000-0000-0000B10A0000}"/>
    <cellStyle name="Komma 2 2 5 2" xfId="2741" xr:uid="{00000000-0005-0000-0000-0000B20A0000}"/>
    <cellStyle name="Komma 2 2 5 2 2" xfId="2742" xr:uid="{00000000-0005-0000-0000-0000B30A0000}"/>
    <cellStyle name="Komma 2 2 5 2 3" xfId="2743" xr:uid="{00000000-0005-0000-0000-0000B40A0000}"/>
    <cellStyle name="Komma 2 2 5 2 4" xfId="2744" xr:uid="{00000000-0005-0000-0000-0000B50A0000}"/>
    <cellStyle name="Komma 2 2 5 3" xfId="2745" xr:uid="{00000000-0005-0000-0000-0000B60A0000}"/>
    <cellStyle name="Komma 2 2 5 4" xfId="2746" xr:uid="{00000000-0005-0000-0000-0000B70A0000}"/>
    <cellStyle name="Komma 2 2 5 5" xfId="2747" xr:uid="{00000000-0005-0000-0000-0000B80A0000}"/>
    <cellStyle name="Komma 2 2 6" xfId="2748" xr:uid="{00000000-0005-0000-0000-0000B90A0000}"/>
    <cellStyle name="Komma 2 2 6 2" xfId="2749" xr:uid="{00000000-0005-0000-0000-0000BA0A0000}"/>
    <cellStyle name="Komma 2 2 6 3" xfId="2750" xr:uid="{00000000-0005-0000-0000-0000BB0A0000}"/>
    <cellStyle name="Komma 2 2 6 4" xfId="2751" xr:uid="{00000000-0005-0000-0000-0000BC0A0000}"/>
    <cellStyle name="Komma 2 2 7" xfId="2752" xr:uid="{00000000-0005-0000-0000-0000BD0A0000}"/>
    <cellStyle name="Komma 2 2 7 2" xfId="2753" xr:uid="{00000000-0005-0000-0000-0000BE0A0000}"/>
    <cellStyle name="Komma 2 2 7 3" xfId="2754" xr:uid="{00000000-0005-0000-0000-0000BF0A0000}"/>
    <cellStyle name="Komma 2 2 7 4" xfId="2755" xr:uid="{00000000-0005-0000-0000-0000C00A0000}"/>
    <cellStyle name="Komma 2 2 8" xfId="2756" xr:uid="{00000000-0005-0000-0000-0000C10A0000}"/>
    <cellStyle name="Komma 2 2 9" xfId="2757" xr:uid="{00000000-0005-0000-0000-0000C20A0000}"/>
    <cellStyle name="Komma 2 3" xfId="2758" xr:uid="{00000000-0005-0000-0000-0000C30A0000}"/>
    <cellStyle name="Komma 2 3 2" xfId="2759" xr:uid="{00000000-0005-0000-0000-0000C40A0000}"/>
    <cellStyle name="Komma 2 3 2 2" xfId="2760" xr:uid="{00000000-0005-0000-0000-0000C50A0000}"/>
    <cellStyle name="Komma 2 3 2 2 2" xfId="2761" xr:uid="{00000000-0005-0000-0000-0000C60A0000}"/>
    <cellStyle name="Komma 2 3 2 2 3" xfId="2762" xr:uid="{00000000-0005-0000-0000-0000C70A0000}"/>
    <cellStyle name="Komma 2 3 2 2 4" xfId="2763" xr:uid="{00000000-0005-0000-0000-0000C80A0000}"/>
    <cellStyle name="Komma 2 3 2 3" xfId="2764" xr:uid="{00000000-0005-0000-0000-0000C90A0000}"/>
    <cellStyle name="Komma 2 3 2 4" xfId="2765" xr:uid="{00000000-0005-0000-0000-0000CA0A0000}"/>
    <cellStyle name="Komma 2 3 2 5" xfId="2766" xr:uid="{00000000-0005-0000-0000-0000CB0A0000}"/>
    <cellStyle name="Komma 2 3 3" xfId="2767" xr:uid="{00000000-0005-0000-0000-0000CC0A0000}"/>
    <cellStyle name="Komma 2 3 3 2" xfId="2768" xr:uid="{00000000-0005-0000-0000-0000CD0A0000}"/>
    <cellStyle name="Komma 2 3 3 2 2" xfId="2769" xr:uid="{00000000-0005-0000-0000-0000CE0A0000}"/>
    <cellStyle name="Komma 2 3 3 2 3" xfId="2770" xr:uid="{00000000-0005-0000-0000-0000CF0A0000}"/>
    <cellStyle name="Komma 2 3 3 2 4" xfId="2771" xr:uid="{00000000-0005-0000-0000-0000D00A0000}"/>
    <cellStyle name="Komma 2 3 3 3" xfId="2772" xr:uid="{00000000-0005-0000-0000-0000D10A0000}"/>
    <cellStyle name="Komma 2 3 3 4" xfId="2773" xr:uid="{00000000-0005-0000-0000-0000D20A0000}"/>
    <cellStyle name="Komma 2 3 3 5" xfId="2774" xr:uid="{00000000-0005-0000-0000-0000D30A0000}"/>
    <cellStyle name="Komma 2 3 4" xfId="2775" xr:uid="{00000000-0005-0000-0000-0000D40A0000}"/>
    <cellStyle name="Komma 2 3 4 2" xfId="2776" xr:uid="{00000000-0005-0000-0000-0000D50A0000}"/>
    <cellStyle name="Komma 2 3 4 2 2" xfId="2777" xr:uid="{00000000-0005-0000-0000-0000D60A0000}"/>
    <cellStyle name="Komma 2 3 4 2 3" xfId="2778" xr:uid="{00000000-0005-0000-0000-0000D70A0000}"/>
    <cellStyle name="Komma 2 3 4 2 4" xfId="2779" xr:uid="{00000000-0005-0000-0000-0000D80A0000}"/>
    <cellStyle name="Komma 2 3 4 3" xfId="2780" xr:uid="{00000000-0005-0000-0000-0000D90A0000}"/>
    <cellStyle name="Komma 2 3 4 4" xfId="2781" xr:uid="{00000000-0005-0000-0000-0000DA0A0000}"/>
    <cellStyle name="Komma 2 3 4 5" xfId="2782" xr:uid="{00000000-0005-0000-0000-0000DB0A0000}"/>
    <cellStyle name="Komma 2 3 5" xfId="2783" xr:uid="{00000000-0005-0000-0000-0000DC0A0000}"/>
    <cellStyle name="Komma 2 3 5 2" xfId="2784" xr:uid="{00000000-0005-0000-0000-0000DD0A0000}"/>
    <cellStyle name="Komma 2 3 5 3" xfId="2785" xr:uid="{00000000-0005-0000-0000-0000DE0A0000}"/>
    <cellStyle name="Komma 2 3 5 4" xfId="2786" xr:uid="{00000000-0005-0000-0000-0000DF0A0000}"/>
    <cellStyle name="Komma 2 3 6" xfId="2787" xr:uid="{00000000-0005-0000-0000-0000E00A0000}"/>
    <cellStyle name="Komma 2 3 6 2" xfId="2788" xr:uid="{00000000-0005-0000-0000-0000E10A0000}"/>
    <cellStyle name="Komma 2 3 6 3" xfId="2789" xr:uid="{00000000-0005-0000-0000-0000E20A0000}"/>
    <cellStyle name="Komma 2 3 6 4" xfId="2790" xr:uid="{00000000-0005-0000-0000-0000E30A0000}"/>
    <cellStyle name="Komma 2 3 7" xfId="2791" xr:uid="{00000000-0005-0000-0000-0000E40A0000}"/>
    <cellStyle name="Komma 2 3 8" xfId="2792" xr:uid="{00000000-0005-0000-0000-0000E50A0000}"/>
    <cellStyle name="Komma 2 3 9" xfId="2793" xr:uid="{00000000-0005-0000-0000-0000E60A0000}"/>
    <cellStyle name="Komma 2 4" xfId="2794" xr:uid="{00000000-0005-0000-0000-0000E70A0000}"/>
    <cellStyle name="Komma 2 4 2" xfId="2795" xr:uid="{00000000-0005-0000-0000-0000E80A0000}"/>
    <cellStyle name="Komma 2 4 2 2" xfId="2796" xr:uid="{00000000-0005-0000-0000-0000E90A0000}"/>
    <cellStyle name="Komma 2 4 2 3" xfId="2797" xr:uid="{00000000-0005-0000-0000-0000EA0A0000}"/>
    <cellStyle name="Komma 2 4 2 4" xfId="2798" xr:uid="{00000000-0005-0000-0000-0000EB0A0000}"/>
    <cellStyle name="Komma 2 4 3" xfId="2799" xr:uid="{00000000-0005-0000-0000-0000EC0A0000}"/>
    <cellStyle name="Komma 2 4 4" xfId="2800" xr:uid="{00000000-0005-0000-0000-0000ED0A0000}"/>
    <cellStyle name="Komma 2 4 5" xfId="2801" xr:uid="{00000000-0005-0000-0000-0000EE0A0000}"/>
    <cellStyle name="Komma 2 4 6" xfId="2802" xr:uid="{00000000-0005-0000-0000-0000EF0A0000}"/>
    <cellStyle name="Komma 2 5" xfId="2803" xr:uid="{00000000-0005-0000-0000-0000F00A0000}"/>
    <cellStyle name="Komma 2 5 2" xfId="2804" xr:uid="{00000000-0005-0000-0000-0000F10A0000}"/>
    <cellStyle name="Komma 2 5 2 2" xfId="2805" xr:uid="{00000000-0005-0000-0000-0000F20A0000}"/>
    <cellStyle name="Komma 2 5 2 3" xfId="2806" xr:uid="{00000000-0005-0000-0000-0000F30A0000}"/>
    <cellStyle name="Komma 2 5 2 4" xfId="2807" xr:uid="{00000000-0005-0000-0000-0000F40A0000}"/>
    <cellStyle name="Komma 2 5 3" xfId="2808" xr:uid="{00000000-0005-0000-0000-0000F50A0000}"/>
    <cellStyle name="Komma 2 5 4" xfId="2809" xr:uid="{00000000-0005-0000-0000-0000F60A0000}"/>
    <cellStyle name="Komma 2 5 5" xfId="2810" xr:uid="{00000000-0005-0000-0000-0000F70A0000}"/>
    <cellStyle name="Komma 2 5 6" xfId="2811" xr:uid="{00000000-0005-0000-0000-0000F80A0000}"/>
    <cellStyle name="Komma 2 6" xfId="2812" xr:uid="{00000000-0005-0000-0000-0000F90A0000}"/>
    <cellStyle name="Komma 2 6 2" xfId="2813" xr:uid="{00000000-0005-0000-0000-0000FA0A0000}"/>
    <cellStyle name="Komma 2 6 2 2" xfId="2814" xr:uid="{00000000-0005-0000-0000-0000FB0A0000}"/>
    <cellStyle name="Komma 2 6 2 3" xfId="2815" xr:uid="{00000000-0005-0000-0000-0000FC0A0000}"/>
    <cellStyle name="Komma 2 6 2 4" xfId="2816" xr:uid="{00000000-0005-0000-0000-0000FD0A0000}"/>
    <cellStyle name="Komma 2 6 3" xfId="2817" xr:uid="{00000000-0005-0000-0000-0000FE0A0000}"/>
    <cellStyle name="Komma 2 6 4" xfId="2818" xr:uid="{00000000-0005-0000-0000-0000FF0A0000}"/>
    <cellStyle name="Komma 2 6 5" xfId="2819" xr:uid="{00000000-0005-0000-0000-0000000B0000}"/>
    <cellStyle name="Komma 2 7" xfId="2820" xr:uid="{00000000-0005-0000-0000-0000010B0000}"/>
    <cellStyle name="Komma 2 7 2" xfId="2821" xr:uid="{00000000-0005-0000-0000-0000020B0000}"/>
    <cellStyle name="Komma 2 7 3" xfId="2822" xr:uid="{00000000-0005-0000-0000-0000030B0000}"/>
    <cellStyle name="Komma 2 7 4" xfId="2823" xr:uid="{00000000-0005-0000-0000-0000040B0000}"/>
    <cellStyle name="Komma 2 8" xfId="2824" xr:uid="{00000000-0005-0000-0000-0000050B0000}"/>
    <cellStyle name="Komma 2 8 2" xfId="2825" xr:uid="{00000000-0005-0000-0000-0000060B0000}"/>
    <cellStyle name="Komma 2 8 3" xfId="2826" xr:uid="{00000000-0005-0000-0000-0000070B0000}"/>
    <cellStyle name="Komma 2 8 4" xfId="2827" xr:uid="{00000000-0005-0000-0000-0000080B0000}"/>
    <cellStyle name="Komma 2 9" xfId="2828" xr:uid="{00000000-0005-0000-0000-0000090B0000}"/>
    <cellStyle name="Komma 3" xfId="2829" xr:uid="{00000000-0005-0000-0000-00000A0B0000}"/>
    <cellStyle name="Komma 3 2" xfId="2830" xr:uid="{00000000-0005-0000-0000-00000B0B0000}"/>
    <cellStyle name="Komma 3 3" xfId="2831" xr:uid="{00000000-0005-0000-0000-00000C0B0000}"/>
    <cellStyle name="Komma 3 4" xfId="2832" xr:uid="{00000000-0005-0000-0000-00000D0B0000}"/>
    <cellStyle name="Komma 4" xfId="2833" xr:uid="{00000000-0005-0000-0000-00000E0B0000}"/>
    <cellStyle name="Komma 4 10" xfId="2834" xr:uid="{00000000-0005-0000-0000-00000F0B0000}"/>
    <cellStyle name="Komma 4 11" xfId="2835" xr:uid="{00000000-0005-0000-0000-0000100B0000}"/>
    <cellStyle name="Komma 4 12" xfId="2836" xr:uid="{00000000-0005-0000-0000-0000110B0000}"/>
    <cellStyle name="Komma 4 2" xfId="2837" xr:uid="{00000000-0005-0000-0000-0000120B0000}"/>
    <cellStyle name="Komma 4 2 10" xfId="2838" xr:uid="{00000000-0005-0000-0000-0000130B0000}"/>
    <cellStyle name="Komma 4 2 2" xfId="2839" xr:uid="{00000000-0005-0000-0000-0000140B0000}"/>
    <cellStyle name="Komma 4 2 2 2" xfId="2840" xr:uid="{00000000-0005-0000-0000-0000150B0000}"/>
    <cellStyle name="Komma 4 2 2 2 2" xfId="2841" xr:uid="{00000000-0005-0000-0000-0000160B0000}"/>
    <cellStyle name="Komma 4 2 2 2 2 2" xfId="2842" xr:uid="{00000000-0005-0000-0000-0000170B0000}"/>
    <cellStyle name="Komma 4 2 2 2 2 3" xfId="2843" xr:uid="{00000000-0005-0000-0000-0000180B0000}"/>
    <cellStyle name="Komma 4 2 2 2 2 4" xfId="2844" xr:uid="{00000000-0005-0000-0000-0000190B0000}"/>
    <cellStyle name="Komma 4 2 2 2 3" xfId="2845" xr:uid="{00000000-0005-0000-0000-00001A0B0000}"/>
    <cellStyle name="Komma 4 2 2 2 4" xfId="2846" xr:uid="{00000000-0005-0000-0000-00001B0B0000}"/>
    <cellStyle name="Komma 4 2 2 2 5" xfId="2847" xr:uid="{00000000-0005-0000-0000-00001C0B0000}"/>
    <cellStyle name="Komma 4 2 2 3" xfId="2848" xr:uid="{00000000-0005-0000-0000-00001D0B0000}"/>
    <cellStyle name="Komma 4 2 2 3 2" xfId="2849" xr:uid="{00000000-0005-0000-0000-00001E0B0000}"/>
    <cellStyle name="Komma 4 2 2 3 2 2" xfId="2850" xr:uid="{00000000-0005-0000-0000-00001F0B0000}"/>
    <cellStyle name="Komma 4 2 2 3 2 3" xfId="2851" xr:uid="{00000000-0005-0000-0000-0000200B0000}"/>
    <cellStyle name="Komma 4 2 2 3 2 4" xfId="2852" xr:uid="{00000000-0005-0000-0000-0000210B0000}"/>
    <cellStyle name="Komma 4 2 2 3 3" xfId="2853" xr:uid="{00000000-0005-0000-0000-0000220B0000}"/>
    <cellStyle name="Komma 4 2 2 3 4" xfId="2854" xr:uid="{00000000-0005-0000-0000-0000230B0000}"/>
    <cellStyle name="Komma 4 2 2 3 5" xfId="2855" xr:uid="{00000000-0005-0000-0000-0000240B0000}"/>
    <cellStyle name="Komma 4 2 2 4" xfId="2856" xr:uid="{00000000-0005-0000-0000-0000250B0000}"/>
    <cellStyle name="Komma 4 2 2 4 2" xfId="2857" xr:uid="{00000000-0005-0000-0000-0000260B0000}"/>
    <cellStyle name="Komma 4 2 2 4 2 2" xfId="2858" xr:uid="{00000000-0005-0000-0000-0000270B0000}"/>
    <cellStyle name="Komma 4 2 2 4 2 3" xfId="2859" xr:uid="{00000000-0005-0000-0000-0000280B0000}"/>
    <cellStyle name="Komma 4 2 2 4 2 4" xfId="2860" xr:uid="{00000000-0005-0000-0000-0000290B0000}"/>
    <cellStyle name="Komma 4 2 2 4 3" xfId="2861" xr:uid="{00000000-0005-0000-0000-00002A0B0000}"/>
    <cellStyle name="Komma 4 2 2 4 4" xfId="2862" xr:uid="{00000000-0005-0000-0000-00002B0B0000}"/>
    <cellStyle name="Komma 4 2 2 4 5" xfId="2863" xr:uid="{00000000-0005-0000-0000-00002C0B0000}"/>
    <cellStyle name="Komma 4 2 2 5" xfId="2864" xr:uid="{00000000-0005-0000-0000-00002D0B0000}"/>
    <cellStyle name="Komma 4 2 2 5 2" xfId="2865" xr:uid="{00000000-0005-0000-0000-00002E0B0000}"/>
    <cellStyle name="Komma 4 2 2 5 3" xfId="2866" xr:uid="{00000000-0005-0000-0000-00002F0B0000}"/>
    <cellStyle name="Komma 4 2 2 5 4" xfId="2867" xr:uid="{00000000-0005-0000-0000-0000300B0000}"/>
    <cellStyle name="Komma 4 2 2 6" xfId="2868" xr:uid="{00000000-0005-0000-0000-0000310B0000}"/>
    <cellStyle name="Komma 4 2 2 6 2" xfId="2869" xr:uid="{00000000-0005-0000-0000-0000320B0000}"/>
    <cellStyle name="Komma 4 2 2 6 3" xfId="2870" xr:uid="{00000000-0005-0000-0000-0000330B0000}"/>
    <cellStyle name="Komma 4 2 2 6 4" xfId="2871" xr:uid="{00000000-0005-0000-0000-0000340B0000}"/>
    <cellStyle name="Komma 4 2 2 7" xfId="2872" xr:uid="{00000000-0005-0000-0000-0000350B0000}"/>
    <cellStyle name="Komma 4 2 2 8" xfId="2873" xr:uid="{00000000-0005-0000-0000-0000360B0000}"/>
    <cellStyle name="Komma 4 2 2 9" xfId="2874" xr:uid="{00000000-0005-0000-0000-0000370B0000}"/>
    <cellStyle name="Komma 4 2 3" xfId="2875" xr:uid="{00000000-0005-0000-0000-0000380B0000}"/>
    <cellStyle name="Komma 4 2 3 2" xfId="2876" xr:uid="{00000000-0005-0000-0000-0000390B0000}"/>
    <cellStyle name="Komma 4 2 3 2 2" xfId="2877" xr:uid="{00000000-0005-0000-0000-00003A0B0000}"/>
    <cellStyle name="Komma 4 2 3 2 3" xfId="2878" xr:uid="{00000000-0005-0000-0000-00003B0B0000}"/>
    <cellStyle name="Komma 4 2 3 2 4" xfId="2879" xr:uid="{00000000-0005-0000-0000-00003C0B0000}"/>
    <cellStyle name="Komma 4 2 3 3" xfId="2880" xr:uid="{00000000-0005-0000-0000-00003D0B0000}"/>
    <cellStyle name="Komma 4 2 3 4" xfId="2881" xr:uid="{00000000-0005-0000-0000-00003E0B0000}"/>
    <cellStyle name="Komma 4 2 3 5" xfId="2882" xr:uid="{00000000-0005-0000-0000-00003F0B0000}"/>
    <cellStyle name="Komma 4 2 4" xfId="2883" xr:uid="{00000000-0005-0000-0000-0000400B0000}"/>
    <cellStyle name="Komma 4 2 4 2" xfId="2884" xr:uid="{00000000-0005-0000-0000-0000410B0000}"/>
    <cellStyle name="Komma 4 2 4 2 2" xfId="2885" xr:uid="{00000000-0005-0000-0000-0000420B0000}"/>
    <cellStyle name="Komma 4 2 4 2 3" xfId="2886" xr:uid="{00000000-0005-0000-0000-0000430B0000}"/>
    <cellStyle name="Komma 4 2 4 2 4" xfId="2887" xr:uid="{00000000-0005-0000-0000-0000440B0000}"/>
    <cellStyle name="Komma 4 2 4 3" xfId="2888" xr:uid="{00000000-0005-0000-0000-0000450B0000}"/>
    <cellStyle name="Komma 4 2 4 4" xfId="2889" xr:uid="{00000000-0005-0000-0000-0000460B0000}"/>
    <cellStyle name="Komma 4 2 4 5" xfId="2890" xr:uid="{00000000-0005-0000-0000-0000470B0000}"/>
    <cellStyle name="Komma 4 2 5" xfId="2891" xr:uid="{00000000-0005-0000-0000-0000480B0000}"/>
    <cellStyle name="Komma 4 2 5 2" xfId="2892" xr:uid="{00000000-0005-0000-0000-0000490B0000}"/>
    <cellStyle name="Komma 4 2 5 2 2" xfId="2893" xr:uid="{00000000-0005-0000-0000-00004A0B0000}"/>
    <cellStyle name="Komma 4 2 5 2 3" xfId="2894" xr:uid="{00000000-0005-0000-0000-00004B0B0000}"/>
    <cellStyle name="Komma 4 2 5 2 4" xfId="2895" xr:uid="{00000000-0005-0000-0000-00004C0B0000}"/>
    <cellStyle name="Komma 4 2 5 3" xfId="2896" xr:uid="{00000000-0005-0000-0000-00004D0B0000}"/>
    <cellStyle name="Komma 4 2 5 4" xfId="2897" xr:uid="{00000000-0005-0000-0000-00004E0B0000}"/>
    <cellStyle name="Komma 4 2 5 5" xfId="2898" xr:uid="{00000000-0005-0000-0000-00004F0B0000}"/>
    <cellStyle name="Komma 4 2 6" xfId="2899" xr:uid="{00000000-0005-0000-0000-0000500B0000}"/>
    <cellStyle name="Komma 4 2 6 2" xfId="2900" xr:uid="{00000000-0005-0000-0000-0000510B0000}"/>
    <cellStyle name="Komma 4 2 6 3" xfId="2901" xr:uid="{00000000-0005-0000-0000-0000520B0000}"/>
    <cellStyle name="Komma 4 2 6 4" xfId="2902" xr:uid="{00000000-0005-0000-0000-0000530B0000}"/>
    <cellStyle name="Komma 4 2 7" xfId="2903" xr:uid="{00000000-0005-0000-0000-0000540B0000}"/>
    <cellStyle name="Komma 4 2 7 2" xfId="2904" xr:uid="{00000000-0005-0000-0000-0000550B0000}"/>
    <cellStyle name="Komma 4 2 7 3" xfId="2905" xr:uid="{00000000-0005-0000-0000-0000560B0000}"/>
    <cellStyle name="Komma 4 2 7 4" xfId="2906" xr:uid="{00000000-0005-0000-0000-0000570B0000}"/>
    <cellStyle name="Komma 4 2 8" xfId="2907" xr:uid="{00000000-0005-0000-0000-0000580B0000}"/>
    <cellStyle name="Komma 4 2 9" xfId="2908" xr:uid="{00000000-0005-0000-0000-0000590B0000}"/>
    <cellStyle name="Komma 4 3" xfId="2909" xr:uid="{00000000-0005-0000-0000-00005A0B0000}"/>
    <cellStyle name="Komma 4 3 2" xfId="2910" xr:uid="{00000000-0005-0000-0000-00005B0B0000}"/>
    <cellStyle name="Komma 4 3 2 2" xfId="2911" xr:uid="{00000000-0005-0000-0000-00005C0B0000}"/>
    <cellStyle name="Komma 4 3 2 2 2" xfId="2912" xr:uid="{00000000-0005-0000-0000-00005D0B0000}"/>
    <cellStyle name="Komma 4 3 2 2 3" xfId="2913" xr:uid="{00000000-0005-0000-0000-00005E0B0000}"/>
    <cellStyle name="Komma 4 3 2 2 4" xfId="2914" xr:uid="{00000000-0005-0000-0000-00005F0B0000}"/>
    <cellStyle name="Komma 4 3 2 3" xfId="2915" xr:uid="{00000000-0005-0000-0000-0000600B0000}"/>
    <cellStyle name="Komma 4 3 2 4" xfId="2916" xr:uid="{00000000-0005-0000-0000-0000610B0000}"/>
    <cellStyle name="Komma 4 3 2 5" xfId="2917" xr:uid="{00000000-0005-0000-0000-0000620B0000}"/>
    <cellStyle name="Komma 4 3 3" xfId="2918" xr:uid="{00000000-0005-0000-0000-0000630B0000}"/>
    <cellStyle name="Komma 4 3 3 2" xfId="2919" xr:uid="{00000000-0005-0000-0000-0000640B0000}"/>
    <cellStyle name="Komma 4 3 3 2 2" xfId="2920" xr:uid="{00000000-0005-0000-0000-0000650B0000}"/>
    <cellStyle name="Komma 4 3 3 2 3" xfId="2921" xr:uid="{00000000-0005-0000-0000-0000660B0000}"/>
    <cellStyle name="Komma 4 3 3 2 4" xfId="2922" xr:uid="{00000000-0005-0000-0000-0000670B0000}"/>
    <cellStyle name="Komma 4 3 3 3" xfId="2923" xr:uid="{00000000-0005-0000-0000-0000680B0000}"/>
    <cellStyle name="Komma 4 3 3 4" xfId="2924" xr:uid="{00000000-0005-0000-0000-0000690B0000}"/>
    <cellStyle name="Komma 4 3 3 5" xfId="2925" xr:uid="{00000000-0005-0000-0000-00006A0B0000}"/>
    <cellStyle name="Komma 4 3 4" xfId="2926" xr:uid="{00000000-0005-0000-0000-00006B0B0000}"/>
    <cellStyle name="Komma 4 3 4 2" xfId="2927" xr:uid="{00000000-0005-0000-0000-00006C0B0000}"/>
    <cellStyle name="Komma 4 3 4 2 2" xfId="2928" xr:uid="{00000000-0005-0000-0000-00006D0B0000}"/>
    <cellStyle name="Komma 4 3 4 2 3" xfId="2929" xr:uid="{00000000-0005-0000-0000-00006E0B0000}"/>
    <cellStyle name="Komma 4 3 4 2 4" xfId="2930" xr:uid="{00000000-0005-0000-0000-00006F0B0000}"/>
    <cellStyle name="Komma 4 3 4 3" xfId="2931" xr:uid="{00000000-0005-0000-0000-0000700B0000}"/>
    <cellStyle name="Komma 4 3 4 4" xfId="2932" xr:uid="{00000000-0005-0000-0000-0000710B0000}"/>
    <cellStyle name="Komma 4 3 4 5" xfId="2933" xr:uid="{00000000-0005-0000-0000-0000720B0000}"/>
    <cellStyle name="Komma 4 3 5" xfId="2934" xr:uid="{00000000-0005-0000-0000-0000730B0000}"/>
    <cellStyle name="Komma 4 3 5 2" xfId="2935" xr:uid="{00000000-0005-0000-0000-0000740B0000}"/>
    <cellStyle name="Komma 4 3 5 3" xfId="2936" xr:uid="{00000000-0005-0000-0000-0000750B0000}"/>
    <cellStyle name="Komma 4 3 5 4" xfId="2937" xr:uid="{00000000-0005-0000-0000-0000760B0000}"/>
    <cellStyle name="Komma 4 3 6" xfId="2938" xr:uid="{00000000-0005-0000-0000-0000770B0000}"/>
    <cellStyle name="Komma 4 3 6 2" xfId="2939" xr:uid="{00000000-0005-0000-0000-0000780B0000}"/>
    <cellStyle name="Komma 4 3 6 3" xfId="2940" xr:uid="{00000000-0005-0000-0000-0000790B0000}"/>
    <cellStyle name="Komma 4 3 6 4" xfId="2941" xr:uid="{00000000-0005-0000-0000-00007A0B0000}"/>
    <cellStyle name="Komma 4 3 7" xfId="2942" xr:uid="{00000000-0005-0000-0000-00007B0B0000}"/>
    <cellStyle name="Komma 4 3 8" xfId="2943" xr:uid="{00000000-0005-0000-0000-00007C0B0000}"/>
    <cellStyle name="Komma 4 3 9" xfId="2944" xr:uid="{00000000-0005-0000-0000-00007D0B0000}"/>
    <cellStyle name="Komma 4 4" xfId="2945" xr:uid="{00000000-0005-0000-0000-00007E0B0000}"/>
    <cellStyle name="Komma 4 4 2" xfId="2946" xr:uid="{00000000-0005-0000-0000-00007F0B0000}"/>
    <cellStyle name="Komma 4 4 2 2" xfId="2947" xr:uid="{00000000-0005-0000-0000-0000800B0000}"/>
    <cellStyle name="Komma 4 4 2 3" xfId="2948" xr:uid="{00000000-0005-0000-0000-0000810B0000}"/>
    <cellStyle name="Komma 4 4 2 4" xfId="2949" xr:uid="{00000000-0005-0000-0000-0000820B0000}"/>
    <cellStyle name="Komma 4 4 3" xfId="2950" xr:uid="{00000000-0005-0000-0000-0000830B0000}"/>
    <cellStyle name="Komma 4 4 4" xfId="2951" xr:uid="{00000000-0005-0000-0000-0000840B0000}"/>
    <cellStyle name="Komma 4 4 5" xfId="2952" xr:uid="{00000000-0005-0000-0000-0000850B0000}"/>
    <cellStyle name="Komma 4 5" xfId="2953" xr:uid="{00000000-0005-0000-0000-0000860B0000}"/>
    <cellStyle name="Komma 4 5 2" xfId="2954" xr:uid="{00000000-0005-0000-0000-0000870B0000}"/>
    <cellStyle name="Komma 4 5 2 2" xfId="2955" xr:uid="{00000000-0005-0000-0000-0000880B0000}"/>
    <cellStyle name="Komma 4 5 2 3" xfId="2956" xr:uid="{00000000-0005-0000-0000-0000890B0000}"/>
    <cellStyle name="Komma 4 5 2 4" xfId="2957" xr:uid="{00000000-0005-0000-0000-00008A0B0000}"/>
    <cellStyle name="Komma 4 5 3" xfId="2958" xr:uid="{00000000-0005-0000-0000-00008B0B0000}"/>
    <cellStyle name="Komma 4 5 4" xfId="2959" xr:uid="{00000000-0005-0000-0000-00008C0B0000}"/>
    <cellStyle name="Komma 4 5 5" xfId="2960" xr:uid="{00000000-0005-0000-0000-00008D0B0000}"/>
    <cellStyle name="Komma 4 6" xfId="2961" xr:uid="{00000000-0005-0000-0000-00008E0B0000}"/>
    <cellStyle name="Komma 4 6 2" xfId="2962" xr:uid="{00000000-0005-0000-0000-00008F0B0000}"/>
    <cellStyle name="Komma 4 6 2 2" xfId="2963" xr:uid="{00000000-0005-0000-0000-0000900B0000}"/>
    <cellStyle name="Komma 4 6 2 3" xfId="2964" xr:uid="{00000000-0005-0000-0000-0000910B0000}"/>
    <cellStyle name="Komma 4 6 2 4" xfId="2965" xr:uid="{00000000-0005-0000-0000-0000920B0000}"/>
    <cellStyle name="Komma 4 6 3" xfId="2966" xr:uid="{00000000-0005-0000-0000-0000930B0000}"/>
    <cellStyle name="Komma 4 6 4" xfId="2967" xr:uid="{00000000-0005-0000-0000-0000940B0000}"/>
    <cellStyle name="Komma 4 6 5" xfId="2968" xr:uid="{00000000-0005-0000-0000-0000950B0000}"/>
    <cellStyle name="Komma 4 7" xfId="2969" xr:uid="{00000000-0005-0000-0000-0000960B0000}"/>
    <cellStyle name="Komma 4 7 2" xfId="2970" xr:uid="{00000000-0005-0000-0000-0000970B0000}"/>
    <cellStyle name="Komma 4 7 3" xfId="2971" xr:uid="{00000000-0005-0000-0000-0000980B0000}"/>
    <cellStyle name="Komma 4 7 4" xfId="2972" xr:uid="{00000000-0005-0000-0000-0000990B0000}"/>
    <cellStyle name="Komma 4 8" xfId="2973" xr:uid="{00000000-0005-0000-0000-00009A0B0000}"/>
    <cellStyle name="Komma 4 8 2" xfId="2974" xr:uid="{00000000-0005-0000-0000-00009B0B0000}"/>
    <cellStyle name="Komma 4 8 3" xfId="2975" xr:uid="{00000000-0005-0000-0000-00009C0B0000}"/>
    <cellStyle name="Komma 4 8 4" xfId="2976" xr:uid="{00000000-0005-0000-0000-00009D0B0000}"/>
    <cellStyle name="Komma 4 9" xfId="2977" xr:uid="{00000000-0005-0000-0000-00009E0B0000}"/>
    <cellStyle name="Komma 5" xfId="2978" xr:uid="{00000000-0005-0000-0000-00009F0B0000}"/>
    <cellStyle name="Komma 5 10" xfId="2979" xr:uid="{00000000-0005-0000-0000-0000A00B0000}"/>
    <cellStyle name="Komma 5 11" xfId="2980" xr:uid="{00000000-0005-0000-0000-0000A10B0000}"/>
    <cellStyle name="Komma 5 2" xfId="2981" xr:uid="{00000000-0005-0000-0000-0000A20B0000}"/>
    <cellStyle name="Komma 5 2 10" xfId="2982" xr:uid="{00000000-0005-0000-0000-0000A30B0000}"/>
    <cellStyle name="Komma 5 2 2" xfId="2983" xr:uid="{00000000-0005-0000-0000-0000A40B0000}"/>
    <cellStyle name="Komma 5 2 2 2" xfId="2984" xr:uid="{00000000-0005-0000-0000-0000A50B0000}"/>
    <cellStyle name="Komma 5 2 2 2 2" xfId="2985" xr:uid="{00000000-0005-0000-0000-0000A60B0000}"/>
    <cellStyle name="Komma 5 2 2 2 2 2" xfId="2986" xr:uid="{00000000-0005-0000-0000-0000A70B0000}"/>
    <cellStyle name="Komma 5 2 2 2 2 3" xfId="2987" xr:uid="{00000000-0005-0000-0000-0000A80B0000}"/>
    <cellStyle name="Komma 5 2 2 2 2 4" xfId="2988" xr:uid="{00000000-0005-0000-0000-0000A90B0000}"/>
    <cellStyle name="Komma 5 2 2 2 3" xfId="2989" xr:uid="{00000000-0005-0000-0000-0000AA0B0000}"/>
    <cellStyle name="Komma 5 2 2 2 4" xfId="2990" xr:uid="{00000000-0005-0000-0000-0000AB0B0000}"/>
    <cellStyle name="Komma 5 2 2 2 5" xfId="2991" xr:uid="{00000000-0005-0000-0000-0000AC0B0000}"/>
    <cellStyle name="Komma 5 2 2 3" xfId="2992" xr:uid="{00000000-0005-0000-0000-0000AD0B0000}"/>
    <cellStyle name="Komma 5 2 2 3 2" xfId="2993" xr:uid="{00000000-0005-0000-0000-0000AE0B0000}"/>
    <cellStyle name="Komma 5 2 2 3 2 2" xfId="2994" xr:uid="{00000000-0005-0000-0000-0000AF0B0000}"/>
    <cellStyle name="Komma 5 2 2 3 2 3" xfId="2995" xr:uid="{00000000-0005-0000-0000-0000B00B0000}"/>
    <cellStyle name="Komma 5 2 2 3 2 4" xfId="2996" xr:uid="{00000000-0005-0000-0000-0000B10B0000}"/>
    <cellStyle name="Komma 5 2 2 3 3" xfId="2997" xr:uid="{00000000-0005-0000-0000-0000B20B0000}"/>
    <cellStyle name="Komma 5 2 2 3 4" xfId="2998" xr:uid="{00000000-0005-0000-0000-0000B30B0000}"/>
    <cellStyle name="Komma 5 2 2 3 5" xfId="2999" xr:uid="{00000000-0005-0000-0000-0000B40B0000}"/>
    <cellStyle name="Komma 5 2 2 4" xfId="3000" xr:uid="{00000000-0005-0000-0000-0000B50B0000}"/>
    <cellStyle name="Komma 5 2 2 4 2" xfId="3001" xr:uid="{00000000-0005-0000-0000-0000B60B0000}"/>
    <cellStyle name="Komma 5 2 2 4 2 2" xfId="3002" xr:uid="{00000000-0005-0000-0000-0000B70B0000}"/>
    <cellStyle name="Komma 5 2 2 4 2 3" xfId="3003" xr:uid="{00000000-0005-0000-0000-0000B80B0000}"/>
    <cellStyle name="Komma 5 2 2 4 2 4" xfId="3004" xr:uid="{00000000-0005-0000-0000-0000B90B0000}"/>
    <cellStyle name="Komma 5 2 2 4 3" xfId="3005" xr:uid="{00000000-0005-0000-0000-0000BA0B0000}"/>
    <cellStyle name="Komma 5 2 2 4 4" xfId="3006" xr:uid="{00000000-0005-0000-0000-0000BB0B0000}"/>
    <cellStyle name="Komma 5 2 2 4 5" xfId="3007" xr:uid="{00000000-0005-0000-0000-0000BC0B0000}"/>
    <cellStyle name="Komma 5 2 2 5" xfId="3008" xr:uid="{00000000-0005-0000-0000-0000BD0B0000}"/>
    <cellStyle name="Komma 5 2 2 5 2" xfId="3009" xr:uid="{00000000-0005-0000-0000-0000BE0B0000}"/>
    <cellStyle name="Komma 5 2 2 5 3" xfId="3010" xr:uid="{00000000-0005-0000-0000-0000BF0B0000}"/>
    <cellStyle name="Komma 5 2 2 5 4" xfId="3011" xr:uid="{00000000-0005-0000-0000-0000C00B0000}"/>
    <cellStyle name="Komma 5 2 2 6" xfId="3012" xr:uid="{00000000-0005-0000-0000-0000C10B0000}"/>
    <cellStyle name="Komma 5 2 2 6 2" xfId="3013" xr:uid="{00000000-0005-0000-0000-0000C20B0000}"/>
    <cellStyle name="Komma 5 2 2 6 3" xfId="3014" xr:uid="{00000000-0005-0000-0000-0000C30B0000}"/>
    <cellStyle name="Komma 5 2 2 6 4" xfId="3015" xr:uid="{00000000-0005-0000-0000-0000C40B0000}"/>
    <cellStyle name="Komma 5 2 2 7" xfId="3016" xr:uid="{00000000-0005-0000-0000-0000C50B0000}"/>
    <cellStyle name="Komma 5 2 2 8" xfId="3017" xr:uid="{00000000-0005-0000-0000-0000C60B0000}"/>
    <cellStyle name="Komma 5 2 2 9" xfId="3018" xr:uid="{00000000-0005-0000-0000-0000C70B0000}"/>
    <cellStyle name="Komma 5 2 3" xfId="3019" xr:uid="{00000000-0005-0000-0000-0000C80B0000}"/>
    <cellStyle name="Komma 5 2 3 2" xfId="3020" xr:uid="{00000000-0005-0000-0000-0000C90B0000}"/>
    <cellStyle name="Komma 5 2 3 2 2" xfId="3021" xr:uid="{00000000-0005-0000-0000-0000CA0B0000}"/>
    <cellStyle name="Komma 5 2 3 2 3" xfId="3022" xr:uid="{00000000-0005-0000-0000-0000CB0B0000}"/>
    <cellStyle name="Komma 5 2 3 2 4" xfId="3023" xr:uid="{00000000-0005-0000-0000-0000CC0B0000}"/>
    <cellStyle name="Komma 5 2 3 3" xfId="3024" xr:uid="{00000000-0005-0000-0000-0000CD0B0000}"/>
    <cellStyle name="Komma 5 2 3 4" xfId="3025" xr:uid="{00000000-0005-0000-0000-0000CE0B0000}"/>
    <cellStyle name="Komma 5 2 3 5" xfId="3026" xr:uid="{00000000-0005-0000-0000-0000CF0B0000}"/>
    <cellStyle name="Komma 5 2 4" xfId="3027" xr:uid="{00000000-0005-0000-0000-0000D00B0000}"/>
    <cellStyle name="Komma 5 2 4 2" xfId="3028" xr:uid="{00000000-0005-0000-0000-0000D10B0000}"/>
    <cellStyle name="Komma 5 2 4 2 2" xfId="3029" xr:uid="{00000000-0005-0000-0000-0000D20B0000}"/>
    <cellStyle name="Komma 5 2 4 2 3" xfId="3030" xr:uid="{00000000-0005-0000-0000-0000D30B0000}"/>
    <cellStyle name="Komma 5 2 4 2 4" xfId="3031" xr:uid="{00000000-0005-0000-0000-0000D40B0000}"/>
    <cellStyle name="Komma 5 2 4 3" xfId="3032" xr:uid="{00000000-0005-0000-0000-0000D50B0000}"/>
    <cellStyle name="Komma 5 2 4 4" xfId="3033" xr:uid="{00000000-0005-0000-0000-0000D60B0000}"/>
    <cellStyle name="Komma 5 2 4 5" xfId="3034" xr:uid="{00000000-0005-0000-0000-0000D70B0000}"/>
    <cellStyle name="Komma 5 2 5" xfId="3035" xr:uid="{00000000-0005-0000-0000-0000D80B0000}"/>
    <cellStyle name="Komma 5 2 5 2" xfId="3036" xr:uid="{00000000-0005-0000-0000-0000D90B0000}"/>
    <cellStyle name="Komma 5 2 5 2 2" xfId="3037" xr:uid="{00000000-0005-0000-0000-0000DA0B0000}"/>
    <cellStyle name="Komma 5 2 5 2 3" xfId="3038" xr:uid="{00000000-0005-0000-0000-0000DB0B0000}"/>
    <cellStyle name="Komma 5 2 5 2 4" xfId="3039" xr:uid="{00000000-0005-0000-0000-0000DC0B0000}"/>
    <cellStyle name="Komma 5 2 5 3" xfId="3040" xr:uid="{00000000-0005-0000-0000-0000DD0B0000}"/>
    <cellStyle name="Komma 5 2 5 4" xfId="3041" xr:uid="{00000000-0005-0000-0000-0000DE0B0000}"/>
    <cellStyle name="Komma 5 2 5 5" xfId="3042" xr:uid="{00000000-0005-0000-0000-0000DF0B0000}"/>
    <cellStyle name="Komma 5 2 6" xfId="3043" xr:uid="{00000000-0005-0000-0000-0000E00B0000}"/>
    <cellStyle name="Komma 5 2 6 2" xfId="3044" xr:uid="{00000000-0005-0000-0000-0000E10B0000}"/>
    <cellStyle name="Komma 5 2 6 3" xfId="3045" xr:uid="{00000000-0005-0000-0000-0000E20B0000}"/>
    <cellStyle name="Komma 5 2 6 4" xfId="3046" xr:uid="{00000000-0005-0000-0000-0000E30B0000}"/>
    <cellStyle name="Komma 5 2 7" xfId="3047" xr:uid="{00000000-0005-0000-0000-0000E40B0000}"/>
    <cellStyle name="Komma 5 2 7 2" xfId="3048" xr:uid="{00000000-0005-0000-0000-0000E50B0000}"/>
    <cellStyle name="Komma 5 2 7 3" xfId="3049" xr:uid="{00000000-0005-0000-0000-0000E60B0000}"/>
    <cellStyle name="Komma 5 2 7 4" xfId="3050" xr:uid="{00000000-0005-0000-0000-0000E70B0000}"/>
    <cellStyle name="Komma 5 2 8" xfId="3051" xr:uid="{00000000-0005-0000-0000-0000E80B0000}"/>
    <cellStyle name="Komma 5 2 9" xfId="3052" xr:uid="{00000000-0005-0000-0000-0000E90B0000}"/>
    <cellStyle name="Komma 5 3" xfId="3053" xr:uid="{00000000-0005-0000-0000-0000EA0B0000}"/>
    <cellStyle name="Komma 5 3 2" xfId="3054" xr:uid="{00000000-0005-0000-0000-0000EB0B0000}"/>
    <cellStyle name="Komma 5 3 2 2" xfId="3055" xr:uid="{00000000-0005-0000-0000-0000EC0B0000}"/>
    <cellStyle name="Komma 5 3 2 2 2" xfId="3056" xr:uid="{00000000-0005-0000-0000-0000ED0B0000}"/>
    <cellStyle name="Komma 5 3 2 2 3" xfId="3057" xr:uid="{00000000-0005-0000-0000-0000EE0B0000}"/>
    <cellStyle name="Komma 5 3 2 2 4" xfId="3058" xr:uid="{00000000-0005-0000-0000-0000EF0B0000}"/>
    <cellStyle name="Komma 5 3 2 3" xfId="3059" xr:uid="{00000000-0005-0000-0000-0000F00B0000}"/>
    <cellStyle name="Komma 5 3 2 4" xfId="3060" xr:uid="{00000000-0005-0000-0000-0000F10B0000}"/>
    <cellStyle name="Komma 5 3 2 5" xfId="3061" xr:uid="{00000000-0005-0000-0000-0000F20B0000}"/>
    <cellStyle name="Komma 5 3 3" xfId="3062" xr:uid="{00000000-0005-0000-0000-0000F30B0000}"/>
    <cellStyle name="Komma 5 3 3 2" xfId="3063" xr:uid="{00000000-0005-0000-0000-0000F40B0000}"/>
    <cellStyle name="Komma 5 3 3 2 2" xfId="3064" xr:uid="{00000000-0005-0000-0000-0000F50B0000}"/>
    <cellStyle name="Komma 5 3 3 2 3" xfId="3065" xr:uid="{00000000-0005-0000-0000-0000F60B0000}"/>
    <cellStyle name="Komma 5 3 3 2 4" xfId="3066" xr:uid="{00000000-0005-0000-0000-0000F70B0000}"/>
    <cellStyle name="Komma 5 3 3 3" xfId="3067" xr:uid="{00000000-0005-0000-0000-0000F80B0000}"/>
    <cellStyle name="Komma 5 3 3 4" xfId="3068" xr:uid="{00000000-0005-0000-0000-0000F90B0000}"/>
    <cellStyle name="Komma 5 3 3 5" xfId="3069" xr:uid="{00000000-0005-0000-0000-0000FA0B0000}"/>
    <cellStyle name="Komma 5 3 4" xfId="3070" xr:uid="{00000000-0005-0000-0000-0000FB0B0000}"/>
    <cellStyle name="Komma 5 3 4 2" xfId="3071" xr:uid="{00000000-0005-0000-0000-0000FC0B0000}"/>
    <cellStyle name="Komma 5 3 4 2 2" xfId="3072" xr:uid="{00000000-0005-0000-0000-0000FD0B0000}"/>
    <cellStyle name="Komma 5 3 4 2 3" xfId="3073" xr:uid="{00000000-0005-0000-0000-0000FE0B0000}"/>
    <cellStyle name="Komma 5 3 4 2 4" xfId="3074" xr:uid="{00000000-0005-0000-0000-0000FF0B0000}"/>
    <cellStyle name="Komma 5 3 4 3" xfId="3075" xr:uid="{00000000-0005-0000-0000-0000000C0000}"/>
    <cellStyle name="Komma 5 3 4 4" xfId="3076" xr:uid="{00000000-0005-0000-0000-0000010C0000}"/>
    <cellStyle name="Komma 5 3 4 5" xfId="3077" xr:uid="{00000000-0005-0000-0000-0000020C0000}"/>
    <cellStyle name="Komma 5 3 5" xfId="3078" xr:uid="{00000000-0005-0000-0000-0000030C0000}"/>
    <cellStyle name="Komma 5 3 5 2" xfId="3079" xr:uid="{00000000-0005-0000-0000-0000040C0000}"/>
    <cellStyle name="Komma 5 3 5 3" xfId="3080" xr:uid="{00000000-0005-0000-0000-0000050C0000}"/>
    <cellStyle name="Komma 5 3 5 4" xfId="3081" xr:uid="{00000000-0005-0000-0000-0000060C0000}"/>
    <cellStyle name="Komma 5 3 6" xfId="3082" xr:uid="{00000000-0005-0000-0000-0000070C0000}"/>
    <cellStyle name="Komma 5 3 6 2" xfId="3083" xr:uid="{00000000-0005-0000-0000-0000080C0000}"/>
    <cellStyle name="Komma 5 3 6 3" xfId="3084" xr:uid="{00000000-0005-0000-0000-0000090C0000}"/>
    <cellStyle name="Komma 5 3 6 4" xfId="3085" xr:uid="{00000000-0005-0000-0000-00000A0C0000}"/>
    <cellStyle name="Komma 5 3 7" xfId="3086" xr:uid="{00000000-0005-0000-0000-00000B0C0000}"/>
    <cellStyle name="Komma 5 3 8" xfId="3087" xr:uid="{00000000-0005-0000-0000-00000C0C0000}"/>
    <cellStyle name="Komma 5 3 9" xfId="3088" xr:uid="{00000000-0005-0000-0000-00000D0C0000}"/>
    <cellStyle name="Komma 5 4" xfId="3089" xr:uid="{00000000-0005-0000-0000-00000E0C0000}"/>
    <cellStyle name="Komma 5 4 2" xfId="3090" xr:uid="{00000000-0005-0000-0000-00000F0C0000}"/>
    <cellStyle name="Komma 5 4 2 2" xfId="3091" xr:uid="{00000000-0005-0000-0000-0000100C0000}"/>
    <cellStyle name="Komma 5 4 2 3" xfId="3092" xr:uid="{00000000-0005-0000-0000-0000110C0000}"/>
    <cellStyle name="Komma 5 4 2 4" xfId="3093" xr:uid="{00000000-0005-0000-0000-0000120C0000}"/>
    <cellStyle name="Komma 5 4 3" xfId="3094" xr:uid="{00000000-0005-0000-0000-0000130C0000}"/>
    <cellStyle name="Komma 5 4 4" xfId="3095" xr:uid="{00000000-0005-0000-0000-0000140C0000}"/>
    <cellStyle name="Komma 5 4 5" xfId="3096" xr:uid="{00000000-0005-0000-0000-0000150C0000}"/>
    <cellStyle name="Komma 5 5" xfId="3097" xr:uid="{00000000-0005-0000-0000-0000160C0000}"/>
    <cellStyle name="Komma 5 5 2" xfId="3098" xr:uid="{00000000-0005-0000-0000-0000170C0000}"/>
    <cellStyle name="Komma 5 5 2 2" xfId="3099" xr:uid="{00000000-0005-0000-0000-0000180C0000}"/>
    <cellStyle name="Komma 5 5 2 3" xfId="3100" xr:uid="{00000000-0005-0000-0000-0000190C0000}"/>
    <cellStyle name="Komma 5 5 2 4" xfId="3101" xr:uid="{00000000-0005-0000-0000-00001A0C0000}"/>
    <cellStyle name="Komma 5 5 3" xfId="3102" xr:uid="{00000000-0005-0000-0000-00001B0C0000}"/>
    <cellStyle name="Komma 5 5 4" xfId="3103" xr:uid="{00000000-0005-0000-0000-00001C0C0000}"/>
    <cellStyle name="Komma 5 5 5" xfId="3104" xr:uid="{00000000-0005-0000-0000-00001D0C0000}"/>
    <cellStyle name="Komma 5 6" xfId="3105" xr:uid="{00000000-0005-0000-0000-00001E0C0000}"/>
    <cellStyle name="Komma 5 6 2" xfId="3106" xr:uid="{00000000-0005-0000-0000-00001F0C0000}"/>
    <cellStyle name="Komma 5 6 2 2" xfId="3107" xr:uid="{00000000-0005-0000-0000-0000200C0000}"/>
    <cellStyle name="Komma 5 6 2 3" xfId="3108" xr:uid="{00000000-0005-0000-0000-0000210C0000}"/>
    <cellStyle name="Komma 5 6 2 4" xfId="3109" xr:uid="{00000000-0005-0000-0000-0000220C0000}"/>
    <cellStyle name="Komma 5 6 3" xfId="3110" xr:uid="{00000000-0005-0000-0000-0000230C0000}"/>
    <cellStyle name="Komma 5 6 4" xfId="3111" xr:uid="{00000000-0005-0000-0000-0000240C0000}"/>
    <cellStyle name="Komma 5 6 5" xfId="3112" xr:uid="{00000000-0005-0000-0000-0000250C0000}"/>
    <cellStyle name="Komma 5 7" xfId="3113" xr:uid="{00000000-0005-0000-0000-0000260C0000}"/>
    <cellStyle name="Komma 5 7 2" xfId="3114" xr:uid="{00000000-0005-0000-0000-0000270C0000}"/>
    <cellStyle name="Komma 5 7 3" xfId="3115" xr:uid="{00000000-0005-0000-0000-0000280C0000}"/>
    <cellStyle name="Komma 5 7 4" xfId="3116" xr:uid="{00000000-0005-0000-0000-0000290C0000}"/>
    <cellStyle name="Komma 5 8" xfId="3117" xr:uid="{00000000-0005-0000-0000-00002A0C0000}"/>
    <cellStyle name="Komma 5 8 2" xfId="3118" xr:uid="{00000000-0005-0000-0000-00002B0C0000}"/>
    <cellStyle name="Komma 5 8 3" xfId="3119" xr:uid="{00000000-0005-0000-0000-00002C0C0000}"/>
    <cellStyle name="Komma 5 8 4" xfId="3120" xr:uid="{00000000-0005-0000-0000-00002D0C0000}"/>
    <cellStyle name="Komma 5 9" xfId="3121" xr:uid="{00000000-0005-0000-0000-00002E0C0000}"/>
    <cellStyle name="Kontroller celle" xfId="3122" xr:uid="{00000000-0005-0000-0000-00002F0C0000}"/>
    <cellStyle name="Link 2" xfId="3123" xr:uid="{00000000-0005-0000-0000-0000300C0000}"/>
    <cellStyle name="Link 3" xfId="3124" xr:uid="{00000000-0005-0000-0000-0000310C0000}"/>
    <cellStyle name="Markeringsfarve1" xfId="3125" xr:uid="{00000000-0005-0000-0000-0000320C0000}"/>
    <cellStyle name="Markeringsfarve2" xfId="3126" xr:uid="{00000000-0005-0000-0000-0000330C0000}"/>
    <cellStyle name="Markeringsfarve3" xfId="3127" xr:uid="{00000000-0005-0000-0000-0000340C0000}"/>
    <cellStyle name="Markeringsfarve4" xfId="3128" xr:uid="{00000000-0005-0000-0000-0000350C0000}"/>
    <cellStyle name="Markeringsfarve5" xfId="3129" xr:uid="{00000000-0005-0000-0000-0000360C0000}"/>
    <cellStyle name="Markeringsfarve6" xfId="3130" xr:uid="{00000000-0005-0000-0000-0000370C0000}"/>
    <cellStyle name="Migliaia [0] 10" xfId="3131" xr:uid="{00000000-0005-0000-0000-0000380C0000}"/>
    <cellStyle name="Migliaia [0] 10 2" xfId="3132" xr:uid="{00000000-0005-0000-0000-0000390C0000}"/>
    <cellStyle name="Migliaia [0] 10 2 2" xfId="3133" xr:uid="{00000000-0005-0000-0000-00003A0C0000}"/>
    <cellStyle name="Migliaia [0] 10 2 2 2" xfId="3134" xr:uid="{00000000-0005-0000-0000-00003B0C0000}"/>
    <cellStyle name="Migliaia [0] 10 2 2 3" xfId="3135" xr:uid="{00000000-0005-0000-0000-00003C0C0000}"/>
    <cellStyle name="Migliaia [0] 10 2 3" xfId="3136" xr:uid="{00000000-0005-0000-0000-00003D0C0000}"/>
    <cellStyle name="Migliaia [0] 10 3" xfId="3137" xr:uid="{00000000-0005-0000-0000-00003E0C0000}"/>
    <cellStyle name="Migliaia [0] 10 3 2" xfId="3138" xr:uid="{00000000-0005-0000-0000-00003F0C0000}"/>
    <cellStyle name="Migliaia [0] 10 3 3" xfId="3139" xr:uid="{00000000-0005-0000-0000-0000400C0000}"/>
    <cellStyle name="Migliaia [0] 10 4" xfId="3140" xr:uid="{00000000-0005-0000-0000-0000410C0000}"/>
    <cellStyle name="Migliaia [0] 11" xfId="3141" xr:uid="{00000000-0005-0000-0000-0000420C0000}"/>
    <cellStyle name="Migliaia [0] 11 2" xfId="3142" xr:uid="{00000000-0005-0000-0000-0000430C0000}"/>
    <cellStyle name="Migliaia [0] 11 2 2" xfId="3143" xr:uid="{00000000-0005-0000-0000-0000440C0000}"/>
    <cellStyle name="Migliaia [0] 11 2 2 2" xfId="3144" xr:uid="{00000000-0005-0000-0000-0000450C0000}"/>
    <cellStyle name="Migliaia [0] 11 2 2 3" xfId="3145" xr:uid="{00000000-0005-0000-0000-0000460C0000}"/>
    <cellStyle name="Migliaia [0] 11 2 3" xfId="3146" xr:uid="{00000000-0005-0000-0000-0000470C0000}"/>
    <cellStyle name="Migliaia [0] 11 3" xfId="3147" xr:uid="{00000000-0005-0000-0000-0000480C0000}"/>
    <cellStyle name="Migliaia [0] 11 3 2" xfId="3148" xr:uid="{00000000-0005-0000-0000-0000490C0000}"/>
    <cellStyle name="Migliaia [0] 11 3 3" xfId="3149" xr:uid="{00000000-0005-0000-0000-00004A0C0000}"/>
    <cellStyle name="Migliaia [0] 11 4" xfId="3150" xr:uid="{00000000-0005-0000-0000-00004B0C0000}"/>
    <cellStyle name="Migliaia [0] 12" xfId="3151" xr:uid="{00000000-0005-0000-0000-00004C0C0000}"/>
    <cellStyle name="Migliaia [0] 12 2" xfId="3152" xr:uid="{00000000-0005-0000-0000-00004D0C0000}"/>
    <cellStyle name="Migliaia [0] 12 2 2" xfId="3153" xr:uid="{00000000-0005-0000-0000-00004E0C0000}"/>
    <cellStyle name="Migliaia [0] 12 2 2 2" xfId="3154" xr:uid="{00000000-0005-0000-0000-00004F0C0000}"/>
    <cellStyle name="Migliaia [0] 12 2 2 3" xfId="3155" xr:uid="{00000000-0005-0000-0000-0000500C0000}"/>
    <cellStyle name="Migliaia [0] 12 2 3" xfId="3156" xr:uid="{00000000-0005-0000-0000-0000510C0000}"/>
    <cellStyle name="Migliaia [0] 12 3" xfId="3157" xr:uid="{00000000-0005-0000-0000-0000520C0000}"/>
    <cellStyle name="Migliaia [0] 12 3 2" xfId="3158" xr:uid="{00000000-0005-0000-0000-0000530C0000}"/>
    <cellStyle name="Migliaia [0] 12 3 3" xfId="3159" xr:uid="{00000000-0005-0000-0000-0000540C0000}"/>
    <cellStyle name="Migliaia [0] 12 4" xfId="3160" xr:uid="{00000000-0005-0000-0000-0000550C0000}"/>
    <cellStyle name="Migliaia [0] 13" xfId="3161" xr:uid="{00000000-0005-0000-0000-0000560C0000}"/>
    <cellStyle name="Migliaia [0] 13 2" xfId="3162" xr:uid="{00000000-0005-0000-0000-0000570C0000}"/>
    <cellStyle name="Migliaia [0] 13 2 2" xfId="3163" xr:uid="{00000000-0005-0000-0000-0000580C0000}"/>
    <cellStyle name="Migliaia [0] 13 2 2 2" xfId="3164" xr:uid="{00000000-0005-0000-0000-0000590C0000}"/>
    <cellStyle name="Migliaia [0] 13 2 2 3" xfId="3165" xr:uid="{00000000-0005-0000-0000-00005A0C0000}"/>
    <cellStyle name="Migliaia [0] 13 2 3" xfId="3166" xr:uid="{00000000-0005-0000-0000-00005B0C0000}"/>
    <cellStyle name="Migliaia [0] 13 3" xfId="3167" xr:uid="{00000000-0005-0000-0000-00005C0C0000}"/>
    <cellStyle name="Migliaia [0] 13 3 2" xfId="3168" xr:uid="{00000000-0005-0000-0000-00005D0C0000}"/>
    <cellStyle name="Migliaia [0] 13 3 3" xfId="3169" xr:uid="{00000000-0005-0000-0000-00005E0C0000}"/>
    <cellStyle name="Migliaia [0] 13 4" xfId="3170" xr:uid="{00000000-0005-0000-0000-00005F0C0000}"/>
    <cellStyle name="Migliaia [0] 14" xfId="3171" xr:uid="{00000000-0005-0000-0000-0000600C0000}"/>
    <cellStyle name="Migliaia [0] 14 2" xfId="3172" xr:uid="{00000000-0005-0000-0000-0000610C0000}"/>
    <cellStyle name="Migliaia [0] 14 2 2" xfId="3173" xr:uid="{00000000-0005-0000-0000-0000620C0000}"/>
    <cellStyle name="Migliaia [0] 14 2 2 2" xfId="3174" xr:uid="{00000000-0005-0000-0000-0000630C0000}"/>
    <cellStyle name="Migliaia [0] 14 2 2 3" xfId="3175" xr:uid="{00000000-0005-0000-0000-0000640C0000}"/>
    <cellStyle name="Migliaia [0] 14 2 3" xfId="3176" xr:uid="{00000000-0005-0000-0000-0000650C0000}"/>
    <cellStyle name="Migliaia [0] 14 3" xfId="3177" xr:uid="{00000000-0005-0000-0000-0000660C0000}"/>
    <cellStyle name="Migliaia [0] 14 3 2" xfId="3178" xr:uid="{00000000-0005-0000-0000-0000670C0000}"/>
    <cellStyle name="Migliaia [0] 14 3 3" xfId="3179" xr:uid="{00000000-0005-0000-0000-0000680C0000}"/>
    <cellStyle name="Migliaia [0] 14 4" xfId="3180" xr:uid="{00000000-0005-0000-0000-0000690C0000}"/>
    <cellStyle name="Migliaia [0] 15" xfId="3181" xr:uid="{00000000-0005-0000-0000-00006A0C0000}"/>
    <cellStyle name="Migliaia [0] 15 2" xfId="3182" xr:uid="{00000000-0005-0000-0000-00006B0C0000}"/>
    <cellStyle name="Migliaia [0] 15 2 2" xfId="3183" xr:uid="{00000000-0005-0000-0000-00006C0C0000}"/>
    <cellStyle name="Migliaia [0] 15 2 2 2" xfId="3184" xr:uid="{00000000-0005-0000-0000-00006D0C0000}"/>
    <cellStyle name="Migliaia [0] 15 2 2 3" xfId="3185" xr:uid="{00000000-0005-0000-0000-00006E0C0000}"/>
    <cellStyle name="Migliaia [0] 15 2 3" xfId="3186" xr:uid="{00000000-0005-0000-0000-00006F0C0000}"/>
    <cellStyle name="Migliaia [0] 15 3" xfId="3187" xr:uid="{00000000-0005-0000-0000-0000700C0000}"/>
    <cellStyle name="Migliaia [0] 15 3 2" xfId="3188" xr:uid="{00000000-0005-0000-0000-0000710C0000}"/>
    <cellStyle name="Migliaia [0] 15 3 3" xfId="3189" xr:uid="{00000000-0005-0000-0000-0000720C0000}"/>
    <cellStyle name="Migliaia [0] 15 4" xfId="3190" xr:uid="{00000000-0005-0000-0000-0000730C0000}"/>
    <cellStyle name="Migliaia [0] 16" xfId="3191" xr:uid="{00000000-0005-0000-0000-0000740C0000}"/>
    <cellStyle name="Migliaia [0] 16 2" xfId="3192" xr:uid="{00000000-0005-0000-0000-0000750C0000}"/>
    <cellStyle name="Migliaia [0] 16 2 2" xfId="3193" xr:uid="{00000000-0005-0000-0000-0000760C0000}"/>
    <cellStyle name="Migliaia [0] 16 2 2 2" xfId="3194" xr:uid="{00000000-0005-0000-0000-0000770C0000}"/>
    <cellStyle name="Migliaia [0] 16 2 2 3" xfId="3195" xr:uid="{00000000-0005-0000-0000-0000780C0000}"/>
    <cellStyle name="Migliaia [0] 16 2 3" xfId="3196" xr:uid="{00000000-0005-0000-0000-0000790C0000}"/>
    <cellStyle name="Migliaia [0] 16 3" xfId="3197" xr:uid="{00000000-0005-0000-0000-00007A0C0000}"/>
    <cellStyle name="Migliaia [0] 16 3 2" xfId="3198" xr:uid="{00000000-0005-0000-0000-00007B0C0000}"/>
    <cellStyle name="Migliaia [0] 16 3 3" xfId="3199" xr:uid="{00000000-0005-0000-0000-00007C0C0000}"/>
    <cellStyle name="Migliaia [0] 16 4" xfId="3200" xr:uid="{00000000-0005-0000-0000-00007D0C0000}"/>
    <cellStyle name="Migliaia [0] 17" xfId="3201" xr:uid="{00000000-0005-0000-0000-00007E0C0000}"/>
    <cellStyle name="Migliaia [0] 17 2" xfId="3202" xr:uid="{00000000-0005-0000-0000-00007F0C0000}"/>
    <cellStyle name="Migliaia [0] 17 2 2" xfId="3203" xr:uid="{00000000-0005-0000-0000-0000800C0000}"/>
    <cellStyle name="Migliaia [0] 17 2 2 2" xfId="3204" xr:uid="{00000000-0005-0000-0000-0000810C0000}"/>
    <cellStyle name="Migliaia [0] 17 2 2 3" xfId="3205" xr:uid="{00000000-0005-0000-0000-0000820C0000}"/>
    <cellStyle name="Migliaia [0] 17 2 3" xfId="3206" xr:uid="{00000000-0005-0000-0000-0000830C0000}"/>
    <cellStyle name="Migliaia [0] 17 3" xfId="3207" xr:uid="{00000000-0005-0000-0000-0000840C0000}"/>
    <cellStyle name="Migliaia [0] 17 3 2" xfId="3208" xr:uid="{00000000-0005-0000-0000-0000850C0000}"/>
    <cellStyle name="Migliaia [0] 17 3 3" xfId="3209" xr:uid="{00000000-0005-0000-0000-0000860C0000}"/>
    <cellStyle name="Migliaia [0] 17 4" xfId="3210" xr:uid="{00000000-0005-0000-0000-0000870C0000}"/>
    <cellStyle name="Migliaia [0] 18" xfId="3211" xr:uid="{00000000-0005-0000-0000-0000880C0000}"/>
    <cellStyle name="Migliaia [0] 18 2" xfId="3212" xr:uid="{00000000-0005-0000-0000-0000890C0000}"/>
    <cellStyle name="Migliaia [0] 18 2 2" xfId="3213" xr:uid="{00000000-0005-0000-0000-00008A0C0000}"/>
    <cellStyle name="Migliaia [0] 18 2 2 2" xfId="3214" xr:uid="{00000000-0005-0000-0000-00008B0C0000}"/>
    <cellStyle name="Migliaia [0] 18 2 2 3" xfId="3215" xr:uid="{00000000-0005-0000-0000-00008C0C0000}"/>
    <cellStyle name="Migliaia [0] 18 2 3" xfId="3216" xr:uid="{00000000-0005-0000-0000-00008D0C0000}"/>
    <cellStyle name="Migliaia [0] 18 3" xfId="3217" xr:uid="{00000000-0005-0000-0000-00008E0C0000}"/>
    <cellStyle name="Migliaia [0] 18 3 2" xfId="3218" xr:uid="{00000000-0005-0000-0000-00008F0C0000}"/>
    <cellStyle name="Migliaia [0] 18 3 3" xfId="3219" xr:uid="{00000000-0005-0000-0000-0000900C0000}"/>
    <cellStyle name="Migliaia [0] 18 4" xfId="3220" xr:uid="{00000000-0005-0000-0000-0000910C0000}"/>
    <cellStyle name="Migliaia [0] 19" xfId="3221" xr:uid="{00000000-0005-0000-0000-0000920C0000}"/>
    <cellStyle name="Migliaia [0] 19 2" xfId="3222" xr:uid="{00000000-0005-0000-0000-0000930C0000}"/>
    <cellStyle name="Migliaia [0] 19 2 2" xfId="3223" xr:uid="{00000000-0005-0000-0000-0000940C0000}"/>
    <cellStyle name="Migliaia [0] 19 2 2 2" xfId="3224" xr:uid="{00000000-0005-0000-0000-0000950C0000}"/>
    <cellStyle name="Migliaia [0] 19 2 2 3" xfId="3225" xr:uid="{00000000-0005-0000-0000-0000960C0000}"/>
    <cellStyle name="Migliaia [0] 19 2 3" xfId="3226" xr:uid="{00000000-0005-0000-0000-0000970C0000}"/>
    <cellStyle name="Migliaia [0] 19 3" xfId="3227" xr:uid="{00000000-0005-0000-0000-0000980C0000}"/>
    <cellStyle name="Migliaia [0] 19 3 2" xfId="3228" xr:uid="{00000000-0005-0000-0000-0000990C0000}"/>
    <cellStyle name="Migliaia [0] 19 3 3" xfId="3229" xr:uid="{00000000-0005-0000-0000-00009A0C0000}"/>
    <cellStyle name="Migliaia [0] 19 4" xfId="3230" xr:uid="{00000000-0005-0000-0000-00009B0C0000}"/>
    <cellStyle name="Migliaia [0] 2" xfId="3231" xr:uid="{00000000-0005-0000-0000-00009C0C0000}"/>
    <cellStyle name="Migliaia [0] 2 2" xfId="3232" xr:uid="{00000000-0005-0000-0000-00009D0C0000}"/>
    <cellStyle name="Migliaia [0] 2 2 2" xfId="3233" xr:uid="{00000000-0005-0000-0000-00009E0C0000}"/>
    <cellStyle name="Migliaia [0] 2 2 2 2" xfId="3234" xr:uid="{00000000-0005-0000-0000-00009F0C0000}"/>
    <cellStyle name="Migliaia [0] 2 2 2 3" xfId="3235" xr:uid="{00000000-0005-0000-0000-0000A00C0000}"/>
    <cellStyle name="Migliaia [0] 2 2 3" xfId="3236" xr:uid="{00000000-0005-0000-0000-0000A10C0000}"/>
    <cellStyle name="Migliaia [0] 2 3" xfId="3237" xr:uid="{00000000-0005-0000-0000-0000A20C0000}"/>
    <cellStyle name="Migliaia [0] 2 3 2" xfId="3238" xr:uid="{00000000-0005-0000-0000-0000A30C0000}"/>
    <cellStyle name="Migliaia [0] 2 3 3" xfId="3239" xr:uid="{00000000-0005-0000-0000-0000A40C0000}"/>
    <cellStyle name="Migliaia [0] 2 4" xfId="3240" xr:uid="{00000000-0005-0000-0000-0000A50C0000}"/>
    <cellStyle name="Migliaia [0] 20" xfId="3241" xr:uid="{00000000-0005-0000-0000-0000A60C0000}"/>
    <cellStyle name="Migliaia [0] 20 2" xfId="3242" xr:uid="{00000000-0005-0000-0000-0000A70C0000}"/>
    <cellStyle name="Migliaia [0] 20 2 2" xfId="3243" xr:uid="{00000000-0005-0000-0000-0000A80C0000}"/>
    <cellStyle name="Migliaia [0] 20 2 2 2" xfId="3244" xr:uid="{00000000-0005-0000-0000-0000A90C0000}"/>
    <cellStyle name="Migliaia [0] 20 2 2 3" xfId="3245" xr:uid="{00000000-0005-0000-0000-0000AA0C0000}"/>
    <cellStyle name="Migliaia [0] 20 2 3" xfId="3246" xr:uid="{00000000-0005-0000-0000-0000AB0C0000}"/>
    <cellStyle name="Migliaia [0] 20 3" xfId="3247" xr:uid="{00000000-0005-0000-0000-0000AC0C0000}"/>
    <cellStyle name="Migliaia [0] 20 3 2" xfId="3248" xr:uid="{00000000-0005-0000-0000-0000AD0C0000}"/>
    <cellStyle name="Migliaia [0] 20 3 3" xfId="3249" xr:uid="{00000000-0005-0000-0000-0000AE0C0000}"/>
    <cellStyle name="Migliaia [0] 20 4" xfId="3250" xr:uid="{00000000-0005-0000-0000-0000AF0C0000}"/>
    <cellStyle name="Migliaia [0] 21" xfId="3251" xr:uid="{00000000-0005-0000-0000-0000B00C0000}"/>
    <cellStyle name="Migliaia [0] 21 2" xfId="3252" xr:uid="{00000000-0005-0000-0000-0000B10C0000}"/>
    <cellStyle name="Migliaia [0] 21 2 2" xfId="3253" xr:uid="{00000000-0005-0000-0000-0000B20C0000}"/>
    <cellStyle name="Migliaia [0] 21 2 2 2" xfId="3254" xr:uid="{00000000-0005-0000-0000-0000B30C0000}"/>
    <cellStyle name="Migliaia [0] 21 2 2 3" xfId="3255" xr:uid="{00000000-0005-0000-0000-0000B40C0000}"/>
    <cellStyle name="Migliaia [0] 21 2 3" xfId="3256" xr:uid="{00000000-0005-0000-0000-0000B50C0000}"/>
    <cellStyle name="Migliaia [0] 21 3" xfId="3257" xr:uid="{00000000-0005-0000-0000-0000B60C0000}"/>
    <cellStyle name="Migliaia [0] 21 3 2" xfId="3258" xr:uid="{00000000-0005-0000-0000-0000B70C0000}"/>
    <cellStyle name="Migliaia [0] 21 3 3" xfId="3259" xr:uid="{00000000-0005-0000-0000-0000B80C0000}"/>
    <cellStyle name="Migliaia [0] 21 4" xfId="3260" xr:uid="{00000000-0005-0000-0000-0000B90C0000}"/>
    <cellStyle name="Migliaia [0] 22" xfId="3261" xr:uid="{00000000-0005-0000-0000-0000BA0C0000}"/>
    <cellStyle name="Migliaia [0] 22 2" xfId="3262" xr:uid="{00000000-0005-0000-0000-0000BB0C0000}"/>
    <cellStyle name="Migliaia [0] 22 2 2" xfId="3263" xr:uid="{00000000-0005-0000-0000-0000BC0C0000}"/>
    <cellStyle name="Migliaia [0] 22 2 2 2" xfId="3264" xr:uid="{00000000-0005-0000-0000-0000BD0C0000}"/>
    <cellStyle name="Migliaia [0] 22 2 2 3" xfId="3265" xr:uid="{00000000-0005-0000-0000-0000BE0C0000}"/>
    <cellStyle name="Migliaia [0] 22 2 3" xfId="3266" xr:uid="{00000000-0005-0000-0000-0000BF0C0000}"/>
    <cellStyle name="Migliaia [0] 22 3" xfId="3267" xr:uid="{00000000-0005-0000-0000-0000C00C0000}"/>
    <cellStyle name="Migliaia [0] 22 3 2" xfId="3268" xr:uid="{00000000-0005-0000-0000-0000C10C0000}"/>
    <cellStyle name="Migliaia [0] 22 3 3" xfId="3269" xr:uid="{00000000-0005-0000-0000-0000C20C0000}"/>
    <cellStyle name="Migliaia [0] 22 4" xfId="3270" xr:uid="{00000000-0005-0000-0000-0000C30C0000}"/>
    <cellStyle name="Migliaia [0] 23" xfId="3271" xr:uid="{00000000-0005-0000-0000-0000C40C0000}"/>
    <cellStyle name="Migliaia [0] 23 2" xfId="3272" xr:uid="{00000000-0005-0000-0000-0000C50C0000}"/>
    <cellStyle name="Migliaia [0] 23 2 2" xfId="3273" xr:uid="{00000000-0005-0000-0000-0000C60C0000}"/>
    <cellStyle name="Migliaia [0] 23 2 2 2" xfId="3274" xr:uid="{00000000-0005-0000-0000-0000C70C0000}"/>
    <cellStyle name="Migliaia [0] 23 2 2 3" xfId="3275" xr:uid="{00000000-0005-0000-0000-0000C80C0000}"/>
    <cellStyle name="Migliaia [0] 23 2 3" xfId="3276" xr:uid="{00000000-0005-0000-0000-0000C90C0000}"/>
    <cellStyle name="Migliaia [0] 23 3" xfId="3277" xr:uid="{00000000-0005-0000-0000-0000CA0C0000}"/>
    <cellStyle name="Migliaia [0] 23 3 2" xfId="3278" xr:uid="{00000000-0005-0000-0000-0000CB0C0000}"/>
    <cellStyle name="Migliaia [0] 23 3 3" xfId="3279" xr:uid="{00000000-0005-0000-0000-0000CC0C0000}"/>
    <cellStyle name="Migliaia [0] 23 4" xfId="3280" xr:uid="{00000000-0005-0000-0000-0000CD0C0000}"/>
    <cellStyle name="Migliaia [0] 24" xfId="3281" xr:uid="{00000000-0005-0000-0000-0000CE0C0000}"/>
    <cellStyle name="Migliaia [0] 24 2" xfId="3282" xr:uid="{00000000-0005-0000-0000-0000CF0C0000}"/>
    <cellStyle name="Migliaia [0] 24 2 2" xfId="3283" xr:uid="{00000000-0005-0000-0000-0000D00C0000}"/>
    <cellStyle name="Migliaia [0] 24 2 2 2" xfId="3284" xr:uid="{00000000-0005-0000-0000-0000D10C0000}"/>
    <cellStyle name="Migliaia [0] 24 2 2 3" xfId="3285" xr:uid="{00000000-0005-0000-0000-0000D20C0000}"/>
    <cellStyle name="Migliaia [0] 24 2 3" xfId="3286" xr:uid="{00000000-0005-0000-0000-0000D30C0000}"/>
    <cellStyle name="Migliaia [0] 24 3" xfId="3287" xr:uid="{00000000-0005-0000-0000-0000D40C0000}"/>
    <cellStyle name="Migliaia [0] 24 3 2" xfId="3288" xr:uid="{00000000-0005-0000-0000-0000D50C0000}"/>
    <cellStyle name="Migliaia [0] 24 3 3" xfId="3289" xr:uid="{00000000-0005-0000-0000-0000D60C0000}"/>
    <cellStyle name="Migliaia [0] 24 4" xfId="3290" xr:uid="{00000000-0005-0000-0000-0000D70C0000}"/>
    <cellStyle name="Migliaia [0] 25" xfId="3291" xr:uid="{00000000-0005-0000-0000-0000D80C0000}"/>
    <cellStyle name="Migliaia [0] 25 2" xfId="3292" xr:uid="{00000000-0005-0000-0000-0000D90C0000}"/>
    <cellStyle name="Migliaia [0] 25 2 2" xfId="3293" xr:uid="{00000000-0005-0000-0000-0000DA0C0000}"/>
    <cellStyle name="Migliaia [0] 25 2 2 2" xfId="3294" xr:uid="{00000000-0005-0000-0000-0000DB0C0000}"/>
    <cellStyle name="Migliaia [0] 25 2 2 3" xfId="3295" xr:uid="{00000000-0005-0000-0000-0000DC0C0000}"/>
    <cellStyle name="Migliaia [0] 25 2 3" xfId="3296" xr:uid="{00000000-0005-0000-0000-0000DD0C0000}"/>
    <cellStyle name="Migliaia [0] 25 3" xfId="3297" xr:uid="{00000000-0005-0000-0000-0000DE0C0000}"/>
    <cellStyle name="Migliaia [0] 25 3 2" xfId="3298" xr:uid="{00000000-0005-0000-0000-0000DF0C0000}"/>
    <cellStyle name="Migliaia [0] 25 3 3" xfId="3299" xr:uid="{00000000-0005-0000-0000-0000E00C0000}"/>
    <cellStyle name="Migliaia [0] 25 4" xfId="3300" xr:uid="{00000000-0005-0000-0000-0000E10C0000}"/>
    <cellStyle name="Migliaia [0] 26" xfId="3301" xr:uid="{00000000-0005-0000-0000-0000E20C0000}"/>
    <cellStyle name="Migliaia [0] 26 2" xfId="3302" xr:uid="{00000000-0005-0000-0000-0000E30C0000}"/>
    <cellStyle name="Migliaia [0] 26 2 2" xfId="3303" xr:uid="{00000000-0005-0000-0000-0000E40C0000}"/>
    <cellStyle name="Migliaia [0] 26 2 2 2" xfId="3304" xr:uid="{00000000-0005-0000-0000-0000E50C0000}"/>
    <cellStyle name="Migliaia [0] 26 2 2 3" xfId="3305" xr:uid="{00000000-0005-0000-0000-0000E60C0000}"/>
    <cellStyle name="Migliaia [0] 26 2 3" xfId="3306" xr:uid="{00000000-0005-0000-0000-0000E70C0000}"/>
    <cellStyle name="Migliaia [0] 26 3" xfId="3307" xr:uid="{00000000-0005-0000-0000-0000E80C0000}"/>
    <cellStyle name="Migliaia [0] 26 3 2" xfId="3308" xr:uid="{00000000-0005-0000-0000-0000E90C0000}"/>
    <cellStyle name="Migliaia [0] 26 3 3" xfId="3309" xr:uid="{00000000-0005-0000-0000-0000EA0C0000}"/>
    <cellStyle name="Migliaia [0] 26 4" xfId="3310" xr:uid="{00000000-0005-0000-0000-0000EB0C0000}"/>
    <cellStyle name="Migliaia [0] 27" xfId="3311" xr:uid="{00000000-0005-0000-0000-0000EC0C0000}"/>
    <cellStyle name="Migliaia [0] 27 2" xfId="3312" xr:uid="{00000000-0005-0000-0000-0000ED0C0000}"/>
    <cellStyle name="Migliaia [0] 27 2 2" xfId="3313" xr:uid="{00000000-0005-0000-0000-0000EE0C0000}"/>
    <cellStyle name="Migliaia [0] 27 2 2 2" xfId="3314" xr:uid="{00000000-0005-0000-0000-0000EF0C0000}"/>
    <cellStyle name="Migliaia [0] 27 2 2 3" xfId="3315" xr:uid="{00000000-0005-0000-0000-0000F00C0000}"/>
    <cellStyle name="Migliaia [0] 27 2 3" xfId="3316" xr:uid="{00000000-0005-0000-0000-0000F10C0000}"/>
    <cellStyle name="Migliaia [0] 27 3" xfId="3317" xr:uid="{00000000-0005-0000-0000-0000F20C0000}"/>
    <cellStyle name="Migliaia [0] 27 3 2" xfId="3318" xr:uid="{00000000-0005-0000-0000-0000F30C0000}"/>
    <cellStyle name="Migliaia [0] 27 3 3" xfId="3319" xr:uid="{00000000-0005-0000-0000-0000F40C0000}"/>
    <cellStyle name="Migliaia [0] 27 4" xfId="3320" xr:uid="{00000000-0005-0000-0000-0000F50C0000}"/>
    <cellStyle name="Migliaia [0] 28" xfId="3321" xr:uid="{00000000-0005-0000-0000-0000F60C0000}"/>
    <cellStyle name="Migliaia [0] 28 2" xfId="3322" xr:uid="{00000000-0005-0000-0000-0000F70C0000}"/>
    <cellStyle name="Migliaia [0] 28 2 2" xfId="3323" xr:uid="{00000000-0005-0000-0000-0000F80C0000}"/>
    <cellStyle name="Migliaia [0] 28 2 2 2" xfId="3324" xr:uid="{00000000-0005-0000-0000-0000F90C0000}"/>
    <cellStyle name="Migliaia [0] 28 2 2 3" xfId="3325" xr:uid="{00000000-0005-0000-0000-0000FA0C0000}"/>
    <cellStyle name="Migliaia [0] 28 2 3" xfId="3326" xr:uid="{00000000-0005-0000-0000-0000FB0C0000}"/>
    <cellStyle name="Migliaia [0] 28 3" xfId="3327" xr:uid="{00000000-0005-0000-0000-0000FC0C0000}"/>
    <cellStyle name="Migliaia [0] 28 3 2" xfId="3328" xr:uid="{00000000-0005-0000-0000-0000FD0C0000}"/>
    <cellStyle name="Migliaia [0] 28 3 3" xfId="3329" xr:uid="{00000000-0005-0000-0000-0000FE0C0000}"/>
    <cellStyle name="Migliaia [0] 28 4" xfId="3330" xr:uid="{00000000-0005-0000-0000-0000FF0C0000}"/>
    <cellStyle name="Migliaia [0] 29" xfId="3331" xr:uid="{00000000-0005-0000-0000-0000000D0000}"/>
    <cellStyle name="Migliaia [0] 29 2" xfId="3332" xr:uid="{00000000-0005-0000-0000-0000010D0000}"/>
    <cellStyle name="Migliaia [0] 29 2 2" xfId="3333" xr:uid="{00000000-0005-0000-0000-0000020D0000}"/>
    <cellStyle name="Migliaia [0] 29 2 2 2" xfId="3334" xr:uid="{00000000-0005-0000-0000-0000030D0000}"/>
    <cellStyle name="Migliaia [0] 29 2 2 3" xfId="3335" xr:uid="{00000000-0005-0000-0000-0000040D0000}"/>
    <cellStyle name="Migliaia [0] 29 2 3" xfId="3336" xr:uid="{00000000-0005-0000-0000-0000050D0000}"/>
    <cellStyle name="Migliaia [0] 29 3" xfId="3337" xr:uid="{00000000-0005-0000-0000-0000060D0000}"/>
    <cellStyle name="Migliaia [0] 29 3 2" xfId="3338" xr:uid="{00000000-0005-0000-0000-0000070D0000}"/>
    <cellStyle name="Migliaia [0] 29 3 3" xfId="3339" xr:uid="{00000000-0005-0000-0000-0000080D0000}"/>
    <cellStyle name="Migliaia [0] 29 4" xfId="3340" xr:uid="{00000000-0005-0000-0000-0000090D0000}"/>
    <cellStyle name="Migliaia [0] 3" xfId="3341" xr:uid="{00000000-0005-0000-0000-00000A0D0000}"/>
    <cellStyle name="Migliaia [0] 3 2" xfId="3342" xr:uid="{00000000-0005-0000-0000-00000B0D0000}"/>
    <cellStyle name="Migliaia [0] 3 2 2" xfId="3343" xr:uid="{00000000-0005-0000-0000-00000C0D0000}"/>
    <cellStyle name="Migliaia [0] 3 2 2 2" xfId="3344" xr:uid="{00000000-0005-0000-0000-00000D0D0000}"/>
    <cellStyle name="Migliaia [0] 3 2 2 3" xfId="3345" xr:uid="{00000000-0005-0000-0000-00000E0D0000}"/>
    <cellStyle name="Migliaia [0] 3 2 3" xfId="3346" xr:uid="{00000000-0005-0000-0000-00000F0D0000}"/>
    <cellStyle name="Migliaia [0] 3 3" xfId="3347" xr:uid="{00000000-0005-0000-0000-0000100D0000}"/>
    <cellStyle name="Migliaia [0] 3 3 2" xfId="3348" xr:uid="{00000000-0005-0000-0000-0000110D0000}"/>
    <cellStyle name="Migliaia [0] 3 3 3" xfId="3349" xr:uid="{00000000-0005-0000-0000-0000120D0000}"/>
    <cellStyle name="Migliaia [0] 3 4" xfId="3350" xr:uid="{00000000-0005-0000-0000-0000130D0000}"/>
    <cellStyle name="Migliaia [0] 30" xfId="3351" xr:uid="{00000000-0005-0000-0000-0000140D0000}"/>
    <cellStyle name="Migliaia [0] 30 2" xfId="3352" xr:uid="{00000000-0005-0000-0000-0000150D0000}"/>
    <cellStyle name="Migliaia [0] 30 2 2" xfId="3353" xr:uid="{00000000-0005-0000-0000-0000160D0000}"/>
    <cellStyle name="Migliaia [0] 30 2 2 2" xfId="3354" xr:uid="{00000000-0005-0000-0000-0000170D0000}"/>
    <cellStyle name="Migliaia [0] 30 2 2 3" xfId="3355" xr:uid="{00000000-0005-0000-0000-0000180D0000}"/>
    <cellStyle name="Migliaia [0] 30 2 3" xfId="3356" xr:uid="{00000000-0005-0000-0000-0000190D0000}"/>
    <cellStyle name="Migliaia [0] 30 3" xfId="3357" xr:uid="{00000000-0005-0000-0000-00001A0D0000}"/>
    <cellStyle name="Migliaia [0] 30 3 2" xfId="3358" xr:uid="{00000000-0005-0000-0000-00001B0D0000}"/>
    <cellStyle name="Migliaia [0] 30 3 3" xfId="3359" xr:uid="{00000000-0005-0000-0000-00001C0D0000}"/>
    <cellStyle name="Migliaia [0] 30 4" xfId="3360" xr:uid="{00000000-0005-0000-0000-00001D0D0000}"/>
    <cellStyle name="Migliaia [0] 31" xfId="3361" xr:uid="{00000000-0005-0000-0000-00001E0D0000}"/>
    <cellStyle name="Migliaia [0] 31 2" xfId="3362" xr:uid="{00000000-0005-0000-0000-00001F0D0000}"/>
    <cellStyle name="Migliaia [0] 31 2 2" xfId="3363" xr:uid="{00000000-0005-0000-0000-0000200D0000}"/>
    <cellStyle name="Migliaia [0] 31 2 2 2" xfId="3364" xr:uid="{00000000-0005-0000-0000-0000210D0000}"/>
    <cellStyle name="Migliaia [0] 31 2 2 3" xfId="3365" xr:uid="{00000000-0005-0000-0000-0000220D0000}"/>
    <cellStyle name="Migliaia [0] 31 2 3" xfId="3366" xr:uid="{00000000-0005-0000-0000-0000230D0000}"/>
    <cellStyle name="Migliaia [0] 31 3" xfId="3367" xr:uid="{00000000-0005-0000-0000-0000240D0000}"/>
    <cellStyle name="Migliaia [0] 31 3 2" xfId="3368" xr:uid="{00000000-0005-0000-0000-0000250D0000}"/>
    <cellStyle name="Migliaia [0] 31 3 3" xfId="3369" xr:uid="{00000000-0005-0000-0000-0000260D0000}"/>
    <cellStyle name="Migliaia [0] 31 4" xfId="3370" xr:uid="{00000000-0005-0000-0000-0000270D0000}"/>
    <cellStyle name="Migliaia [0] 32" xfId="3371" xr:uid="{00000000-0005-0000-0000-0000280D0000}"/>
    <cellStyle name="Migliaia [0] 32 2" xfId="3372" xr:uid="{00000000-0005-0000-0000-0000290D0000}"/>
    <cellStyle name="Migliaia [0] 32 2 2" xfId="3373" xr:uid="{00000000-0005-0000-0000-00002A0D0000}"/>
    <cellStyle name="Migliaia [0] 32 2 2 2" xfId="3374" xr:uid="{00000000-0005-0000-0000-00002B0D0000}"/>
    <cellStyle name="Migliaia [0] 32 2 2 3" xfId="3375" xr:uid="{00000000-0005-0000-0000-00002C0D0000}"/>
    <cellStyle name="Migliaia [0] 32 2 3" xfId="3376" xr:uid="{00000000-0005-0000-0000-00002D0D0000}"/>
    <cellStyle name="Migliaia [0] 32 3" xfId="3377" xr:uid="{00000000-0005-0000-0000-00002E0D0000}"/>
    <cellStyle name="Migliaia [0] 32 3 2" xfId="3378" xr:uid="{00000000-0005-0000-0000-00002F0D0000}"/>
    <cellStyle name="Migliaia [0] 32 3 3" xfId="3379" xr:uid="{00000000-0005-0000-0000-0000300D0000}"/>
    <cellStyle name="Migliaia [0] 32 4" xfId="3380" xr:uid="{00000000-0005-0000-0000-0000310D0000}"/>
    <cellStyle name="Migliaia [0] 33" xfId="3381" xr:uid="{00000000-0005-0000-0000-0000320D0000}"/>
    <cellStyle name="Migliaia [0] 33 2" xfId="3382" xr:uid="{00000000-0005-0000-0000-0000330D0000}"/>
    <cellStyle name="Migliaia [0] 33 2 2" xfId="3383" xr:uid="{00000000-0005-0000-0000-0000340D0000}"/>
    <cellStyle name="Migliaia [0] 33 2 2 2" xfId="3384" xr:uid="{00000000-0005-0000-0000-0000350D0000}"/>
    <cellStyle name="Migliaia [0] 33 2 2 3" xfId="3385" xr:uid="{00000000-0005-0000-0000-0000360D0000}"/>
    <cellStyle name="Migliaia [0] 33 2 3" xfId="3386" xr:uid="{00000000-0005-0000-0000-0000370D0000}"/>
    <cellStyle name="Migliaia [0] 33 3" xfId="3387" xr:uid="{00000000-0005-0000-0000-0000380D0000}"/>
    <cellStyle name="Migliaia [0] 33 3 2" xfId="3388" xr:uid="{00000000-0005-0000-0000-0000390D0000}"/>
    <cellStyle name="Migliaia [0] 33 3 3" xfId="3389" xr:uid="{00000000-0005-0000-0000-00003A0D0000}"/>
    <cellStyle name="Migliaia [0] 33 4" xfId="3390" xr:uid="{00000000-0005-0000-0000-00003B0D0000}"/>
    <cellStyle name="Migliaia [0] 34" xfId="3391" xr:uid="{00000000-0005-0000-0000-00003C0D0000}"/>
    <cellStyle name="Migliaia [0] 34 2" xfId="3392" xr:uid="{00000000-0005-0000-0000-00003D0D0000}"/>
    <cellStyle name="Migliaia [0] 34 2 2" xfId="3393" xr:uid="{00000000-0005-0000-0000-00003E0D0000}"/>
    <cellStyle name="Migliaia [0] 34 2 2 2" xfId="3394" xr:uid="{00000000-0005-0000-0000-00003F0D0000}"/>
    <cellStyle name="Migliaia [0] 34 2 2 3" xfId="3395" xr:uid="{00000000-0005-0000-0000-0000400D0000}"/>
    <cellStyle name="Migliaia [0] 34 2 3" xfId="3396" xr:uid="{00000000-0005-0000-0000-0000410D0000}"/>
    <cellStyle name="Migliaia [0] 34 3" xfId="3397" xr:uid="{00000000-0005-0000-0000-0000420D0000}"/>
    <cellStyle name="Migliaia [0] 34 3 2" xfId="3398" xr:uid="{00000000-0005-0000-0000-0000430D0000}"/>
    <cellStyle name="Migliaia [0] 34 3 3" xfId="3399" xr:uid="{00000000-0005-0000-0000-0000440D0000}"/>
    <cellStyle name="Migliaia [0] 34 4" xfId="3400" xr:uid="{00000000-0005-0000-0000-0000450D0000}"/>
    <cellStyle name="Migliaia [0] 35" xfId="3401" xr:uid="{00000000-0005-0000-0000-0000460D0000}"/>
    <cellStyle name="Migliaia [0] 35 2" xfId="3402" xr:uid="{00000000-0005-0000-0000-0000470D0000}"/>
    <cellStyle name="Migliaia [0] 35 2 2" xfId="3403" xr:uid="{00000000-0005-0000-0000-0000480D0000}"/>
    <cellStyle name="Migliaia [0] 35 2 2 2" xfId="3404" xr:uid="{00000000-0005-0000-0000-0000490D0000}"/>
    <cellStyle name="Migliaia [0] 35 2 2 3" xfId="3405" xr:uid="{00000000-0005-0000-0000-00004A0D0000}"/>
    <cellStyle name="Migliaia [0] 35 2 3" xfId="3406" xr:uid="{00000000-0005-0000-0000-00004B0D0000}"/>
    <cellStyle name="Migliaia [0] 35 3" xfId="3407" xr:uid="{00000000-0005-0000-0000-00004C0D0000}"/>
    <cellStyle name="Migliaia [0] 35 3 2" xfId="3408" xr:uid="{00000000-0005-0000-0000-00004D0D0000}"/>
    <cellStyle name="Migliaia [0] 35 3 3" xfId="3409" xr:uid="{00000000-0005-0000-0000-00004E0D0000}"/>
    <cellStyle name="Migliaia [0] 35 4" xfId="3410" xr:uid="{00000000-0005-0000-0000-00004F0D0000}"/>
    <cellStyle name="Migliaia [0] 36" xfId="3411" xr:uid="{00000000-0005-0000-0000-0000500D0000}"/>
    <cellStyle name="Migliaia [0] 36 2" xfId="3412" xr:uid="{00000000-0005-0000-0000-0000510D0000}"/>
    <cellStyle name="Migliaia [0] 36 2 2" xfId="3413" xr:uid="{00000000-0005-0000-0000-0000520D0000}"/>
    <cellStyle name="Migliaia [0] 36 2 2 2" xfId="3414" xr:uid="{00000000-0005-0000-0000-0000530D0000}"/>
    <cellStyle name="Migliaia [0] 36 2 2 3" xfId="3415" xr:uid="{00000000-0005-0000-0000-0000540D0000}"/>
    <cellStyle name="Migliaia [0] 36 2 3" xfId="3416" xr:uid="{00000000-0005-0000-0000-0000550D0000}"/>
    <cellStyle name="Migliaia [0] 36 3" xfId="3417" xr:uid="{00000000-0005-0000-0000-0000560D0000}"/>
    <cellStyle name="Migliaia [0] 36 3 2" xfId="3418" xr:uid="{00000000-0005-0000-0000-0000570D0000}"/>
    <cellStyle name="Migliaia [0] 36 3 3" xfId="3419" xr:uid="{00000000-0005-0000-0000-0000580D0000}"/>
    <cellStyle name="Migliaia [0] 36 4" xfId="3420" xr:uid="{00000000-0005-0000-0000-0000590D0000}"/>
    <cellStyle name="Migliaia [0] 37" xfId="3421" xr:uid="{00000000-0005-0000-0000-00005A0D0000}"/>
    <cellStyle name="Migliaia [0] 37 2" xfId="3422" xr:uid="{00000000-0005-0000-0000-00005B0D0000}"/>
    <cellStyle name="Migliaia [0] 37 2 2" xfId="3423" xr:uid="{00000000-0005-0000-0000-00005C0D0000}"/>
    <cellStyle name="Migliaia [0] 37 2 2 2" xfId="3424" xr:uid="{00000000-0005-0000-0000-00005D0D0000}"/>
    <cellStyle name="Migliaia [0] 37 2 2 3" xfId="3425" xr:uid="{00000000-0005-0000-0000-00005E0D0000}"/>
    <cellStyle name="Migliaia [0] 37 2 3" xfId="3426" xr:uid="{00000000-0005-0000-0000-00005F0D0000}"/>
    <cellStyle name="Migliaia [0] 37 3" xfId="3427" xr:uid="{00000000-0005-0000-0000-0000600D0000}"/>
    <cellStyle name="Migliaia [0] 37 3 2" xfId="3428" xr:uid="{00000000-0005-0000-0000-0000610D0000}"/>
    <cellStyle name="Migliaia [0] 37 3 3" xfId="3429" xr:uid="{00000000-0005-0000-0000-0000620D0000}"/>
    <cellStyle name="Migliaia [0] 37 4" xfId="3430" xr:uid="{00000000-0005-0000-0000-0000630D0000}"/>
    <cellStyle name="Migliaia [0] 38" xfId="3431" xr:uid="{00000000-0005-0000-0000-0000640D0000}"/>
    <cellStyle name="Migliaia [0] 38 2" xfId="3432" xr:uid="{00000000-0005-0000-0000-0000650D0000}"/>
    <cellStyle name="Migliaia [0] 38 2 2" xfId="3433" xr:uid="{00000000-0005-0000-0000-0000660D0000}"/>
    <cellStyle name="Migliaia [0] 38 2 2 2" xfId="3434" xr:uid="{00000000-0005-0000-0000-0000670D0000}"/>
    <cellStyle name="Migliaia [0] 38 2 2 3" xfId="3435" xr:uid="{00000000-0005-0000-0000-0000680D0000}"/>
    <cellStyle name="Migliaia [0] 38 2 3" xfId="3436" xr:uid="{00000000-0005-0000-0000-0000690D0000}"/>
    <cellStyle name="Migliaia [0] 38 3" xfId="3437" xr:uid="{00000000-0005-0000-0000-00006A0D0000}"/>
    <cellStyle name="Migliaia [0] 38 3 2" xfId="3438" xr:uid="{00000000-0005-0000-0000-00006B0D0000}"/>
    <cellStyle name="Migliaia [0] 38 3 3" xfId="3439" xr:uid="{00000000-0005-0000-0000-00006C0D0000}"/>
    <cellStyle name="Migliaia [0] 38 4" xfId="3440" xr:uid="{00000000-0005-0000-0000-00006D0D0000}"/>
    <cellStyle name="Migliaia [0] 39" xfId="3441" xr:uid="{00000000-0005-0000-0000-00006E0D0000}"/>
    <cellStyle name="Migliaia [0] 39 2" xfId="3442" xr:uid="{00000000-0005-0000-0000-00006F0D0000}"/>
    <cellStyle name="Migliaia [0] 39 2 2" xfId="3443" xr:uid="{00000000-0005-0000-0000-0000700D0000}"/>
    <cellStyle name="Migliaia [0] 39 2 2 2" xfId="3444" xr:uid="{00000000-0005-0000-0000-0000710D0000}"/>
    <cellStyle name="Migliaia [0] 39 2 2 3" xfId="3445" xr:uid="{00000000-0005-0000-0000-0000720D0000}"/>
    <cellStyle name="Migliaia [0] 39 2 3" xfId="3446" xr:uid="{00000000-0005-0000-0000-0000730D0000}"/>
    <cellStyle name="Migliaia [0] 39 3" xfId="3447" xr:uid="{00000000-0005-0000-0000-0000740D0000}"/>
    <cellStyle name="Migliaia [0] 39 3 2" xfId="3448" xr:uid="{00000000-0005-0000-0000-0000750D0000}"/>
    <cellStyle name="Migliaia [0] 39 3 3" xfId="3449" xr:uid="{00000000-0005-0000-0000-0000760D0000}"/>
    <cellStyle name="Migliaia [0] 39 4" xfId="3450" xr:uid="{00000000-0005-0000-0000-0000770D0000}"/>
    <cellStyle name="Migliaia [0] 4" xfId="3451" xr:uid="{00000000-0005-0000-0000-0000780D0000}"/>
    <cellStyle name="Migliaia [0] 4 2" xfId="3452" xr:uid="{00000000-0005-0000-0000-0000790D0000}"/>
    <cellStyle name="Migliaia [0] 4 2 2" xfId="3453" xr:uid="{00000000-0005-0000-0000-00007A0D0000}"/>
    <cellStyle name="Migliaia [0] 4 2 2 2" xfId="3454" xr:uid="{00000000-0005-0000-0000-00007B0D0000}"/>
    <cellStyle name="Migliaia [0] 4 2 2 3" xfId="3455" xr:uid="{00000000-0005-0000-0000-00007C0D0000}"/>
    <cellStyle name="Migliaia [0] 4 2 3" xfId="3456" xr:uid="{00000000-0005-0000-0000-00007D0D0000}"/>
    <cellStyle name="Migliaia [0] 4 3" xfId="3457" xr:uid="{00000000-0005-0000-0000-00007E0D0000}"/>
    <cellStyle name="Migliaia [0] 4 3 2" xfId="3458" xr:uid="{00000000-0005-0000-0000-00007F0D0000}"/>
    <cellStyle name="Migliaia [0] 4 3 3" xfId="3459" xr:uid="{00000000-0005-0000-0000-0000800D0000}"/>
    <cellStyle name="Migliaia [0] 4 4" xfId="3460" xr:uid="{00000000-0005-0000-0000-0000810D0000}"/>
    <cellStyle name="Migliaia [0] 40" xfId="3461" xr:uid="{00000000-0005-0000-0000-0000820D0000}"/>
    <cellStyle name="Migliaia [0] 40 2" xfId="3462" xr:uid="{00000000-0005-0000-0000-0000830D0000}"/>
    <cellStyle name="Migliaia [0] 40 2 2" xfId="3463" xr:uid="{00000000-0005-0000-0000-0000840D0000}"/>
    <cellStyle name="Migliaia [0] 40 2 2 2" xfId="3464" xr:uid="{00000000-0005-0000-0000-0000850D0000}"/>
    <cellStyle name="Migliaia [0] 40 2 2 3" xfId="3465" xr:uid="{00000000-0005-0000-0000-0000860D0000}"/>
    <cellStyle name="Migliaia [0] 40 2 3" xfId="3466" xr:uid="{00000000-0005-0000-0000-0000870D0000}"/>
    <cellStyle name="Migliaia [0] 40 3" xfId="3467" xr:uid="{00000000-0005-0000-0000-0000880D0000}"/>
    <cellStyle name="Migliaia [0] 40 3 2" xfId="3468" xr:uid="{00000000-0005-0000-0000-0000890D0000}"/>
    <cellStyle name="Migliaia [0] 40 3 3" xfId="3469" xr:uid="{00000000-0005-0000-0000-00008A0D0000}"/>
    <cellStyle name="Migliaia [0] 40 4" xfId="3470" xr:uid="{00000000-0005-0000-0000-00008B0D0000}"/>
    <cellStyle name="Migliaia [0] 41" xfId="3471" xr:uid="{00000000-0005-0000-0000-00008C0D0000}"/>
    <cellStyle name="Migliaia [0] 41 2" xfId="3472" xr:uid="{00000000-0005-0000-0000-00008D0D0000}"/>
    <cellStyle name="Migliaia [0] 41 2 2" xfId="3473" xr:uid="{00000000-0005-0000-0000-00008E0D0000}"/>
    <cellStyle name="Migliaia [0] 41 2 2 2" xfId="3474" xr:uid="{00000000-0005-0000-0000-00008F0D0000}"/>
    <cellStyle name="Migliaia [0] 41 2 2 3" xfId="3475" xr:uid="{00000000-0005-0000-0000-0000900D0000}"/>
    <cellStyle name="Migliaia [0] 41 2 3" xfId="3476" xr:uid="{00000000-0005-0000-0000-0000910D0000}"/>
    <cellStyle name="Migliaia [0] 41 3" xfId="3477" xr:uid="{00000000-0005-0000-0000-0000920D0000}"/>
    <cellStyle name="Migliaia [0] 41 3 2" xfId="3478" xr:uid="{00000000-0005-0000-0000-0000930D0000}"/>
    <cellStyle name="Migliaia [0] 41 3 3" xfId="3479" xr:uid="{00000000-0005-0000-0000-0000940D0000}"/>
    <cellStyle name="Migliaia [0] 41 4" xfId="3480" xr:uid="{00000000-0005-0000-0000-0000950D0000}"/>
    <cellStyle name="Migliaia [0] 42" xfId="3481" xr:uid="{00000000-0005-0000-0000-0000960D0000}"/>
    <cellStyle name="Migliaia [0] 42 2" xfId="3482" xr:uid="{00000000-0005-0000-0000-0000970D0000}"/>
    <cellStyle name="Migliaia [0] 42 2 2" xfId="3483" xr:uid="{00000000-0005-0000-0000-0000980D0000}"/>
    <cellStyle name="Migliaia [0] 42 2 2 2" xfId="3484" xr:uid="{00000000-0005-0000-0000-0000990D0000}"/>
    <cellStyle name="Migliaia [0] 42 2 2 3" xfId="3485" xr:uid="{00000000-0005-0000-0000-00009A0D0000}"/>
    <cellStyle name="Migliaia [0] 42 2 3" xfId="3486" xr:uid="{00000000-0005-0000-0000-00009B0D0000}"/>
    <cellStyle name="Migliaia [0] 42 3" xfId="3487" xr:uid="{00000000-0005-0000-0000-00009C0D0000}"/>
    <cellStyle name="Migliaia [0] 42 3 2" xfId="3488" xr:uid="{00000000-0005-0000-0000-00009D0D0000}"/>
    <cellStyle name="Migliaia [0] 42 3 3" xfId="3489" xr:uid="{00000000-0005-0000-0000-00009E0D0000}"/>
    <cellStyle name="Migliaia [0] 42 4" xfId="3490" xr:uid="{00000000-0005-0000-0000-00009F0D0000}"/>
    <cellStyle name="Migliaia [0] 43" xfId="3491" xr:uid="{00000000-0005-0000-0000-0000A00D0000}"/>
    <cellStyle name="Migliaia [0] 43 2" xfId="3492" xr:uid="{00000000-0005-0000-0000-0000A10D0000}"/>
    <cellStyle name="Migliaia [0] 43 2 2" xfId="3493" xr:uid="{00000000-0005-0000-0000-0000A20D0000}"/>
    <cellStyle name="Migliaia [0] 43 2 2 2" xfId="3494" xr:uid="{00000000-0005-0000-0000-0000A30D0000}"/>
    <cellStyle name="Migliaia [0] 43 2 2 3" xfId="3495" xr:uid="{00000000-0005-0000-0000-0000A40D0000}"/>
    <cellStyle name="Migliaia [0] 43 2 3" xfId="3496" xr:uid="{00000000-0005-0000-0000-0000A50D0000}"/>
    <cellStyle name="Migliaia [0] 43 3" xfId="3497" xr:uid="{00000000-0005-0000-0000-0000A60D0000}"/>
    <cellStyle name="Migliaia [0] 43 3 2" xfId="3498" xr:uid="{00000000-0005-0000-0000-0000A70D0000}"/>
    <cellStyle name="Migliaia [0] 43 3 3" xfId="3499" xr:uid="{00000000-0005-0000-0000-0000A80D0000}"/>
    <cellStyle name="Migliaia [0] 43 4" xfId="3500" xr:uid="{00000000-0005-0000-0000-0000A90D0000}"/>
    <cellStyle name="Migliaia [0] 44" xfId="3501" xr:uid="{00000000-0005-0000-0000-0000AA0D0000}"/>
    <cellStyle name="Migliaia [0] 44 2" xfId="3502" xr:uid="{00000000-0005-0000-0000-0000AB0D0000}"/>
    <cellStyle name="Migliaia [0] 44 2 2" xfId="3503" xr:uid="{00000000-0005-0000-0000-0000AC0D0000}"/>
    <cellStyle name="Migliaia [0] 44 2 2 2" xfId="3504" xr:uid="{00000000-0005-0000-0000-0000AD0D0000}"/>
    <cellStyle name="Migliaia [0] 44 2 2 3" xfId="3505" xr:uid="{00000000-0005-0000-0000-0000AE0D0000}"/>
    <cellStyle name="Migliaia [0] 44 2 3" xfId="3506" xr:uid="{00000000-0005-0000-0000-0000AF0D0000}"/>
    <cellStyle name="Migliaia [0] 44 3" xfId="3507" xr:uid="{00000000-0005-0000-0000-0000B00D0000}"/>
    <cellStyle name="Migliaia [0] 44 3 2" xfId="3508" xr:uid="{00000000-0005-0000-0000-0000B10D0000}"/>
    <cellStyle name="Migliaia [0] 44 3 3" xfId="3509" xr:uid="{00000000-0005-0000-0000-0000B20D0000}"/>
    <cellStyle name="Migliaia [0] 44 4" xfId="3510" xr:uid="{00000000-0005-0000-0000-0000B30D0000}"/>
    <cellStyle name="Migliaia [0] 45" xfId="3511" xr:uid="{00000000-0005-0000-0000-0000B40D0000}"/>
    <cellStyle name="Migliaia [0] 45 2" xfId="3512" xr:uid="{00000000-0005-0000-0000-0000B50D0000}"/>
    <cellStyle name="Migliaia [0] 45 2 2" xfId="3513" xr:uid="{00000000-0005-0000-0000-0000B60D0000}"/>
    <cellStyle name="Migliaia [0] 45 2 2 2" xfId="3514" xr:uid="{00000000-0005-0000-0000-0000B70D0000}"/>
    <cellStyle name="Migliaia [0] 45 2 2 3" xfId="3515" xr:uid="{00000000-0005-0000-0000-0000B80D0000}"/>
    <cellStyle name="Migliaia [0] 45 2 3" xfId="3516" xr:uid="{00000000-0005-0000-0000-0000B90D0000}"/>
    <cellStyle name="Migliaia [0] 45 3" xfId="3517" xr:uid="{00000000-0005-0000-0000-0000BA0D0000}"/>
    <cellStyle name="Migliaia [0] 45 3 2" xfId="3518" xr:uid="{00000000-0005-0000-0000-0000BB0D0000}"/>
    <cellStyle name="Migliaia [0] 45 3 3" xfId="3519" xr:uid="{00000000-0005-0000-0000-0000BC0D0000}"/>
    <cellStyle name="Migliaia [0] 45 4" xfId="3520" xr:uid="{00000000-0005-0000-0000-0000BD0D0000}"/>
    <cellStyle name="Migliaia [0] 46" xfId="3521" xr:uid="{00000000-0005-0000-0000-0000BE0D0000}"/>
    <cellStyle name="Migliaia [0] 46 2" xfId="3522" xr:uid="{00000000-0005-0000-0000-0000BF0D0000}"/>
    <cellStyle name="Migliaia [0] 46 2 2" xfId="3523" xr:uid="{00000000-0005-0000-0000-0000C00D0000}"/>
    <cellStyle name="Migliaia [0] 46 2 2 2" xfId="3524" xr:uid="{00000000-0005-0000-0000-0000C10D0000}"/>
    <cellStyle name="Migliaia [0] 46 2 2 3" xfId="3525" xr:uid="{00000000-0005-0000-0000-0000C20D0000}"/>
    <cellStyle name="Migliaia [0] 46 2 3" xfId="3526" xr:uid="{00000000-0005-0000-0000-0000C30D0000}"/>
    <cellStyle name="Migliaia [0] 46 3" xfId="3527" xr:uid="{00000000-0005-0000-0000-0000C40D0000}"/>
    <cellStyle name="Migliaia [0] 46 3 2" xfId="3528" xr:uid="{00000000-0005-0000-0000-0000C50D0000}"/>
    <cellStyle name="Migliaia [0] 46 3 3" xfId="3529" xr:uid="{00000000-0005-0000-0000-0000C60D0000}"/>
    <cellStyle name="Migliaia [0] 46 4" xfId="3530" xr:uid="{00000000-0005-0000-0000-0000C70D0000}"/>
    <cellStyle name="Migliaia [0] 47" xfId="3531" xr:uid="{00000000-0005-0000-0000-0000C80D0000}"/>
    <cellStyle name="Migliaia [0] 47 2" xfId="3532" xr:uid="{00000000-0005-0000-0000-0000C90D0000}"/>
    <cellStyle name="Migliaia [0] 47 2 2" xfId="3533" xr:uid="{00000000-0005-0000-0000-0000CA0D0000}"/>
    <cellStyle name="Migliaia [0] 47 2 2 2" xfId="3534" xr:uid="{00000000-0005-0000-0000-0000CB0D0000}"/>
    <cellStyle name="Migliaia [0] 47 2 2 3" xfId="3535" xr:uid="{00000000-0005-0000-0000-0000CC0D0000}"/>
    <cellStyle name="Migliaia [0] 47 2 3" xfId="3536" xr:uid="{00000000-0005-0000-0000-0000CD0D0000}"/>
    <cellStyle name="Migliaia [0] 47 3" xfId="3537" xr:uid="{00000000-0005-0000-0000-0000CE0D0000}"/>
    <cellStyle name="Migliaia [0] 47 3 2" xfId="3538" xr:uid="{00000000-0005-0000-0000-0000CF0D0000}"/>
    <cellStyle name="Migliaia [0] 47 3 3" xfId="3539" xr:uid="{00000000-0005-0000-0000-0000D00D0000}"/>
    <cellStyle name="Migliaia [0] 47 4" xfId="3540" xr:uid="{00000000-0005-0000-0000-0000D10D0000}"/>
    <cellStyle name="Migliaia [0] 48" xfId="3541" xr:uid="{00000000-0005-0000-0000-0000D20D0000}"/>
    <cellStyle name="Migliaia [0] 48 2" xfId="3542" xr:uid="{00000000-0005-0000-0000-0000D30D0000}"/>
    <cellStyle name="Migliaia [0] 48 2 2" xfId="3543" xr:uid="{00000000-0005-0000-0000-0000D40D0000}"/>
    <cellStyle name="Migliaia [0] 48 2 2 2" xfId="3544" xr:uid="{00000000-0005-0000-0000-0000D50D0000}"/>
    <cellStyle name="Migliaia [0] 48 2 2 3" xfId="3545" xr:uid="{00000000-0005-0000-0000-0000D60D0000}"/>
    <cellStyle name="Migliaia [0] 48 2 3" xfId="3546" xr:uid="{00000000-0005-0000-0000-0000D70D0000}"/>
    <cellStyle name="Migliaia [0] 48 3" xfId="3547" xr:uid="{00000000-0005-0000-0000-0000D80D0000}"/>
    <cellStyle name="Migliaia [0] 48 3 2" xfId="3548" xr:uid="{00000000-0005-0000-0000-0000D90D0000}"/>
    <cellStyle name="Migliaia [0] 48 3 3" xfId="3549" xr:uid="{00000000-0005-0000-0000-0000DA0D0000}"/>
    <cellStyle name="Migliaia [0] 48 4" xfId="3550" xr:uid="{00000000-0005-0000-0000-0000DB0D0000}"/>
    <cellStyle name="Migliaia [0] 49" xfId="3551" xr:uid="{00000000-0005-0000-0000-0000DC0D0000}"/>
    <cellStyle name="Migliaia [0] 49 2" xfId="3552" xr:uid="{00000000-0005-0000-0000-0000DD0D0000}"/>
    <cellStyle name="Migliaia [0] 49 2 2" xfId="3553" xr:uid="{00000000-0005-0000-0000-0000DE0D0000}"/>
    <cellStyle name="Migliaia [0] 49 2 2 2" xfId="3554" xr:uid="{00000000-0005-0000-0000-0000DF0D0000}"/>
    <cellStyle name="Migliaia [0] 49 2 2 3" xfId="3555" xr:uid="{00000000-0005-0000-0000-0000E00D0000}"/>
    <cellStyle name="Migliaia [0] 49 2 3" xfId="3556" xr:uid="{00000000-0005-0000-0000-0000E10D0000}"/>
    <cellStyle name="Migliaia [0] 49 3" xfId="3557" xr:uid="{00000000-0005-0000-0000-0000E20D0000}"/>
    <cellStyle name="Migliaia [0] 49 3 2" xfId="3558" xr:uid="{00000000-0005-0000-0000-0000E30D0000}"/>
    <cellStyle name="Migliaia [0] 49 3 3" xfId="3559" xr:uid="{00000000-0005-0000-0000-0000E40D0000}"/>
    <cellStyle name="Migliaia [0] 49 4" xfId="3560" xr:uid="{00000000-0005-0000-0000-0000E50D0000}"/>
    <cellStyle name="Migliaia [0] 5" xfId="3561" xr:uid="{00000000-0005-0000-0000-0000E60D0000}"/>
    <cellStyle name="Migliaia [0] 5 2" xfId="3562" xr:uid="{00000000-0005-0000-0000-0000E70D0000}"/>
    <cellStyle name="Migliaia [0] 5 2 2" xfId="3563" xr:uid="{00000000-0005-0000-0000-0000E80D0000}"/>
    <cellStyle name="Migliaia [0] 5 2 2 2" xfId="3564" xr:uid="{00000000-0005-0000-0000-0000E90D0000}"/>
    <cellStyle name="Migliaia [0] 5 2 2 3" xfId="3565" xr:uid="{00000000-0005-0000-0000-0000EA0D0000}"/>
    <cellStyle name="Migliaia [0] 5 2 3" xfId="3566" xr:uid="{00000000-0005-0000-0000-0000EB0D0000}"/>
    <cellStyle name="Migliaia [0] 5 3" xfId="3567" xr:uid="{00000000-0005-0000-0000-0000EC0D0000}"/>
    <cellStyle name="Migliaia [0] 5 3 2" xfId="3568" xr:uid="{00000000-0005-0000-0000-0000ED0D0000}"/>
    <cellStyle name="Migliaia [0] 5 3 3" xfId="3569" xr:uid="{00000000-0005-0000-0000-0000EE0D0000}"/>
    <cellStyle name="Migliaia [0] 5 4" xfId="3570" xr:uid="{00000000-0005-0000-0000-0000EF0D0000}"/>
    <cellStyle name="Migliaia [0] 50" xfId="3571" xr:uid="{00000000-0005-0000-0000-0000F00D0000}"/>
    <cellStyle name="Migliaia [0] 50 2" xfId="3572" xr:uid="{00000000-0005-0000-0000-0000F10D0000}"/>
    <cellStyle name="Migliaia [0] 50 2 2" xfId="3573" xr:uid="{00000000-0005-0000-0000-0000F20D0000}"/>
    <cellStyle name="Migliaia [0] 50 2 2 2" xfId="3574" xr:uid="{00000000-0005-0000-0000-0000F30D0000}"/>
    <cellStyle name="Migliaia [0] 50 2 2 3" xfId="3575" xr:uid="{00000000-0005-0000-0000-0000F40D0000}"/>
    <cellStyle name="Migliaia [0] 50 2 3" xfId="3576" xr:uid="{00000000-0005-0000-0000-0000F50D0000}"/>
    <cellStyle name="Migliaia [0] 50 3" xfId="3577" xr:uid="{00000000-0005-0000-0000-0000F60D0000}"/>
    <cellStyle name="Migliaia [0] 50 3 2" xfId="3578" xr:uid="{00000000-0005-0000-0000-0000F70D0000}"/>
    <cellStyle name="Migliaia [0] 50 3 3" xfId="3579" xr:uid="{00000000-0005-0000-0000-0000F80D0000}"/>
    <cellStyle name="Migliaia [0] 50 4" xfId="3580" xr:uid="{00000000-0005-0000-0000-0000F90D0000}"/>
    <cellStyle name="Migliaia [0] 51" xfId="3581" xr:uid="{00000000-0005-0000-0000-0000FA0D0000}"/>
    <cellStyle name="Migliaia [0] 51 2" xfId="3582" xr:uid="{00000000-0005-0000-0000-0000FB0D0000}"/>
    <cellStyle name="Migliaia [0] 51 2 2" xfId="3583" xr:uid="{00000000-0005-0000-0000-0000FC0D0000}"/>
    <cellStyle name="Migliaia [0] 51 2 2 2" xfId="3584" xr:uid="{00000000-0005-0000-0000-0000FD0D0000}"/>
    <cellStyle name="Migliaia [0] 51 2 2 3" xfId="3585" xr:uid="{00000000-0005-0000-0000-0000FE0D0000}"/>
    <cellStyle name="Migliaia [0] 51 2 3" xfId="3586" xr:uid="{00000000-0005-0000-0000-0000FF0D0000}"/>
    <cellStyle name="Migliaia [0] 51 3" xfId="3587" xr:uid="{00000000-0005-0000-0000-0000000E0000}"/>
    <cellStyle name="Migliaia [0] 51 3 2" xfId="3588" xr:uid="{00000000-0005-0000-0000-0000010E0000}"/>
    <cellStyle name="Migliaia [0] 51 3 3" xfId="3589" xr:uid="{00000000-0005-0000-0000-0000020E0000}"/>
    <cellStyle name="Migliaia [0] 51 4" xfId="3590" xr:uid="{00000000-0005-0000-0000-0000030E0000}"/>
    <cellStyle name="Migliaia [0] 52" xfId="3591" xr:uid="{00000000-0005-0000-0000-0000040E0000}"/>
    <cellStyle name="Migliaia [0] 52 2" xfId="3592" xr:uid="{00000000-0005-0000-0000-0000050E0000}"/>
    <cellStyle name="Migliaia [0] 52 2 2" xfId="3593" xr:uid="{00000000-0005-0000-0000-0000060E0000}"/>
    <cellStyle name="Migliaia [0] 52 2 2 2" xfId="3594" xr:uid="{00000000-0005-0000-0000-0000070E0000}"/>
    <cellStyle name="Migliaia [0] 52 2 2 3" xfId="3595" xr:uid="{00000000-0005-0000-0000-0000080E0000}"/>
    <cellStyle name="Migliaia [0] 52 2 3" xfId="3596" xr:uid="{00000000-0005-0000-0000-0000090E0000}"/>
    <cellStyle name="Migliaia [0] 52 3" xfId="3597" xr:uid="{00000000-0005-0000-0000-00000A0E0000}"/>
    <cellStyle name="Migliaia [0] 52 3 2" xfId="3598" xr:uid="{00000000-0005-0000-0000-00000B0E0000}"/>
    <cellStyle name="Migliaia [0] 52 3 3" xfId="3599" xr:uid="{00000000-0005-0000-0000-00000C0E0000}"/>
    <cellStyle name="Migliaia [0] 52 4" xfId="3600" xr:uid="{00000000-0005-0000-0000-00000D0E0000}"/>
    <cellStyle name="Migliaia [0] 53" xfId="3601" xr:uid="{00000000-0005-0000-0000-00000E0E0000}"/>
    <cellStyle name="Migliaia [0] 53 2" xfId="3602" xr:uid="{00000000-0005-0000-0000-00000F0E0000}"/>
    <cellStyle name="Migliaia [0] 53 2 2" xfId="3603" xr:uid="{00000000-0005-0000-0000-0000100E0000}"/>
    <cellStyle name="Migliaia [0] 53 2 2 2" xfId="3604" xr:uid="{00000000-0005-0000-0000-0000110E0000}"/>
    <cellStyle name="Migliaia [0] 53 2 2 3" xfId="3605" xr:uid="{00000000-0005-0000-0000-0000120E0000}"/>
    <cellStyle name="Migliaia [0] 53 2 3" xfId="3606" xr:uid="{00000000-0005-0000-0000-0000130E0000}"/>
    <cellStyle name="Migliaia [0] 53 3" xfId="3607" xr:uid="{00000000-0005-0000-0000-0000140E0000}"/>
    <cellStyle name="Migliaia [0] 53 3 2" xfId="3608" xr:uid="{00000000-0005-0000-0000-0000150E0000}"/>
    <cellStyle name="Migliaia [0] 53 3 3" xfId="3609" xr:uid="{00000000-0005-0000-0000-0000160E0000}"/>
    <cellStyle name="Migliaia [0] 53 4" xfId="3610" xr:uid="{00000000-0005-0000-0000-0000170E0000}"/>
    <cellStyle name="Migliaia [0] 54" xfId="3611" xr:uid="{00000000-0005-0000-0000-0000180E0000}"/>
    <cellStyle name="Migliaia [0] 54 2" xfId="3612" xr:uid="{00000000-0005-0000-0000-0000190E0000}"/>
    <cellStyle name="Migliaia [0] 54 2 2" xfId="3613" xr:uid="{00000000-0005-0000-0000-00001A0E0000}"/>
    <cellStyle name="Migliaia [0] 54 2 2 2" xfId="3614" xr:uid="{00000000-0005-0000-0000-00001B0E0000}"/>
    <cellStyle name="Migliaia [0] 54 2 2 3" xfId="3615" xr:uid="{00000000-0005-0000-0000-00001C0E0000}"/>
    <cellStyle name="Migliaia [0] 54 2 3" xfId="3616" xr:uid="{00000000-0005-0000-0000-00001D0E0000}"/>
    <cellStyle name="Migliaia [0] 54 3" xfId="3617" xr:uid="{00000000-0005-0000-0000-00001E0E0000}"/>
    <cellStyle name="Migliaia [0] 54 3 2" xfId="3618" xr:uid="{00000000-0005-0000-0000-00001F0E0000}"/>
    <cellStyle name="Migliaia [0] 54 3 3" xfId="3619" xr:uid="{00000000-0005-0000-0000-0000200E0000}"/>
    <cellStyle name="Migliaia [0] 54 4" xfId="3620" xr:uid="{00000000-0005-0000-0000-0000210E0000}"/>
    <cellStyle name="Migliaia [0] 55" xfId="3621" xr:uid="{00000000-0005-0000-0000-0000220E0000}"/>
    <cellStyle name="Migliaia [0] 55 2" xfId="3622" xr:uid="{00000000-0005-0000-0000-0000230E0000}"/>
    <cellStyle name="Migliaia [0] 55 2 2" xfId="3623" xr:uid="{00000000-0005-0000-0000-0000240E0000}"/>
    <cellStyle name="Migliaia [0] 55 2 2 2" xfId="3624" xr:uid="{00000000-0005-0000-0000-0000250E0000}"/>
    <cellStyle name="Migliaia [0] 55 2 2 3" xfId="3625" xr:uid="{00000000-0005-0000-0000-0000260E0000}"/>
    <cellStyle name="Migliaia [0] 55 2 3" xfId="3626" xr:uid="{00000000-0005-0000-0000-0000270E0000}"/>
    <cellStyle name="Migliaia [0] 55 3" xfId="3627" xr:uid="{00000000-0005-0000-0000-0000280E0000}"/>
    <cellStyle name="Migliaia [0] 55 3 2" xfId="3628" xr:uid="{00000000-0005-0000-0000-0000290E0000}"/>
    <cellStyle name="Migliaia [0] 55 3 3" xfId="3629" xr:uid="{00000000-0005-0000-0000-00002A0E0000}"/>
    <cellStyle name="Migliaia [0] 55 4" xfId="3630" xr:uid="{00000000-0005-0000-0000-00002B0E0000}"/>
    <cellStyle name="Migliaia [0] 56" xfId="3631" xr:uid="{00000000-0005-0000-0000-00002C0E0000}"/>
    <cellStyle name="Migliaia [0] 56 2" xfId="3632" xr:uid="{00000000-0005-0000-0000-00002D0E0000}"/>
    <cellStyle name="Migliaia [0] 56 2 2" xfId="3633" xr:uid="{00000000-0005-0000-0000-00002E0E0000}"/>
    <cellStyle name="Migliaia [0] 56 2 2 2" xfId="3634" xr:uid="{00000000-0005-0000-0000-00002F0E0000}"/>
    <cellStyle name="Migliaia [0] 56 2 2 3" xfId="3635" xr:uid="{00000000-0005-0000-0000-0000300E0000}"/>
    <cellStyle name="Migliaia [0] 56 2 3" xfId="3636" xr:uid="{00000000-0005-0000-0000-0000310E0000}"/>
    <cellStyle name="Migliaia [0] 56 3" xfId="3637" xr:uid="{00000000-0005-0000-0000-0000320E0000}"/>
    <cellStyle name="Migliaia [0] 56 3 2" xfId="3638" xr:uid="{00000000-0005-0000-0000-0000330E0000}"/>
    <cellStyle name="Migliaia [0] 56 3 3" xfId="3639" xr:uid="{00000000-0005-0000-0000-0000340E0000}"/>
    <cellStyle name="Migliaia [0] 56 4" xfId="3640" xr:uid="{00000000-0005-0000-0000-0000350E0000}"/>
    <cellStyle name="Migliaia [0] 57" xfId="3641" xr:uid="{00000000-0005-0000-0000-0000360E0000}"/>
    <cellStyle name="Migliaia [0] 57 2" xfId="3642" xr:uid="{00000000-0005-0000-0000-0000370E0000}"/>
    <cellStyle name="Migliaia [0] 57 2 2" xfId="3643" xr:uid="{00000000-0005-0000-0000-0000380E0000}"/>
    <cellStyle name="Migliaia [0] 57 2 2 2" xfId="3644" xr:uid="{00000000-0005-0000-0000-0000390E0000}"/>
    <cellStyle name="Migliaia [0] 57 2 2 3" xfId="3645" xr:uid="{00000000-0005-0000-0000-00003A0E0000}"/>
    <cellStyle name="Migliaia [0] 57 2 3" xfId="3646" xr:uid="{00000000-0005-0000-0000-00003B0E0000}"/>
    <cellStyle name="Migliaia [0] 57 3" xfId="3647" xr:uid="{00000000-0005-0000-0000-00003C0E0000}"/>
    <cellStyle name="Migliaia [0] 57 3 2" xfId="3648" xr:uid="{00000000-0005-0000-0000-00003D0E0000}"/>
    <cellStyle name="Migliaia [0] 57 3 3" xfId="3649" xr:uid="{00000000-0005-0000-0000-00003E0E0000}"/>
    <cellStyle name="Migliaia [0] 57 4" xfId="3650" xr:uid="{00000000-0005-0000-0000-00003F0E0000}"/>
    <cellStyle name="Migliaia [0] 58" xfId="3651" xr:uid="{00000000-0005-0000-0000-0000400E0000}"/>
    <cellStyle name="Migliaia [0] 58 2" xfId="3652" xr:uid="{00000000-0005-0000-0000-0000410E0000}"/>
    <cellStyle name="Migliaia [0] 58 2 2" xfId="3653" xr:uid="{00000000-0005-0000-0000-0000420E0000}"/>
    <cellStyle name="Migliaia [0] 58 2 2 2" xfId="3654" xr:uid="{00000000-0005-0000-0000-0000430E0000}"/>
    <cellStyle name="Migliaia [0] 58 2 2 3" xfId="3655" xr:uid="{00000000-0005-0000-0000-0000440E0000}"/>
    <cellStyle name="Migliaia [0] 58 2 3" xfId="3656" xr:uid="{00000000-0005-0000-0000-0000450E0000}"/>
    <cellStyle name="Migliaia [0] 58 3" xfId="3657" xr:uid="{00000000-0005-0000-0000-0000460E0000}"/>
    <cellStyle name="Migliaia [0] 58 3 2" xfId="3658" xr:uid="{00000000-0005-0000-0000-0000470E0000}"/>
    <cellStyle name="Migliaia [0] 58 3 3" xfId="3659" xr:uid="{00000000-0005-0000-0000-0000480E0000}"/>
    <cellStyle name="Migliaia [0] 58 4" xfId="3660" xr:uid="{00000000-0005-0000-0000-0000490E0000}"/>
    <cellStyle name="Migliaia [0] 59" xfId="3661" xr:uid="{00000000-0005-0000-0000-00004A0E0000}"/>
    <cellStyle name="Migliaia [0] 59 2" xfId="3662" xr:uid="{00000000-0005-0000-0000-00004B0E0000}"/>
    <cellStyle name="Migliaia [0] 59 2 2" xfId="3663" xr:uid="{00000000-0005-0000-0000-00004C0E0000}"/>
    <cellStyle name="Migliaia [0] 59 2 2 2" xfId="3664" xr:uid="{00000000-0005-0000-0000-00004D0E0000}"/>
    <cellStyle name="Migliaia [0] 59 2 2 3" xfId="3665" xr:uid="{00000000-0005-0000-0000-00004E0E0000}"/>
    <cellStyle name="Migliaia [0] 59 2 3" xfId="3666" xr:uid="{00000000-0005-0000-0000-00004F0E0000}"/>
    <cellStyle name="Migliaia [0] 59 3" xfId="3667" xr:uid="{00000000-0005-0000-0000-0000500E0000}"/>
    <cellStyle name="Migliaia [0] 59 3 2" xfId="3668" xr:uid="{00000000-0005-0000-0000-0000510E0000}"/>
    <cellStyle name="Migliaia [0] 59 3 3" xfId="3669" xr:uid="{00000000-0005-0000-0000-0000520E0000}"/>
    <cellStyle name="Migliaia [0] 59 4" xfId="3670" xr:uid="{00000000-0005-0000-0000-0000530E0000}"/>
    <cellStyle name="Migliaia [0] 6" xfId="3671" xr:uid="{00000000-0005-0000-0000-0000540E0000}"/>
    <cellStyle name="Migliaia [0] 6 2" xfId="3672" xr:uid="{00000000-0005-0000-0000-0000550E0000}"/>
    <cellStyle name="Migliaia [0] 6 2 2" xfId="3673" xr:uid="{00000000-0005-0000-0000-0000560E0000}"/>
    <cellStyle name="Migliaia [0] 6 2 2 2" xfId="3674" xr:uid="{00000000-0005-0000-0000-0000570E0000}"/>
    <cellStyle name="Migliaia [0] 6 2 2 3" xfId="3675" xr:uid="{00000000-0005-0000-0000-0000580E0000}"/>
    <cellStyle name="Migliaia [0] 6 2 3" xfId="3676" xr:uid="{00000000-0005-0000-0000-0000590E0000}"/>
    <cellStyle name="Migliaia [0] 6 3" xfId="3677" xr:uid="{00000000-0005-0000-0000-00005A0E0000}"/>
    <cellStyle name="Migliaia [0] 6 3 2" xfId="3678" xr:uid="{00000000-0005-0000-0000-00005B0E0000}"/>
    <cellStyle name="Migliaia [0] 6 3 3" xfId="3679" xr:uid="{00000000-0005-0000-0000-00005C0E0000}"/>
    <cellStyle name="Migliaia [0] 6 4" xfId="3680" xr:uid="{00000000-0005-0000-0000-00005D0E0000}"/>
    <cellStyle name="Migliaia [0] 7" xfId="3681" xr:uid="{00000000-0005-0000-0000-00005E0E0000}"/>
    <cellStyle name="Migliaia [0] 7 2" xfId="3682" xr:uid="{00000000-0005-0000-0000-00005F0E0000}"/>
    <cellStyle name="Migliaia [0] 7 2 2" xfId="3683" xr:uid="{00000000-0005-0000-0000-0000600E0000}"/>
    <cellStyle name="Migliaia [0] 7 2 2 2" xfId="3684" xr:uid="{00000000-0005-0000-0000-0000610E0000}"/>
    <cellStyle name="Migliaia [0] 7 2 2 3" xfId="3685" xr:uid="{00000000-0005-0000-0000-0000620E0000}"/>
    <cellStyle name="Migliaia [0] 7 2 3" xfId="3686" xr:uid="{00000000-0005-0000-0000-0000630E0000}"/>
    <cellStyle name="Migliaia [0] 7 3" xfId="3687" xr:uid="{00000000-0005-0000-0000-0000640E0000}"/>
    <cellStyle name="Migliaia [0] 7 3 2" xfId="3688" xr:uid="{00000000-0005-0000-0000-0000650E0000}"/>
    <cellStyle name="Migliaia [0] 7 3 3" xfId="3689" xr:uid="{00000000-0005-0000-0000-0000660E0000}"/>
    <cellStyle name="Migliaia [0] 7 4" xfId="3690" xr:uid="{00000000-0005-0000-0000-0000670E0000}"/>
    <cellStyle name="Migliaia [0] 8" xfId="3691" xr:uid="{00000000-0005-0000-0000-0000680E0000}"/>
    <cellStyle name="Migliaia [0] 8 2" xfId="3692" xr:uid="{00000000-0005-0000-0000-0000690E0000}"/>
    <cellStyle name="Migliaia [0] 8 2 2" xfId="3693" xr:uid="{00000000-0005-0000-0000-00006A0E0000}"/>
    <cellStyle name="Migliaia [0] 8 2 2 2" xfId="3694" xr:uid="{00000000-0005-0000-0000-00006B0E0000}"/>
    <cellStyle name="Migliaia [0] 8 2 2 3" xfId="3695" xr:uid="{00000000-0005-0000-0000-00006C0E0000}"/>
    <cellStyle name="Migliaia [0] 8 2 3" xfId="3696" xr:uid="{00000000-0005-0000-0000-00006D0E0000}"/>
    <cellStyle name="Migliaia [0] 8 3" xfId="3697" xr:uid="{00000000-0005-0000-0000-00006E0E0000}"/>
    <cellStyle name="Migliaia [0] 8 3 2" xfId="3698" xr:uid="{00000000-0005-0000-0000-00006F0E0000}"/>
    <cellStyle name="Migliaia [0] 8 3 3" xfId="3699" xr:uid="{00000000-0005-0000-0000-0000700E0000}"/>
    <cellStyle name="Migliaia [0] 8 4" xfId="3700" xr:uid="{00000000-0005-0000-0000-0000710E0000}"/>
    <cellStyle name="Migliaia [0] 9" xfId="3701" xr:uid="{00000000-0005-0000-0000-0000720E0000}"/>
    <cellStyle name="Migliaia [0] 9 2" xfId="3702" xr:uid="{00000000-0005-0000-0000-0000730E0000}"/>
    <cellStyle name="Migliaia [0] 9 2 2" xfId="3703" xr:uid="{00000000-0005-0000-0000-0000740E0000}"/>
    <cellStyle name="Migliaia [0] 9 2 2 2" xfId="3704" xr:uid="{00000000-0005-0000-0000-0000750E0000}"/>
    <cellStyle name="Migliaia [0] 9 2 2 3" xfId="3705" xr:uid="{00000000-0005-0000-0000-0000760E0000}"/>
    <cellStyle name="Migliaia [0] 9 2 3" xfId="3706" xr:uid="{00000000-0005-0000-0000-0000770E0000}"/>
    <cellStyle name="Migliaia [0] 9 3" xfId="3707" xr:uid="{00000000-0005-0000-0000-0000780E0000}"/>
    <cellStyle name="Migliaia [0] 9 3 2" xfId="3708" xr:uid="{00000000-0005-0000-0000-0000790E0000}"/>
    <cellStyle name="Migliaia [0] 9 3 3" xfId="3709" xr:uid="{00000000-0005-0000-0000-00007A0E0000}"/>
    <cellStyle name="Migliaia [0] 9 4" xfId="3710" xr:uid="{00000000-0005-0000-0000-00007B0E0000}"/>
    <cellStyle name="Migliaia 10" xfId="3711" xr:uid="{00000000-0005-0000-0000-00007C0E0000}"/>
    <cellStyle name="Migliaia 10 2" xfId="3712" xr:uid="{00000000-0005-0000-0000-00007D0E0000}"/>
    <cellStyle name="Migliaia 10 2 2" xfId="3713" xr:uid="{00000000-0005-0000-0000-00007E0E0000}"/>
    <cellStyle name="Migliaia 10 2 2 2" xfId="3714" xr:uid="{00000000-0005-0000-0000-00007F0E0000}"/>
    <cellStyle name="Migliaia 10 2 2 2 2" xfId="3715" xr:uid="{00000000-0005-0000-0000-0000800E0000}"/>
    <cellStyle name="Migliaia 10 2 2 2 3" xfId="3716" xr:uid="{00000000-0005-0000-0000-0000810E0000}"/>
    <cellStyle name="Migliaia 10 2 2 3" xfId="3717" xr:uid="{00000000-0005-0000-0000-0000820E0000}"/>
    <cellStyle name="Migliaia 10 2 2 4" xfId="3718" xr:uid="{00000000-0005-0000-0000-0000830E0000}"/>
    <cellStyle name="Migliaia 10 2 3" xfId="3719" xr:uid="{00000000-0005-0000-0000-0000840E0000}"/>
    <cellStyle name="Migliaia 10 2 3 2" xfId="3720" xr:uid="{00000000-0005-0000-0000-0000850E0000}"/>
    <cellStyle name="Migliaia 10 2 4" xfId="3721" xr:uid="{00000000-0005-0000-0000-0000860E0000}"/>
    <cellStyle name="Migliaia 10 2 4 2" xfId="3722" xr:uid="{00000000-0005-0000-0000-0000870E0000}"/>
    <cellStyle name="Migliaia 10 2 5" xfId="3723" xr:uid="{00000000-0005-0000-0000-0000880E0000}"/>
    <cellStyle name="Migliaia 10 3" xfId="3724" xr:uid="{00000000-0005-0000-0000-0000890E0000}"/>
    <cellStyle name="Migliaia 10 3 2" xfId="3725" xr:uid="{00000000-0005-0000-0000-00008A0E0000}"/>
    <cellStyle name="Migliaia 10 3 2 2" xfId="3726" xr:uid="{00000000-0005-0000-0000-00008B0E0000}"/>
    <cellStyle name="Migliaia 10 3 2 2 2" xfId="3727" xr:uid="{00000000-0005-0000-0000-00008C0E0000}"/>
    <cellStyle name="Migliaia 10 3 2 2 3" xfId="3728" xr:uid="{00000000-0005-0000-0000-00008D0E0000}"/>
    <cellStyle name="Migliaia 10 3 2 3" xfId="3729" xr:uid="{00000000-0005-0000-0000-00008E0E0000}"/>
    <cellStyle name="Migliaia 10 3 2 3 2" xfId="3730" xr:uid="{00000000-0005-0000-0000-00008F0E0000}"/>
    <cellStyle name="Migliaia 10 3 2 4" xfId="3731" xr:uid="{00000000-0005-0000-0000-0000900E0000}"/>
    <cellStyle name="Migliaia 10 3 3" xfId="3732" xr:uid="{00000000-0005-0000-0000-0000910E0000}"/>
    <cellStyle name="Migliaia 10 3 3 2" xfId="3733" xr:uid="{00000000-0005-0000-0000-0000920E0000}"/>
    <cellStyle name="Migliaia 10 3 3 2 2" xfId="3734" xr:uid="{00000000-0005-0000-0000-0000930E0000}"/>
    <cellStyle name="Migliaia 10 3 3 3" xfId="3735" xr:uid="{00000000-0005-0000-0000-0000940E0000}"/>
    <cellStyle name="Migliaia 10 3 4" xfId="3736" xr:uid="{00000000-0005-0000-0000-0000950E0000}"/>
    <cellStyle name="Migliaia 10 3 4 2" xfId="3737" xr:uid="{00000000-0005-0000-0000-0000960E0000}"/>
    <cellStyle name="Migliaia 10 3 4 2 2" xfId="3738" xr:uid="{00000000-0005-0000-0000-0000970E0000}"/>
    <cellStyle name="Migliaia 10 3 4 3" xfId="3739" xr:uid="{00000000-0005-0000-0000-0000980E0000}"/>
    <cellStyle name="Migliaia 10 3 5" xfId="3740" xr:uid="{00000000-0005-0000-0000-0000990E0000}"/>
    <cellStyle name="Migliaia 10 3 5 2" xfId="3741" xr:uid="{00000000-0005-0000-0000-00009A0E0000}"/>
    <cellStyle name="Migliaia 10 3 6" xfId="3742" xr:uid="{00000000-0005-0000-0000-00009B0E0000}"/>
    <cellStyle name="Migliaia 10 3 6 2" xfId="3743" xr:uid="{00000000-0005-0000-0000-00009C0E0000}"/>
    <cellStyle name="Migliaia 10 3 7" xfId="3744" xr:uid="{00000000-0005-0000-0000-00009D0E0000}"/>
    <cellStyle name="Migliaia 10 4" xfId="3745" xr:uid="{00000000-0005-0000-0000-00009E0E0000}"/>
    <cellStyle name="Migliaia 10 4 2" xfId="3746" xr:uid="{00000000-0005-0000-0000-00009F0E0000}"/>
    <cellStyle name="Migliaia 10 4 2 2" xfId="3747" xr:uid="{00000000-0005-0000-0000-0000A00E0000}"/>
    <cellStyle name="Migliaia 10 4 2 2 2" xfId="3748" xr:uid="{00000000-0005-0000-0000-0000A10E0000}"/>
    <cellStyle name="Migliaia 10 4 2 3" xfId="3749" xr:uid="{00000000-0005-0000-0000-0000A20E0000}"/>
    <cellStyle name="Migliaia 10 4 2 4" xfId="3750" xr:uid="{00000000-0005-0000-0000-0000A30E0000}"/>
    <cellStyle name="Migliaia 10 4 2 5" xfId="3751" xr:uid="{00000000-0005-0000-0000-0000A40E0000}"/>
    <cellStyle name="Migliaia 10 4 3" xfId="3752" xr:uid="{00000000-0005-0000-0000-0000A50E0000}"/>
    <cellStyle name="Migliaia 10 4 4" xfId="3753" xr:uid="{00000000-0005-0000-0000-0000A60E0000}"/>
    <cellStyle name="Migliaia 10 4 5" xfId="3754" xr:uid="{00000000-0005-0000-0000-0000A70E0000}"/>
    <cellStyle name="Migliaia 10 5" xfId="3755" xr:uid="{00000000-0005-0000-0000-0000A80E0000}"/>
    <cellStyle name="Migliaia 10 5 2" xfId="3756" xr:uid="{00000000-0005-0000-0000-0000A90E0000}"/>
    <cellStyle name="Migliaia 10 5 3" xfId="3757" xr:uid="{00000000-0005-0000-0000-0000AA0E0000}"/>
    <cellStyle name="Migliaia 10 6" xfId="3758" xr:uid="{00000000-0005-0000-0000-0000AB0E0000}"/>
    <cellStyle name="Migliaia 10 6 2" xfId="3759" xr:uid="{00000000-0005-0000-0000-0000AC0E0000}"/>
    <cellStyle name="Migliaia 10 6 2 2" xfId="3760" xr:uid="{00000000-0005-0000-0000-0000AD0E0000}"/>
    <cellStyle name="Migliaia 10 6 3" xfId="3761" xr:uid="{00000000-0005-0000-0000-0000AE0E0000}"/>
    <cellStyle name="Migliaia 10 7" xfId="3762" xr:uid="{00000000-0005-0000-0000-0000AF0E0000}"/>
    <cellStyle name="Migliaia 10 7 2" xfId="3763" xr:uid="{00000000-0005-0000-0000-0000B00E0000}"/>
    <cellStyle name="Migliaia 10 8" xfId="3764" xr:uid="{00000000-0005-0000-0000-0000B10E0000}"/>
    <cellStyle name="Migliaia 10 8 2" xfId="3765" xr:uid="{00000000-0005-0000-0000-0000B20E0000}"/>
    <cellStyle name="Migliaia 11" xfId="3766" xr:uid="{00000000-0005-0000-0000-0000B30E0000}"/>
    <cellStyle name="Migliaia 11 2" xfId="3767" xr:uid="{00000000-0005-0000-0000-0000B40E0000}"/>
    <cellStyle name="Migliaia 11 2 2" xfId="3768" xr:uid="{00000000-0005-0000-0000-0000B50E0000}"/>
    <cellStyle name="Migliaia 11 2 2 2" xfId="3769" xr:uid="{00000000-0005-0000-0000-0000B60E0000}"/>
    <cellStyle name="Migliaia 11 2 2 2 2" xfId="3770" xr:uid="{00000000-0005-0000-0000-0000B70E0000}"/>
    <cellStyle name="Migliaia 11 2 2 2 3" xfId="3771" xr:uid="{00000000-0005-0000-0000-0000B80E0000}"/>
    <cellStyle name="Migliaia 11 2 2 3" xfId="3772" xr:uid="{00000000-0005-0000-0000-0000B90E0000}"/>
    <cellStyle name="Migliaia 11 2 2 4" xfId="3773" xr:uid="{00000000-0005-0000-0000-0000BA0E0000}"/>
    <cellStyle name="Migliaia 11 2 3" xfId="3774" xr:uid="{00000000-0005-0000-0000-0000BB0E0000}"/>
    <cellStyle name="Migliaia 11 2 3 2" xfId="3775" xr:uid="{00000000-0005-0000-0000-0000BC0E0000}"/>
    <cellStyle name="Migliaia 11 2 4" xfId="3776" xr:uid="{00000000-0005-0000-0000-0000BD0E0000}"/>
    <cellStyle name="Migliaia 11 2 4 2" xfId="3777" xr:uid="{00000000-0005-0000-0000-0000BE0E0000}"/>
    <cellStyle name="Migliaia 11 2 5" xfId="3778" xr:uid="{00000000-0005-0000-0000-0000BF0E0000}"/>
    <cellStyle name="Migliaia 11 3" xfId="3779" xr:uid="{00000000-0005-0000-0000-0000C00E0000}"/>
    <cellStyle name="Migliaia 11 3 2" xfId="3780" xr:uid="{00000000-0005-0000-0000-0000C10E0000}"/>
    <cellStyle name="Migliaia 11 3 2 2" xfId="3781" xr:uid="{00000000-0005-0000-0000-0000C20E0000}"/>
    <cellStyle name="Migliaia 11 3 2 2 2" xfId="3782" xr:uid="{00000000-0005-0000-0000-0000C30E0000}"/>
    <cellStyle name="Migliaia 11 3 2 2 3" xfId="3783" xr:uid="{00000000-0005-0000-0000-0000C40E0000}"/>
    <cellStyle name="Migliaia 11 3 2 3" xfId="3784" xr:uid="{00000000-0005-0000-0000-0000C50E0000}"/>
    <cellStyle name="Migliaia 11 3 2 3 2" xfId="3785" xr:uid="{00000000-0005-0000-0000-0000C60E0000}"/>
    <cellStyle name="Migliaia 11 3 2 4" xfId="3786" xr:uid="{00000000-0005-0000-0000-0000C70E0000}"/>
    <cellStyle name="Migliaia 11 3 3" xfId="3787" xr:uid="{00000000-0005-0000-0000-0000C80E0000}"/>
    <cellStyle name="Migliaia 11 3 3 2" xfId="3788" xr:uid="{00000000-0005-0000-0000-0000C90E0000}"/>
    <cellStyle name="Migliaia 11 3 3 2 2" xfId="3789" xr:uid="{00000000-0005-0000-0000-0000CA0E0000}"/>
    <cellStyle name="Migliaia 11 3 3 3" xfId="3790" xr:uid="{00000000-0005-0000-0000-0000CB0E0000}"/>
    <cellStyle name="Migliaia 11 3 4" xfId="3791" xr:uid="{00000000-0005-0000-0000-0000CC0E0000}"/>
    <cellStyle name="Migliaia 11 3 4 2" xfId="3792" xr:uid="{00000000-0005-0000-0000-0000CD0E0000}"/>
    <cellStyle name="Migliaia 11 3 4 2 2" xfId="3793" xr:uid="{00000000-0005-0000-0000-0000CE0E0000}"/>
    <cellStyle name="Migliaia 11 3 4 3" xfId="3794" xr:uid="{00000000-0005-0000-0000-0000CF0E0000}"/>
    <cellStyle name="Migliaia 11 3 5" xfId="3795" xr:uid="{00000000-0005-0000-0000-0000D00E0000}"/>
    <cellStyle name="Migliaia 11 3 5 2" xfId="3796" xr:uid="{00000000-0005-0000-0000-0000D10E0000}"/>
    <cellStyle name="Migliaia 11 3 6" xfId="3797" xr:uid="{00000000-0005-0000-0000-0000D20E0000}"/>
    <cellStyle name="Migliaia 11 3 6 2" xfId="3798" xr:uid="{00000000-0005-0000-0000-0000D30E0000}"/>
    <cellStyle name="Migliaia 11 3 7" xfId="3799" xr:uid="{00000000-0005-0000-0000-0000D40E0000}"/>
    <cellStyle name="Migliaia 11 4" xfId="3800" xr:uid="{00000000-0005-0000-0000-0000D50E0000}"/>
    <cellStyle name="Migliaia 11 4 2" xfId="3801" xr:uid="{00000000-0005-0000-0000-0000D60E0000}"/>
    <cellStyle name="Migliaia 11 4 2 2" xfId="3802" xr:uid="{00000000-0005-0000-0000-0000D70E0000}"/>
    <cellStyle name="Migliaia 11 4 2 2 2" xfId="3803" xr:uid="{00000000-0005-0000-0000-0000D80E0000}"/>
    <cellStyle name="Migliaia 11 4 2 3" xfId="3804" xr:uid="{00000000-0005-0000-0000-0000D90E0000}"/>
    <cellStyle name="Migliaia 11 4 2 4" xfId="3805" xr:uid="{00000000-0005-0000-0000-0000DA0E0000}"/>
    <cellStyle name="Migliaia 11 4 2 5" xfId="3806" xr:uid="{00000000-0005-0000-0000-0000DB0E0000}"/>
    <cellStyle name="Migliaia 11 4 3" xfId="3807" xr:uid="{00000000-0005-0000-0000-0000DC0E0000}"/>
    <cellStyle name="Migliaia 11 4 4" xfId="3808" xr:uid="{00000000-0005-0000-0000-0000DD0E0000}"/>
    <cellStyle name="Migliaia 11 4 5" xfId="3809" xr:uid="{00000000-0005-0000-0000-0000DE0E0000}"/>
    <cellStyle name="Migliaia 11 5" xfId="3810" xr:uid="{00000000-0005-0000-0000-0000DF0E0000}"/>
    <cellStyle name="Migliaia 11 5 2" xfId="3811" xr:uid="{00000000-0005-0000-0000-0000E00E0000}"/>
    <cellStyle name="Migliaia 11 5 3" xfId="3812" xr:uid="{00000000-0005-0000-0000-0000E10E0000}"/>
    <cellStyle name="Migliaia 11 6" xfId="3813" xr:uid="{00000000-0005-0000-0000-0000E20E0000}"/>
    <cellStyle name="Migliaia 11 6 2" xfId="3814" xr:uid="{00000000-0005-0000-0000-0000E30E0000}"/>
    <cellStyle name="Migliaia 11 6 2 2" xfId="3815" xr:uid="{00000000-0005-0000-0000-0000E40E0000}"/>
    <cellStyle name="Migliaia 11 6 3" xfId="3816" xr:uid="{00000000-0005-0000-0000-0000E50E0000}"/>
    <cellStyle name="Migliaia 11 7" xfId="3817" xr:uid="{00000000-0005-0000-0000-0000E60E0000}"/>
    <cellStyle name="Migliaia 11 7 2" xfId="3818" xr:uid="{00000000-0005-0000-0000-0000E70E0000}"/>
    <cellStyle name="Migliaia 11 8" xfId="3819" xr:uid="{00000000-0005-0000-0000-0000E80E0000}"/>
    <cellStyle name="Migliaia 11 8 2" xfId="3820" xr:uid="{00000000-0005-0000-0000-0000E90E0000}"/>
    <cellStyle name="Migliaia 12" xfId="3821" xr:uid="{00000000-0005-0000-0000-0000EA0E0000}"/>
    <cellStyle name="Migliaia 12 2" xfId="3822" xr:uid="{00000000-0005-0000-0000-0000EB0E0000}"/>
    <cellStyle name="Migliaia 12 2 2" xfId="3823" xr:uid="{00000000-0005-0000-0000-0000EC0E0000}"/>
    <cellStyle name="Migliaia 12 2 2 2" xfId="3824" xr:uid="{00000000-0005-0000-0000-0000ED0E0000}"/>
    <cellStyle name="Migliaia 12 2 2 2 2" xfId="3825" xr:uid="{00000000-0005-0000-0000-0000EE0E0000}"/>
    <cellStyle name="Migliaia 12 2 2 2 3" xfId="3826" xr:uid="{00000000-0005-0000-0000-0000EF0E0000}"/>
    <cellStyle name="Migliaia 12 2 2 3" xfId="3827" xr:uid="{00000000-0005-0000-0000-0000F00E0000}"/>
    <cellStyle name="Migliaia 12 2 2 4" xfId="3828" xr:uid="{00000000-0005-0000-0000-0000F10E0000}"/>
    <cellStyle name="Migliaia 12 2 3" xfId="3829" xr:uid="{00000000-0005-0000-0000-0000F20E0000}"/>
    <cellStyle name="Migliaia 12 2 3 2" xfId="3830" xr:uid="{00000000-0005-0000-0000-0000F30E0000}"/>
    <cellStyle name="Migliaia 12 2 4" xfId="3831" xr:uid="{00000000-0005-0000-0000-0000F40E0000}"/>
    <cellStyle name="Migliaia 12 2 4 2" xfId="3832" xr:uid="{00000000-0005-0000-0000-0000F50E0000}"/>
    <cellStyle name="Migliaia 12 2 5" xfId="3833" xr:uid="{00000000-0005-0000-0000-0000F60E0000}"/>
    <cellStyle name="Migliaia 12 3" xfId="3834" xr:uid="{00000000-0005-0000-0000-0000F70E0000}"/>
    <cellStyle name="Migliaia 12 3 2" xfId="3835" xr:uid="{00000000-0005-0000-0000-0000F80E0000}"/>
    <cellStyle name="Migliaia 12 3 2 2" xfId="3836" xr:uid="{00000000-0005-0000-0000-0000F90E0000}"/>
    <cellStyle name="Migliaia 12 3 2 2 2" xfId="3837" xr:uid="{00000000-0005-0000-0000-0000FA0E0000}"/>
    <cellStyle name="Migliaia 12 3 2 2 3" xfId="3838" xr:uid="{00000000-0005-0000-0000-0000FB0E0000}"/>
    <cellStyle name="Migliaia 12 3 2 3" xfId="3839" xr:uid="{00000000-0005-0000-0000-0000FC0E0000}"/>
    <cellStyle name="Migliaia 12 3 2 3 2" xfId="3840" xr:uid="{00000000-0005-0000-0000-0000FD0E0000}"/>
    <cellStyle name="Migliaia 12 3 2 4" xfId="3841" xr:uid="{00000000-0005-0000-0000-0000FE0E0000}"/>
    <cellStyle name="Migliaia 12 3 3" xfId="3842" xr:uid="{00000000-0005-0000-0000-0000FF0E0000}"/>
    <cellStyle name="Migliaia 12 3 3 2" xfId="3843" xr:uid="{00000000-0005-0000-0000-0000000F0000}"/>
    <cellStyle name="Migliaia 12 3 3 2 2" xfId="3844" xr:uid="{00000000-0005-0000-0000-0000010F0000}"/>
    <cellStyle name="Migliaia 12 3 3 3" xfId="3845" xr:uid="{00000000-0005-0000-0000-0000020F0000}"/>
    <cellStyle name="Migliaia 12 3 4" xfId="3846" xr:uid="{00000000-0005-0000-0000-0000030F0000}"/>
    <cellStyle name="Migliaia 12 3 4 2" xfId="3847" xr:uid="{00000000-0005-0000-0000-0000040F0000}"/>
    <cellStyle name="Migliaia 12 3 4 2 2" xfId="3848" xr:uid="{00000000-0005-0000-0000-0000050F0000}"/>
    <cellStyle name="Migliaia 12 3 4 3" xfId="3849" xr:uid="{00000000-0005-0000-0000-0000060F0000}"/>
    <cellStyle name="Migliaia 12 3 5" xfId="3850" xr:uid="{00000000-0005-0000-0000-0000070F0000}"/>
    <cellStyle name="Migliaia 12 3 5 2" xfId="3851" xr:uid="{00000000-0005-0000-0000-0000080F0000}"/>
    <cellStyle name="Migliaia 12 3 6" xfId="3852" xr:uid="{00000000-0005-0000-0000-0000090F0000}"/>
    <cellStyle name="Migliaia 12 3 6 2" xfId="3853" xr:uid="{00000000-0005-0000-0000-00000A0F0000}"/>
    <cellStyle name="Migliaia 12 3 7" xfId="3854" xr:uid="{00000000-0005-0000-0000-00000B0F0000}"/>
    <cellStyle name="Migliaia 12 4" xfId="3855" xr:uid="{00000000-0005-0000-0000-00000C0F0000}"/>
    <cellStyle name="Migliaia 12 4 2" xfId="3856" xr:uid="{00000000-0005-0000-0000-00000D0F0000}"/>
    <cellStyle name="Migliaia 12 4 2 2" xfId="3857" xr:uid="{00000000-0005-0000-0000-00000E0F0000}"/>
    <cellStyle name="Migliaia 12 4 2 2 2" xfId="3858" xr:uid="{00000000-0005-0000-0000-00000F0F0000}"/>
    <cellStyle name="Migliaia 12 4 2 3" xfId="3859" xr:uid="{00000000-0005-0000-0000-0000100F0000}"/>
    <cellStyle name="Migliaia 12 4 2 4" xfId="3860" xr:uid="{00000000-0005-0000-0000-0000110F0000}"/>
    <cellStyle name="Migliaia 12 4 2 5" xfId="3861" xr:uid="{00000000-0005-0000-0000-0000120F0000}"/>
    <cellStyle name="Migliaia 12 4 3" xfId="3862" xr:uid="{00000000-0005-0000-0000-0000130F0000}"/>
    <cellStyle name="Migliaia 12 4 4" xfId="3863" xr:uid="{00000000-0005-0000-0000-0000140F0000}"/>
    <cellStyle name="Migliaia 12 4 5" xfId="3864" xr:uid="{00000000-0005-0000-0000-0000150F0000}"/>
    <cellStyle name="Migliaia 12 5" xfId="3865" xr:uid="{00000000-0005-0000-0000-0000160F0000}"/>
    <cellStyle name="Migliaia 12 5 2" xfId="3866" xr:uid="{00000000-0005-0000-0000-0000170F0000}"/>
    <cellStyle name="Migliaia 12 5 3" xfId="3867" xr:uid="{00000000-0005-0000-0000-0000180F0000}"/>
    <cellStyle name="Migliaia 12 6" xfId="3868" xr:uid="{00000000-0005-0000-0000-0000190F0000}"/>
    <cellStyle name="Migliaia 12 6 2" xfId="3869" xr:uid="{00000000-0005-0000-0000-00001A0F0000}"/>
    <cellStyle name="Migliaia 12 6 2 2" xfId="3870" xr:uid="{00000000-0005-0000-0000-00001B0F0000}"/>
    <cellStyle name="Migliaia 12 6 3" xfId="3871" xr:uid="{00000000-0005-0000-0000-00001C0F0000}"/>
    <cellStyle name="Migliaia 12 7" xfId="3872" xr:uid="{00000000-0005-0000-0000-00001D0F0000}"/>
    <cellStyle name="Migliaia 12 7 2" xfId="3873" xr:uid="{00000000-0005-0000-0000-00001E0F0000}"/>
    <cellStyle name="Migliaia 12 8" xfId="3874" xr:uid="{00000000-0005-0000-0000-00001F0F0000}"/>
    <cellStyle name="Migliaia 12 8 2" xfId="3875" xr:uid="{00000000-0005-0000-0000-0000200F0000}"/>
    <cellStyle name="Migliaia 13" xfId="3876" xr:uid="{00000000-0005-0000-0000-0000210F0000}"/>
    <cellStyle name="Migliaia 13 2" xfId="3877" xr:uid="{00000000-0005-0000-0000-0000220F0000}"/>
    <cellStyle name="Migliaia 13 2 2" xfId="3878" xr:uid="{00000000-0005-0000-0000-0000230F0000}"/>
    <cellStyle name="Migliaia 13 2 2 2" xfId="3879" xr:uid="{00000000-0005-0000-0000-0000240F0000}"/>
    <cellStyle name="Migliaia 13 2 2 2 2" xfId="3880" xr:uid="{00000000-0005-0000-0000-0000250F0000}"/>
    <cellStyle name="Migliaia 13 2 2 2 3" xfId="3881" xr:uid="{00000000-0005-0000-0000-0000260F0000}"/>
    <cellStyle name="Migliaia 13 2 2 3" xfId="3882" xr:uid="{00000000-0005-0000-0000-0000270F0000}"/>
    <cellStyle name="Migliaia 13 2 2 4" xfId="3883" xr:uid="{00000000-0005-0000-0000-0000280F0000}"/>
    <cellStyle name="Migliaia 13 2 3" xfId="3884" xr:uid="{00000000-0005-0000-0000-0000290F0000}"/>
    <cellStyle name="Migliaia 13 2 3 2" xfId="3885" xr:uid="{00000000-0005-0000-0000-00002A0F0000}"/>
    <cellStyle name="Migliaia 13 2 4" xfId="3886" xr:uid="{00000000-0005-0000-0000-00002B0F0000}"/>
    <cellStyle name="Migliaia 13 2 4 2" xfId="3887" xr:uid="{00000000-0005-0000-0000-00002C0F0000}"/>
    <cellStyle name="Migliaia 13 2 5" xfId="3888" xr:uid="{00000000-0005-0000-0000-00002D0F0000}"/>
    <cellStyle name="Migliaia 13 3" xfId="3889" xr:uid="{00000000-0005-0000-0000-00002E0F0000}"/>
    <cellStyle name="Migliaia 13 3 2" xfId="3890" xr:uid="{00000000-0005-0000-0000-00002F0F0000}"/>
    <cellStyle name="Migliaia 13 3 2 2" xfId="3891" xr:uid="{00000000-0005-0000-0000-0000300F0000}"/>
    <cellStyle name="Migliaia 13 3 2 2 2" xfId="3892" xr:uid="{00000000-0005-0000-0000-0000310F0000}"/>
    <cellStyle name="Migliaia 13 3 2 2 3" xfId="3893" xr:uid="{00000000-0005-0000-0000-0000320F0000}"/>
    <cellStyle name="Migliaia 13 3 2 3" xfId="3894" xr:uid="{00000000-0005-0000-0000-0000330F0000}"/>
    <cellStyle name="Migliaia 13 3 2 3 2" xfId="3895" xr:uid="{00000000-0005-0000-0000-0000340F0000}"/>
    <cellStyle name="Migliaia 13 3 2 4" xfId="3896" xr:uid="{00000000-0005-0000-0000-0000350F0000}"/>
    <cellStyle name="Migliaia 13 3 3" xfId="3897" xr:uid="{00000000-0005-0000-0000-0000360F0000}"/>
    <cellStyle name="Migliaia 13 3 3 2" xfId="3898" xr:uid="{00000000-0005-0000-0000-0000370F0000}"/>
    <cellStyle name="Migliaia 13 3 3 2 2" xfId="3899" xr:uid="{00000000-0005-0000-0000-0000380F0000}"/>
    <cellStyle name="Migliaia 13 3 3 3" xfId="3900" xr:uid="{00000000-0005-0000-0000-0000390F0000}"/>
    <cellStyle name="Migliaia 13 3 4" xfId="3901" xr:uid="{00000000-0005-0000-0000-00003A0F0000}"/>
    <cellStyle name="Migliaia 13 3 4 2" xfId="3902" xr:uid="{00000000-0005-0000-0000-00003B0F0000}"/>
    <cellStyle name="Migliaia 13 3 4 2 2" xfId="3903" xr:uid="{00000000-0005-0000-0000-00003C0F0000}"/>
    <cellStyle name="Migliaia 13 3 4 3" xfId="3904" xr:uid="{00000000-0005-0000-0000-00003D0F0000}"/>
    <cellStyle name="Migliaia 13 3 5" xfId="3905" xr:uid="{00000000-0005-0000-0000-00003E0F0000}"/>
    <cellStyle name="Migliaia 13 3 5 2" xfId="3906" xr:uid="{00000000-0005-0000-0000-00003F0F0000}"/>
    <cellStyle name="Migliaia 13 3 6" xfId="3907" xr:uid="{00000000-0005-0000-0000-0000400F0000}"/>
    <cellStyle name="Migliaia 13 3 6 2" xfId="3908" xr:uid="{00000000-0005-0000-0000-0000410F0000}"/>
    <cellStyle name="Migliaia 13 3 7" xfId="3909" xr:uid="{00000000-0005-0000-0000-0000420F0000}"/>
    <cellStyle name="Migliaia 13 4" xfId="3910" xr:uid="{00000000-0005-0000-0000-0000430F0000}"/>
    <cellStyle name="Migliaia 13 4 2" xfId="3911" xr:uid="{00000000-0005-0000-0000-0000440F0000}"/>
    <cellStyle name="Migliaia 13 4 2 2" xfId="3912" xr:uid="{00000000-0005-0000-0000-0000450F0000}"/>
    <cellStyle name="Migliaia 13 4 2 2 2" xfId="3913" xr:uid="{00000000-0005-0000-0000-0000460F0000}"/>
    <cellStyle name="Migliaia 13 4 2 3" xfId="3914" xr:uid="{00000000-0005-0000-0000-0000470F0000}"/>
    <cellStyle name="Migliaia 13 4 2 4" xfId="3915" xr:uid="{00000000-0005-0000-0000-0000480F0000}"/>
    <cellStyle name="Migliaia 13 4 2 5" xfId="3916" xr:uid="{00000000-0005-0000-0000-0000490F0000}"/>
    <cellStyle name="Migliaia 13 4 3" xfId="3917" xr:uid="{00000000-0005-0000-0000-00004A0F0000}"/>
    <cellStyle name="Migliaia 13 4 4" xfId="3918" xr:uid="{00000000-0005-0000-0000-00004B0F0000}"/>
    <cellStyle name="Migliaia 13 4 5" xfId="3919" xr:uid="{00000000-0005-0000-0000-00004C0F0000}"/>
    <cellStyle name="Migliaia 13 5" xfId="3920" xr:uid="{00000000-0005-0000-0000-00004D0F0000}"/>
    <cellStyle name="Migliaia 13 5 2" xfId="3921" xr:uid="{00000000-0005-0000-0000-00004E0F0000}"/>
    <cellStyle name="Migliaia 13 5 3" xfId="3922" xr:uid="{00000000-0005-0000-0000-00004F0F0000}"/>
    <cellStyle name="Migliaia 13 6" xfId="3923" xr:uid="{00000000-0005-0000-0000-0000500F0000}"/>
    <cellStyle name="Migliaia 13 6 2" xfId="3924" xr:uid="{00000000-0005-0000-0000-0000510F0000}"/>
    <cellStyle name="Migliaia 13 6 2 2" xfId="3925" xr:uid="{00000000-0005-0000-0000-0000520F0000}"/>
    <cellStyle name="Migliaia 13 6 3" xfId="3926" xr:uid="{00000000-0005-0000-0000-0000530F0000}"/>
    <cellStyle name="Migliaia 13 7" xfId="3927" xr:uid="{00000000-0005-0000-0000-0000540F0000}"/>
    <cellStyle name="Migliaia 13 7 2" xfId="3928" xr:uid="{00000000-0005-0000-0000-0000550F0000}"/>
    <cellStyle name="Migliaia 13 8" xfId="3929" xr:uid="{00000000-0005-0000-0000-0000560F0000}"/>
    <cellStyle name="Migliaia 13 8 2" xfId="3930" xr:uid="{00000000-0005-0000-0000-0000570F0000}"/>
    <cellStyle name="Migliaia 14" xfId="3931" xr:uid="{00000000-0005-0000-0000-0000580F0000}"/>
    <cellStyle name="Migliaia 14 2" xfId="3932" xr:uid="{00000000-0005-0000-0000-0000590F0000}"/>
    <cellStyle name="Migliaia 14 2 2" xfId="3933" xr:uid="{00000000-0005-0000-0000-00005A0F0000}"/>
    <cellStyle name="Migliaia 14 2 2 2" xfId="3934" xr:uid="{00000000-0005-0000-0000-00005B0F0000}"/>
    <cellStyle name="Migliaia 14 2 2 2 2" xfId="3935" xr:uid="{00000000-0005-0000-0000-00005C0F0000}"/>
    <cellStyle name="Migliaia 14 2 2 2 3" xfId="3936" xr:uid="{00000000-0005-0000-0000-00005D0F0000}"/>
    <cellStyle name="Migliaia 14 2 2 3" xfId="3937" xr:uid="{00000000-0005-0000-0000-00005E0F0000}"/>
    <cellStyle name="Migliaia 14 2 2 4" xfId="3938" xr:uid="{00000000-0005-0000-0000-00005F0F0000}"/>
    <cellStyle name="Migliaia 14 2 3" xfId="3939" xr:uid="{00000000-0005-0000-0000-0000600F0000}"/>
    <cellStyle name="Migliaia 14 2 3 2" xfId="3940" xr:uid="{00000000-0005-0000-0000-0000610F0000}"/>
    <cellStyle name="Migliaia 14 2 4" xfId="3941" xr:uid="{00000000-0005-0000-0000-0000620F0000}"/>
    <cellStyle name="Migliaia 14 2 4 2" xfId="3942" xr:uid="{00000000-0005-0000-0000-0000630F0000}"/>
    <cellStyle name="Migliaia 14 2 5" xfId="3943" xr:uid="{00000000-0005-0000-0000-0000640F0000}"/>
    <cellStyle name="Migliaia 14 3" xfId="3944" xr:uid="{00000000-0005-0000-0000-0000650F0000}"/>
    <cellStyle name="Migliaia 14 3 2" xfId="3945" xr:uid="{00000000-0005-0000-0000-0000660F0000}"/>
    <cellStyle name="Migliaia 14 3 2 2" xfId="3946" xr:uid="{00000000-0005-0000-0000-0000670F0000}"/>
    <cellStyle name="Migliaia 14 3 2 2 2" xfId="3947" xr:uid="{00000000-0005-0000-0000-0000680F0000}"/>
    <cellStyle name="Migliaia 14 3 2 2 3" xfId="3948" xr:uid="{00000000-0005-0000-0000-0000690F0000}"/>
    <cellStyle name="Migliaia 14 3 2 3" xfId="3949" xr:uid="{00000000-0005-0000-0000-00006A0F0000}"/>
    <cellStyle name="Migliaia 14 3 2 3 2" xfId="3950" xr:uid="{00000000-0005-0000-0000-00006B0F0000}"/>
    <cellStyle name="Migliaia 14 3 2 4" xfId="3951" xr:uid="{00000000-0005-0000-0000-00006C0F0000}"/>
    <cellStyle name="Migliaia 14 3 3" xfId="3952" xr:uid="{00000000-0005-0000-0000-00006D0F0000}"/>
    <cellStyle name="Migliaia 14 3 3 2" xfId="3953" xr:uid="{00000000-0005-0000-0000-00006E0F0000}"/>
    <cellStyle name="Migliaia 14 3 3 2 2" xfId="3954" xr:uid="{00000000-0005-0000-0000-00006F0F0000}"/>
    <cellStyle name="Migliaia 14 3 3 3" xfId="3955" xr:uid="{00000000-0005-0000-0000-0000700F0000}"/>
    <cellStyle name="Migliaia 14 3 4" xfId="3956" xr:uid="{00000000-0005-0000-0000-0000710F0000}"/>
    <cellStyle name="Migliaia 14 3 4 2" xfId="3957" xr:uid="{00000000-0005-0000-0000-0000720F0000}"/>
    <cellStyle name="Migliaia 14 3 4 2 2" xfId="3958" xr:uid="{00000000-0005-0000-0000-0000730F0000}"/>
    <cellStyle name="Migliaia 14 3 4 3" xfId="3959" xr:uid="{00000000-0005-0000-0000-0000740F0000}"/>
    <cellStyle name="Migliaia 14 3 5" xfId="3960" xr:uid="{00000000-0005-0000-0000-0000750F0000}"/>
    <cellStyle name="Migliaia 14 3 5 2" xfId="3961" xr:uid="{00000000-0005-0000-0000-0000760F0000}"/>
    <cellStyle name="Migliaia 14 3 6" xfId="3962" xr:uid="{00000000-0005-0000-0000-0000770F0000}"/>
    <cellStyle name="Migliaia 14 3 6 2" xfId="3963" xr:uid="{00000000-0005-0000-0000-0000780F0000}"/>
    <cellStyle name="Migliaia 14 3 7" xfId="3964" xr:uid="{00000000-0005-0000-0000-0000790F0000}"/>
    <cellStyle name="Migliaia 14 4" xfId="3965" xr:uid="{00000000-0005-0000-0000-00007A0F0000}"/>
    <cellStyle name="Migliaia 14 4 2" xfId="3966" xr:uid="{00000000-0005-0000-0000-00007B0F0000}"/>
    <cellStyle name="Migliaia 14 4 2 2" xfId="3967" xr:uid="{00000000-0005-0000-0000-00007C0F0000}"/>
    <cellStyle name="Migliaia 14 4 2 2 2" xfId="3968" xr:uid="{00000000-0005-0000-0000-00007D0F0000}"/>
    <cellStyle name="Migliaia 14 4 2 3" xfId="3969" xr:uid="{00000000-0005-0000-0000-00007E0F0000}"/>
    <cellStyle name="Migliaia 14 4 2 4" xfId="3970" xr:uid="{00000000-0005-0000-0000-00007F0F0000}"/>
    <cellStyle name="Migliaia 14 4 2 5" xfId="3971" xr:uid="{00000000-0005-0000-0000-0000800F0000}"/>
    <cellStyle name="Migliaia 14 4 3" xfId="3972" xr:uid="{00000000-0005-0000-0000-0000810F0000}"/>
    <cellStyle name="Migliaia 14 4 4" xfId="3973" xr:uid="{00000000-0005-0000-0000-0000820F0000}"/>
    <cellStyle name="Migliaia 14 4 5" xfId="3974" xr:uid="{00000000-0005-0000-0000-0000830F0000}"/>
    <cellStyle name="Migliaia 14 5" xfId="3975" xr:uid="{00000000-0005-0000-0000-0000840F0000}"/>
    <cellStyle name="Migliaia 14 5 2" xfId="3976" xr:uid="{00000000-0005-0000-0000-0000850F0000}"/>
    <cellStyle name="Migliaia 14 5 3" xfId="3977" xr:uid="{00000000-0005-0000-0000-0000860F0000}"/>
    <cellStyle name="Migliaia 14 6" xfId="3978" xr:uid="{00000000-0005-0000-0000-0000870F0000}"/>
    <cellStyle name="Migliaia 14 6 2" xfId="3979" xr:uid="{00000000-0005-0000-0000-0000880F0000}"/>
    <cellStyle name="Migliaia 14 6 2 2" xfId="3980" xr:uid="{00000000-0005-0000-0000-0000890F0000}"/>
    <cellStyle name="Migliaia 14 6 3" xfId="3981" xr:uid="{00000000-0005-0000-0000-00008A0F0000}"/>
    <cellStyle name="Migliaia 14 7" xfId="3982" xr:uid="{00000000-0005-0000-0000-00008B0F0000}"/>
    <cellStyle name="Migliaia 14 7 2" xfId="3983" xr:uid="{00000000-0005-0000-0000-00008C0F0000}"/>
    <cellStyle name="Migliaia 14 8" xfId="3984" xr:uid="{00000000-0005-0000-0000-00008D0F0000}"/>
    <cellStyle name="Migliaia 14 8 2" xfId="3985" xr:uid="{00000000-0005-0000-0000-00008E0F0000}"/>
    <cellStyle name="Migliaia 15" xfId="3986" xr:uid="{00000000-0005-0000-0000-00008F0F0000}"/>
    <cellStyle name="Migliaia 15 2" xfId="3987" xr:uid="{00000000-0005-0000-0000-0000900F0000}"/>
    <cellStyle name="Migliaia 15 2 2" xfId="3988" xr:uid="{00000000-0005-0000-0000-0000910F0000}"/>
    <cellStyle name="Migliaia 15 2 2 2" xfId="3989" xr:uid="{00000000-0005-0000-0000-0000920F0000}"/>
    <cellStyle name="Migliaia 15 2 2 2 2" xfId="3990" xr:uid="{00000000-0005-0000-0000-0000930F0000}"/>
    <cellStyle name="Migliaia 15 2 2 2 3" xfId="3991" xr:uid="{00000000-0005-0000-0000-0000940F0000}"/>
    <cellStyle name="Migliaia 15 2 2 3" xfId="3992" xr:uid="{00000000-0005-0000-0000-0000950F0000}"/>
    <cellStyle name="Migliaia 15 2 2 4" xfId="3993" xr:uid="{00000000-0005-0000-0000-0000960F0000}"/>
    <cellStyle name="Migliaia 15 2 3" xfId="3994" xr:uid="{00000000-0005-0000-0000-0000970F0000}"/>
    <cellStyle name="Migliaia 15 2 3 2" xfId="3995" xr:uid="{00000000-0005-0000-0000-0000980F0000}"/>
    <cellStyle name="Migliaia 15 2 4" xfId="3996" xr:uid="{00000000-0005-0000-0000-0000990F0000}"/>
    <cellStyle name="Migliaia 15 2 4 2" xfId="3997" xr:uid="{00000000-0005-0000-0000-00009A0F0000}"/>
    <cellStyle name="Migliaia 15 2 5" xfId="3998" xr:uid="{00000000-0005-0000-0000-00009B0F0000}"/>
    <cellStyle name="Migliaia 15 3" xfId="3999" xr:uid="{00000000-0005-0000-0000-00009C0F0000}"/>
    <cellStyle name="Migliaia 15 3 2" xfId="4000" xr:uid="{00000000-0005-0000-0000-00009D0F0000}"/>
    <cellStyle name="Migliaia 15 3 2 2" xfId="4001" xr:uid="{00000000-0005-0000-0000-00009E0F0000}"/>
    <cellStyle name="Migliaia 15 3 2 2 2" xfId="4002" xr:uid="{00000000-0005-0000-0000-00009F0F0000}"/>
    <cellStyle name="Migliaia 15 3 2 2 3" xfId="4003" xr:uid="{00000000-0005-0000-0000-0000A00F0000}"/>
    <cellStyle name="Migliaia 15 3 2 3" xfId="4004" xr:uid="{00000000-0005-0000-0000-0000A10F0000}"/>
    <cellStyle name="Migliaia 15 3 2 3 2" xfId="4005" xr:uid="{00000000-0005-0000-0000-0000A20F0000}"/>
    <cellStyle name="Migliaia 15 3 2 4" xfId="4006" xr:uid="{00000000-0005-0000-0000-0000A30F0000}"/>
    <cellStyle name="Migliaia 15 3 3" xfId="4007" xr:uid="{00000000-0005-0000-0000-0000A40F0000}"/>
    <cellStyle name="Migliaia 15 3 3 2" xfId="4008" xr:uid="{00000000-0005-0000-0000-0000A50F0000}"/>
    <cellStyle name="Migliaia 15 3 3 2 2" xfId="4009" xr:uid="{00000000-0005-0000-0000-0000A60F0000}"/>
    <cellStyle name="Migliaia 15 3 3 3" xfId="4010" xr:uid="{00000000-0005-0000-0000-0000A70F0000}"/>
    <cellStyle name="Migliaia 15 3 4" xfId="4011" xr:uid="{00000000-0005-0000-0000-0000A80F0000}"/>
    <cellStyle name="Migliaia 15 3 4 2" xfId="4012" xr:uid="{00000000-0005-0000-0000-0000A90F0000}"/>
    <cellStyle name="Migliaia 15 3 4 2 2" xfId="4013" xr:uid="{00000000-0005-0000-0000-0000AA0F0000}"/>
    <cellStyle name="Migliaia 15 3 4 3" xfId="4014" xr:uid="{00000000-0005-0000-0000-0000AB0F0000}"/>
    <cellStyle name="Migliaia 15 3 5" xfId="4015" xr:uid="{00000000-0005-0000-0000-0000AC0F0000}"/>
    <cellStyle name="Migliaia 15 3 5 2" xfId="4016" xr:uid="{00000000-0005-0000-0000-0000AD0F0000}"/>
    <cellStyle name="Migliaia 15 3 6" xfId="4017" xr:uid="{00000000-0005-0000-0000-0000AE0F0000}"/>
    <cellStyle name="Migliaia 15 3 6 2" xfId="4018" xr:uid="{00000000-0005-0000-0000-0000AF0F0000}"/>
    <cellStyle name="Migliaia 15 3 7" xfId="4019" xr:uid="{00000000-0005-0000-0000-0000B00F0000}"/>
    <cellStyle name="Migliaia 15 4" xfId="4020" xr:uid="{00000000-0005-0000-0000-0000B10F0000}"/>
    <cellStyle name="Migliaia 15 4 2" xfId="4021" xr:uid="{00000000-0005-0000-0000-0000B20F0000}"/>
    <cellStyle name="Migliaia 15 4 2 2" xfId="4022" xr:uid="{00000000-0005-0000-0000-0000B30F0000}"/>
    <cellStyle name="Migliaia 15 4 2 2 2" xfId="4023" xr:uid="{00000000-0005-0000-0000-0000B40F0000}"/>
    <cellStyle name="Migliaia 15 4 2 3" xfId="4024" xr:uid="{00000000-0005-0000-0000-0000B50F0000}"/>
    <cellStyle name="Migliaia 15 4 2 4" xfId="4025" xr:uid="{00000000-0005-0000-0000-0000B60F0000}"/>
    <cellStyle name="Migliaia 15 4 2 5" xfId="4026" xr:uid="{00000000-0005-0000-0000-0000B70F0000}"/>
    <cellStyle name="Migliaia 15 4 3" xfId="4027" xr:uid="{00000000-0005-0000-0000-0000B80F0000}"/>
    <cellStyle name="Migliaia 15 4 4" xfId="4028" xr:uid="{00000000-0005-0000-0000-0000B90F0000}"/>
    <cellStyle name="Migliaia 15 4 5" xfId="4029" xr:uid="{00000000-0005-0000-0000-0000BA0F0000}"/>
    <cellStyle name="Migliaia 15 5" xfId="4030" xr:uid="{00000000-0005-0000-0000-0000BB0F0000}"/>
    <cellStyle name="Migliaia 15 5 2" xfId="4031" xr:uid="{00000000-0005-0000-0000-0000BC0F0000}"/>
    <cellStyle name="Migliaia 15 5 3" xfId="4032" xr:uid="{00000000-0005-0000-0000-0000BD0F0000}"/>
    <cellStyle name="Migliaia 15 6" xfId="4033" xr:uid="{00000000-0005-0000-0000-0000BE0F0000}"/>
    <cellStyle name="Migliaia 15 6 2" xfId="4034" xr:uid="{00000000-0005-0000-0000-0000BF0F0000}"/>
    <cellStyle name="Migliaia 15 6 2 2" xfId="4035" xr:uid="{00000000-0005-0000-0000-0000C00F0000}"/>
    <cellStyle name="Migliaia 15 6 3" xfId="4036" xr:uid="{00000000-0005-0000-0000-0000C10F0000}"/>
    <cellStyle name="Migliaia 15 7" xfId="4037" xr:uid="{00000000-0005-0000-0000-0000C20F0000}"/>
    <cellStyle name="Migliaia 15 7 2" xfId="4038" xr:uid="{00000000-0005-0000-0000-0000C30F0000}"/>
    <cellStyle name="Migliaia 15 8" xfId="4039" xr:uid="{00000000-0005-0000-0000-0000C40F0000}"/>
    <cellStyle name="Migliaia 15 8 2" xfId="4040" xr:uid="{00000000-0005-0000-0000-0000C50F0000}"/>
    <cellStyle name="Migliaia 16" xfId="4041" xr:uid="{00000000-0005-0000-0000-0000C60F0000}"/>
    <cellStyle name="Migliaia 16 2" xfId="4042" xr:uid="{00000000-0005-0000-0000-0000C70F0000}"/>
    <cellStyle name="Migliaia 16 2 2" xfId="4043" xr:uid="{00000000-0005-0000-0000-0000C80F0000}"/>
    <cellStyle name="Migliaia 16 2 2 2" xfId="4044" xr:uid="{00000000-0005-0000-0000-0000C90F0000}"/>
    <cellStyle name="Migliaia 16 2 2 2 2" xfId="4045" xr:uid="{00000000-0005-0000-0000-0000CA0F0000}"/>
    <cellStyle name="Migliaia 16 2 2 2 3" xfId="4046" xr:uid="{00000000-0005-0000-0000-0000CB0F0000}"/>
    <cellStyle name="Migliaia 16 2 2 3" xfId="4047" xr:uid="{00000000-0005-0000-0000-0000CC0F0000}"/>
    <cellStyle name="Migliaia 16 2 2 4" xfId="4048" xr:uid="{00000000-0005-0000-0000-0000CD0F0000}"/>
    <cellStyle name="Migliaia 16 2 3" xfId="4049" xr:uid="{00000000-0005-0000-0000-0000CE0F0000}"/>
    <cellStyle name="Migliaia 16 2 3 2" xfId="4050" xr:uid="{00000000-0005-0000-0000-0000CF0F0000}"/>
    <cellStyle name="Migliaia 16 2 4" xfId="4051" xr:uid="{00000000-0005-0000-0000-0000D00F0000}"/>
    <cellStyle name="Migliaia 16 2 4 2" xfId="4052" xr:uid="{00000000-0005-0000-0000-0000D10F0000}"/>
    <cellStyle name="Migliaia 16 2 5" xfId="4053" xr:uid="{00000000-0005-0000-0000-0000D20F0000}"/>
    <cellStyle name="Migliaia 16 3" xfId="4054" xr:uid="{00000000-0005-0000-0000-0000D30F0000}"/>
    <cellStyle name="Migliaia 16 3 2" xfId="4055" xr:uid="{00000000-0005-0000-0000-0000D40F0000}"/>
    <cellStyle name="Migliaia 16 3 2 2" xfId="4056" xr:uid="{00000000-0005-0000-0000-0000D50F0000}"/>
    <cellStyle name="Migliaia 16 3 2 2 2" xfId="4057" xr:uid="{00000000-0005-0000-0000-0000D60F0000}"/>
    <cellStyle name="Migliaia 16 3 2 2 3" xfId="4058" xr:uid="{00000000-0005-0000-0000-0000D70F0000}"/>
    <cellStyle name="Migliaia 16 3 2 3" xfId="4059" xr:uid="{00000000-0005-0000-0000-0000D80F0000}"/>
    <cellStyle name="Migliaia 16 3 2 3 2" xfId="4060" xr:uid="{00000000-0005-0000-0000-0000D90F0000}"/>
    <cellStyle name="Migliaia 16 3 2 4" xfId="4061" xr:uid="{00000000-0005-0000-0000-0000DA0F0000}"/>
    <cellStyle name="Migliaia 16 3 3" xfId="4062" xr:uid="{00000000-0005-0000-0000-0000DB0F0000}"/>
    <cellStyle name="Migliaia 16 3 3 2" xfId="4063" xr:uid="{00000000-0005-0000-0000-0000DC0F0000}"/>
    <cellStyle name="Migliaia 16 3 3 2 2" xfId="4064" xr:uid="{00000000-0005-0000-0000-0000DD0F0000}"/>
    <cellStyle name="Migliaia 16 3 3 3" xfId="4065" xr:uid="{00000000-0005-0000-0000-0000DE0F0000}"/>
    <cellStyle name="Migliaia 16 3 4" xfId="4066" xr:uid="{00000000-0005-0000-0000-0000DF0F0000}"/>
    <cellStyle name="Migliaia 16 3 4 2" xfId="4067" xr:uid="{00000000-0005-0000-0000-0000E00F0000}"/>
    <cellStyle name="Migliaia 16 3 4 2 2" xfId="4068" xr:uid="{00000000-0005-0000-0000-0000E10F0000}"/>
    <cellStyle name="Migliaia 16 3 4 3" xfId="4069" xr:uid="{00000000-0005-0000-0000-0000E20F0000}"/>
    <cellStyle name="Migliaia 16 3 5" xfId="4070" xr:uid="{00000000-0005-0000-0000-0000E30F0000}"/>
    <cellStyle name="Migliaia 16 3 5 2" xfId="4071" xr:uid="{00000000-0005-0000-0000-0000E40F0000}"/>
    <cellStyle name="Migliaia 16 3 6" xfId="4072" xr:uid="{00000000-0005-0000-0000-0000E50F0000}"/>
    <cellStyle name="Migliaia 16 3 6 2" xfId="4073" xr:uid="{00000000-0005-0000-0000-0000E60F0000}"/>
    <cellStyle name="Migliaia 16 3 7" xfId="4074" xr:uid="{00000000-0005-0000-0000-0000E70F0000}"/>
    <cellStyle name="Migliaia 16 4" xfId="4075" xr:uid="{00000000-0005-0000-0000-0000E80F0000}"/>
    <cellStyle name="Migliaia 16 4 2" xfId="4076" xr:uid="{00000000-0005-0000-0000-0000E90F0000}"/>
    <cellStyle name="Migliaia 16 4 2 2" xfId="4077" xr:uid="{00000000-0005-0000-0000-0000EA0F0000}"/>
    <cellStyle name="Migliaia 16 4 2 2 2" xfId="4078" xr:uid="{00000000-0005-0000-0000-0000EB0F0000}"/>
    <cellStyle name="Migliaia 16 4 2 3" xfId="4079" xr:uid="{00000000-0005-0000-0000-0000EC0F0000}"/>
    <cellStyle name="Migliaia 16 4 2 4" xfId="4080" xr:uid="{00000000-0005-0000-0000-0000ED0F0000}"/>
    <cellStyle name="Migliaia 16 4 2 5" xfId="4081" xr:uid="{00000000-0005-0000-0000-0000EE0F0000}"/>
    <cellStyle name="Migliaia 16 4 3" xfId="4082" xr:uid="{00000000-0005-0000-0000-0000EF0F0000}"/>
    <cellStyle name="Migliaia 16 4 4" xfId="4083" xr:uid="{00000000-0005-0000-0000-0000F00F0000}"/>
    <cellStyle name="Migliaia 16 4 5" xfId="4084" xr:uid="{00000000-0005-0000-0000-0000F10F0000}"/>
    <cellStyle name="Migliaia 16 5" xfId="4085" xr:uid="{00000000-0005-0000-0000-0000F20F0000}"/>
    <cellStyle name="Migliaia 16 5 2" xfId="4086" xr:uid="{00000000-0005-0000-0000-0000F30F0000}"/>
    <cellStyle name="Migliaia 16 5 3" xfId="4087" xr:uid="{00000000-0005-0000-0000-0000F40F0000}"/>
    <cellStyle name="Migliaia 16 6" xfId="4088" xr:uid="{00000000-0005-0000-0000-0000F50F0000}"/>
    <cellStyle name="Migliaia 16 6 2" xfId="4089" xr:uid="{00000000-0005-0000-0000-0000F60F0000}"/>
    <cellStyle name="Migliaia 16 6 2 2" xfId="4090" xr:uid="{00000000-0005-0000-0000-0000F70F0000}"/>
    <cellStyle name="Migliaia 16 6 3" xfId="4091" xr:uid="{00000000-0005-0000-0000-0000F80F0000}"/>
    <cellStyle name="Migliaia 16 7" xfId="4092" xr:uid="{00000000-0005-0000-0000-0000F90F0000}"/>
    <cellStyle name="Migliaia 16 7 2" xfId="4093" xr:uid="{00000000-0005-0000-0000-0000FA0F0000}"/>
    <cellStyle name="Migliaia 16 8" xfId="4094" xr:uid="{00000000-0005-0000-0000-0000FB0F0000}"/>
    <cellStyle name="Migliaia 16 8 2" xfId="4095" xr:uid="{00000000-0005-0000-0000-0000FC0F0000}"/>
    <cellStyle name="Migliaia 17" xfId="4096" xr:uid="{00000000-0005-0000-0000-0000FD0F0000}"/>
    <cellStyle name="Migliaia 17 2" xfId="4097" xr:uid="{00000000-0005-0000-0000-0000FE0F0000}"/>
    <cellStyle name="Migliaia 17 2 2" xfId="4098" xr:uid="{00000000-0005-0000-0000-0000FF0F0000}"/>
    <cellStyle name="Migliaia 17 2 2 2" xfId="4099" xr:uid="{00000000-0005-0000-0000-000000100000}"/>
    <cellStyle name="Migliaia 17 2 2 2 2" xfId="4100" xr:uid="{00000000-0005-0000-0000-000001100000}"/>
    <cellStyle name="Migliaia 17 2 2 2 3" xfId="4101" xr:uid="{00000000-0005-0000-0000-000002100000}"/>
    <cellStyle name="Migliaia 17 2 2 3" xfId="4102" xr:uid="{00000000-0005-0000-0000-000003100000}"/>
    <cellStyle name="Migliaia 17 2 2 4" xfId="4103" xr:uid="{00000000-0005-0000-0000-000004100000}"/>
    <cellStyle name="Migliaia 17 2 3" xfId="4104" xr:uid="{00000000-0005-0000-0000-000005100000}"/>
    <cellStyle name="Migliaia 17 2 3 2" xfId="4105" xr:uid="{00000000-0005-0000-0000-000006100000}"/>
    <cellStyle name="Migliaia 17 2 4" xfId="4106" xr:uid="{00000000-0005-0000-0000-000007100000}"/>
    <cellStyle name="Migliaia 17 2 4 2" xfId="4107" xr:uid="{00000000-0005-0000-0000-000008100000}"/>
    <cellStyle name="Migliaia 17 2 5" xfId="4108" xr:uid="{00000000-0005-0000-0000-000009100000}"/>
    <cellStyle name="Migliaia 17 3" xfId="4109" xr:uid="{00000000-0005-0000-0000-00000A100000}"/>
    <cellStyle name="Migliaia 17 3 2" xfId="4110" xr:uid="{00000000-0005-0000-0000-00000B100000}"/>
    <cellStyle name="Migliaia 17 3 2 2" xfId="4111" xr:uid="{00000000-0005-0000-0000-00000C100000}"/>
    <cellStyle name="Migliaia 17 3 2 2 2" xfId="4112" xr:uid="{00000000-0005-0000-0000-00000D100000}"/>
    <cellStyle name="Migliaia 17 3 2 2 3" xfId="4113" xr:uid="{00000000-0005-0000-0000-00000E100000}"/>
    <cellStyle name="Migliaia 17 3 2 3" xfId="4114" xr:uid="{00000000-0005-0000-0000-00000F100000}"/>
    <cellStyle name="Migliaia 17 3 2 3 2" xfId="4115" xr:uid="{00000000-0005-0000-0000-000010100000}"/>
    <cellStyle name="Migliaia 17 3 2 4" xfId="4116" xr:uid="{00000000-0005-0000-0000-000011100000}"/>
    <cellStyle name="Migliaia 17 3 3" xfId="4117" xr:uid="{00000000-0005-0000-0000-000012100000}"/>
    <cellStyle name="Migliaia 17 3 3 2" xfId="4118" xr:uid="{00000000-0005-0000-0000-000013100000}"/>
    <cellStyle name="Migliaia 17 3 3 2 2" xfId="4119" xr:uid="{00000000-0005-0000-0000-000014100000}"/>
    <cellStyle name="Migliaia 17 3 3 3" xfId="4120" xr:uid="{00000000-0005-0000-0000-000015100000}"/>
    <cellStyle name="Migliaia 17 3 4" xfId="4121" xr:uid="{00000000-0005-0000-0000-000016100000}"/>
    <cellStyle name="Migliaia 17 3 4 2" xfId="4122" xr:uid="{00000000-0005-0000-0000-000017100000}"/>
    <cellStyle name="Migliaia 17 3 4 2 2" xfId="4123" xr:uid="{00000000-0005-0000-0000-000018100000}"/>
    <cellStyle name="Migliaia 17 3 4 3" xfId="4124" xr:uid="{00000000-0005-0000-0000-000019100000}"/>
    <cellStyle name="Migliaia 17 3 5" xfId="4125" xr:uid="{00000000-0005-0000-0000-00001A100000}"/>
    <cellStyle name="Migliaia 17 3 5 2" xfId="4126" xr:uid="{00000000-0005-0000-0000-00001B100000}"/>
    <cellStyle name="Migliaia 17 3 6" xfId="4127" xr:uid="{00000000-0005-0000-0000-00001C100000}"/>
    <cellStyle name="Migliaia 17 3 6 2" xfId="4128" xr:uid="{00000000-0005-0000-0000-00001D100000}"/>
    <cellStyle name="Migliaia 17 3 7" xfId="4129" xr:uid="{00000000-0005-0000-0000-00001E100000}"/>
    <cellStyle name="Migliaia 17 4" xfId="4130" xr:uid="{00000000-0005-0000-0000-00001F100000}"/>
    <cellStyle name="Migliaia 17 4 2" xfId="4131" xr:uid="{00000000-0005-0000-0000-000020100000}"/>
    <cellStyle name="Migliaia 17 4 2 2" xfId="4132" xr:uid="{00000000-0005-0000-0000-000021100000}"/>
    <cellStyle name="Migliaia 17 4 2 2 2" xfId="4133" xr:uid="{00000000-0005-0000-0000-000022100000}"/>
    <cellStyle name="Migliaia 17 4 2 3" xfId="4134" xr:uid="{00000000-0005-0000-0000-000023100000}"/>
    <cellStyle name="Migliaia 17 4 2 4" xfId="4135" xr:uid="{00000000-0005-0000-0000-000024100000}"/>
    <cellStyle name="Migliaia 17 4 2 5" xfId="4136" xr:uid="{00000000-0005-0000-0000-000025100000}"/>
    <cellStyle name="Migliaia 17 4 3" xfId="4137" xr:uid="{00000000-0005-0000-0000-000026100000}"/>
    <cellStyle name="Migliaia 17 4 4" xfId="4138" xr:uid="{00000000-0005-0000-0000-000027100000}"/>
    <cellStyle name="Migliaia 17 4 5" xfId="4139" xr:uid="{00000000-0005-0000-0000-000028100000}"/>
    <cellStyle name="Migliaia 17 5" xfId="4140" xr:uid="{00000000-0005-0000-0000-000029100000}"/>
    <cellStyle name="Migliaia 17 5 2" xfId="4141" xr:uid="{00000000-0005-0000-0000-00002A100000}"/>
    <cellStyle name="Migliaia 17 5 3" xfId="4142" xr:uid="{00000000-0005-0000-0000-00002B100000}"/>
    <cellStyle name="Migliaia 17 6" xfId="4143" xr:uid="{00000000-0005-0000-0000-00002C100000}"/>
    <cellStyle name="Migliaia 17 6 2" xfId="4144" xr:uid="{00000000-0005-0000-0000-00002D100000}"/>
    <cellStyle name="Migliaia 17 6 2 2" xfId="4145" xr:uid="{00000000-0005-0000-0000-00002E100000}"/>
    <cellStyle name="Migliaia 17 6 3" xfId="4146" xr:uid="{00000000-0005-0000-0000-00002F100000}"/>
    <cellStyle name="Migliaia 17 7" xfId="4147" xr:uid="{00000000-0005-0000-0000-000030100000}"/>
    <cellStyle name="Migliaia 17 7 2" xfId="4148" xr:uid="{00000000-0005-0000-0000-000031100000}"/>
    <cellStyle name="Migliaia 17 8" xfId="4149" xr:uid="{00000000-0005-0000-0000-000032100000}"/>
    <cellStyle name="Migliaia 17 8 2" xfId="4150" xr:uid="{00000000-0005-0000-0000-000033100000}"/>
    <cellStyle name="Migliaia 18" xfId="4151" xr:uid="{00000000-0005-0000-0000-000034100000}"/>
    <cellStyle name="Migliaia 18 2" xfId="4152" xr:uid="{00000000-0005-0000-0000-000035100000}"/>
    <cellStyle name="Migliaia 18 2 2" xfId="4153" xr:uid="{00000000-0005-0000-0000-000036100000}"/>
    <cellStyle name="Migliaia 18 2 2 2" xfId="4154" xr:uid="{00000000-0005-0000-0000-000037100000}"/>
    <cellStyle name="Migliaia 18 2 2 2 2" xfId="4155" xr:uid="{00000000-0005-0000-0000-000038100000}"/>
    <cellStyle name="Migliaia 18 2 2 2 3" xfId="4156" xr:uid="{00000000-0005-0000-0000-000039100000}"/>
    <cellStyle name="Migliaia 18 2 2 3" xfId="4157" xr:uid="{00000000-0005-0000-0000-00003A100000}"/>
    <cellStyle name="Migliaia 18 2 2 4" xfId="4158" xr:uid="{00000000-0005-0000-0000-00003B100000}"/>
    <cellStyle name="Migliaia 18 2 3" xfId="4159" xr:uid="{00000000-0005-0000-0000-00003C100000}"/>
    <cellStyle name="Migliaia 18 2 3 2" xfId="4160" xr:uid="{00000000-0005-0000-0000-00003D100000}"/>
    <cellStyle name="Migliaia 18 2 4" xfId="4161" xr:uid="{00000000-0005-0000-0000-00003E100000}"/>
    <cellStyle name="Migliaia 18 2 4 2" xfId="4162" xr:uid="{00000000-0005-0000-0000-00003F100000}"/>
    <cellStyle name="Migliaia 18 2 5" xfId="4163" xr:uid="{00000000-0005-0000-0000-000040100000}"/>
    <cellStyle name="Migliaia 18 3" xfId="4164" xr:uid="{00000000-0005-0000-0000-000041100000}"/>
    <cellStyle name="Migliaia 18 3 2" xfId="4165" xr:uid="{00000000-0005-0000-0000-000042100000}"/>
    <cellStyle name="Migliaia 18 3 2 2" xfId="4166" xr:uid="{00000000-0005-0000-0000-000043100000}"/>
    <cellStyle name="Migliaia 18 3 2 2 2" xfId="4167" xr:uid="{00000000-0005-0000-0000-000044100000}"/>
    <cellStyle name="Migliaia 18 3 2 2 3" xfId="4168" xr:uid="{00000000-0005-0000-0000-000045100000}"/>
    <cellStyle name="Migliaia 18 3 2 3" xfId="4169" xr:uid="{00000000-0005-0000-0000-000046100000}"/>
    <cellStyle name="Migliaia 18 3 2 3 2" xfId="4170" xr:uid="{00000000-0005-0000-0000-000047100000}"/>
    <cellStyle name="Migliaia 18 3 2 4" xfId="4171" xr:uid="{00000000-0005-0000-0000-000048100000}"/>
    <cellStyle name="Migliaia 18 3 3" xfId="4172" xr:uid="{00000000-0005-0000-0000-000049100000}"/>
    <cellStyle name="Migliaia 18 3 3 2" xfId="4173" xr:uid="{00000000-0005-0000-0000-00004A100000}"/>
    <cellStyle name="Migliaia 18 3 3 2 2" xfId="4174" xr:uid="{00000000-0005-0000-0000-00004B100000}"/>
    <cellStyle name="Migliaia 18 3 3 3" xfId="4175" xr:uid="{00000000-0005-0000-0000-00004C100000}"/>
    <cellStyle name="Migliaia 18 3 4" xfId="4176" xr:uid="{00000000-0005-0000-0000-00004D100000}"/>
    <cellStyle name="Migliaia 18 3 4 2" xfId="4177" xr:uid="{00000000-0005-0000-0000-00004E100000}"/>
    <cellStyle name="Migliaia 18 3 4 2 2" xfId="4178" xr:uid="{00000000-0005-0000-0000-00004F100000}"/>
    <cellStyle name="Migliaia 18 3 4 3" xfId="4179" xr:uid="{00000000-0005-0000-0000-000050100000}"/>
    <cellStyle name="Migliaia 18 3 5" xfId="4180" xr:uid="{00000000-0005-0000-0000-000051100000}"/>
    <cellStyle name="Migliaia 18 3 5 2" xfId="4181" xr:uid="{00000000-0005-0000-0000-000052100000}"/>
    <cellStyle name="Migliaia 18 3 6" xfId="4182" xr:uid="{00000000-0005-0000-0000-000053100000}"/>
    <cellStyle name="Migliaia 18 3 6 2" xfId="4183" xr:uid="{00000000-0005-0000-0000-000054100000}"/>
    <cellStyle name="Migliaia 18 3 7" xfId="4184" xr:uid="{00000000-0005-0000-0000-000055100000}"/>
    <cellStyle name="Migliaia 18 4" xfId="4185" xr:uid="{00000000-0005-0000-0000-000056100000}"/>
    <cellStyle name="Migliaia 18 4 2" xfId="4186" xr:uid="{00000000-0005-0000-0000-000057100000}"/>
    <cellStyle name="Migliaia 18 4 2 2" xfId="4187" xr:uid="{00000000-0005-0000-0000-000058100000}"/>
    <cellStyle name="Migliaia 18 4 2 2 2" xfId="4188" xr:uid="{00000000-0005-0000-0000-000059100000}"/>
    <cellStyle name="Migliaia 18 4 2 3" xfId="4189" xr:uid="{00000000-0005-0000-0000-00005A100000}"/>
    <cellStyle name="Migliaia 18 4 2 4" xfId="4190" xr:uid="{00000000-0005-0000-0000-00005B100000}"/>
    <cellStyle name="Migliaia 18 4 2 5" xfId="4191" xr:uid="{00000000-0005-0000-0000-00005C100000}"/>
    <cellStyle name="Migliaia 18 4 3" xfId="4192" xr:uid="{00000000-0005-0000-0000-00005D100000}"/>
    <cellStyle name="Migliaia 18 4 4" xfId="4193" xr:uid="{00000000-0005-0000-0000-00005E100000}"/>
    <cellStyle name="Migliaia 18 4 5" xfId="4194" xr:uid="{00000000-0005-0000-0000-00005F100000}"/>
    <cellStyle name="Migliaia 18 5" xfId="4195" xr:uid="{00000000-0005-0000-0000-000060100000}"/>
    <cellStyle name="Migliaia 18 5 2" xfId="4196" xr:uid="{00000000-0005-0000-0000-000061100000}"/>
    <cellStyle name="Migliaia 18 5 3" xfId="4197" xr:uid="{00000000-0005-0000-0000-000062100000}"/>
    <cellStyle name="Migliaia 18 6" xfId="4198" xr:uid="{00000000-0005-0000-0000-000063100000}"/>
    <cellStyle name="Migliaia 18 6 2" xfId="4199" xr:uid="{00000000-0005-0000-0000-000064100000}"/>
    <cellStyle name="Migliaia 18 6 2 2" xfId="4200" xr:uid="{00000000-0005-0000-0000-000065100000}"/>
    <cellStyle name="Migliaia 18 6 3" xfId="4201" xr:uid="{00000000-0005-0000-0000-000066100000}"/>
    <cellStyle name="Migliaia 18 7" xfId="4202" xr:uid="{00000000-0005-0000-0000-000067100000}"/>
    <cellStyle name="Migliaia 18 7 2" xfId="4203" xr:uid="{00000000-0005-0000-0000-000068100000}"/>
    <cellStyle name="Migliaia 18 8" xfId="4204" xr:uid="{00000000-0005-0000-0000-000069100000}"/>
    <cellStyle name="Migliaia 18 8 2" xfId="4205" xr:uid="{00000000-0005-0000-0000-00006A100000}"/>
    <cellStyle name="Migliaia 19" xfId="4206" xr:uid="{00000000-0005-0000-0000-00006B100000}"/>
    <cellStyle name="Migliaia 19 2" xfId="4207" xr:uid="{00000000-0005-0000-0000-00006C100000}"/>
    <cellStyle name="Migliaia 19 2 2" xfId="4208" xr:uid="{00000000-0005-0000-0000-00006D100000}"/>
    <cellStyle name="Migliaia 19 2 2 2" xfId="4209" xr:uid="{00000000-0005-0000-0000-00006E100000}"/>
    <cellStyle name="Migliaia 19 2 2 2 2" xfId="4210" xr:uid="{00000000-0005-0000-0000-00006F100000}"/>
    <cellStyle name="Migliaia 19 2 2 2 3" xfId="4211" xr:uid="{00000000-0005-0000-0000-000070100000}"/>
    <cellStyle name="Migliaia 19 2 2 3" xfId="4212" xr:uid="{00000000-0005-0000-0000-000071100000}"/>
    <cellStyle name="Migliaia 19 2 2 4" xfId="4213" xr:uid="{00000000-0005-0000-0000-000072100000}"/>
    <cellStyle name="Migliaia 19 2 3" xfId="4214" xr:uid="{00000000-0005-0000-0000-000073100000}"/>
    <cellStyle name="Migliaia 19 2 3 2" xfId="4215" xr:uid="{00000000-0005-0000-0000-000074100000}"/>
    <cellStyle name="Migliaia 19 2 4" xfId="4216" xr:uid="{00000000-0005-0000-0000-000075100000}"/>
    <cellStyle name="Migliaia 19 2 4 2" xfId="4217" xr:uid="{00000000-0005-0000-0000-000076100000}"/>
    <cellStyle name="Migliaia 19 2 5" xfId="4218" xr:uid="{00000000-0005-0000-0000-000077100000}"/>
    <cellStyle name="Migliaia 19 3" xfId="4219" xr:uid="{00000000-0005-0000-0000-000078100000}"/>
    <cellStyle name="Migliaia 19 3 2" xfId="4220" xr:uid="{00000000-0005-0000-0000-000079100000}"/>
    <cellStyle name="Migliaia 19 3 2 2" xfId="4221" xr:uid="{00000000-0005-0000-0000-00007A100000}"/>
    <cellStyle name="Migliaia 19 3 2 2 2" xfId="4222" xr:uid="{00000000-0005-0000-0000-00007B100000}"/>
    <cellStyle name="Migliaia 19 3 2 2 3" xfId="4223" xr:uid="{00000000-0005-0000-0000-00007C100000}"/>
    <cellStyle name="Migliaia 19 3 2 3" xfId="4224" xr:uid="{00000000-0005-0000-0000-00007D100000}"/>
    <cellStyle name="Migliaia 19 3 2 3 2" xfId="4225" xr:uid="{00000000-0005-0000-0000-00007E100000}"/>
    <cellStyle name="Migliaia 19 3 2 4" xfId="4226" xr:uid="{00000000-0005-0000-0000-00007F100000}"/>
    <cellStyle name="Migliaia 19 3 3" xfId="4227" xr:uid="{00000000-0005-0000-0000-000080100000}"/>
    <cellStyle name="Migliaia 19 3 3 2" xfId="4228" xr:uid="{00000000-0005-0000-0000-000081100000}"/>
    <cellStyle name="Migliaia 19 3 3 2 2" xfId="4229" xr:uid="{00000000-0005-0000-0000-000082100000}"/>
    <cellStyle name="Migliaia 19 3 3 3" xfId="4230" xr:uid="{00000000-0005-0000-0000-000083100000}"/>
    <cellStyle name="Migliaia 19 3 4" xfId="4231" xr:uid="{00000000-0005-0000-0000-000084100000}"/>
    <cellStyle name="Migliaia 19 3 4 2" xfId="4232" xr:uid="{00000000-0005-0000-0000-000085100000}"/>
    <cellStyle name="Migliaia 19 3 4 2 2" xfId="4233" xr:uid="{00000000-0005-0000-0000-000086100000}"/>
    <cellStyle name="Migliaia 19 3 4 3" xfId="4234" xr:uid="{00000000-0005-0000-0000-000087100000}"/>
    <cellStyle name="Migliaia 19 3 5" xfId="4235" xr:uid="{00000000-0005-0000-0000-000088100000}"/>
    <cellStyle name="Migliaia 19 3 5 2" xfId="4236" xr:uid="{00000000-0005-0000-0000-000089100000}"/>
    <cellStyle name="Migliaia 19 3 6" xfId="4237" xr:uid="{00000000-0005-0000-0000-00008A100000}"/>
    <cellStyle name="Migliaia 19 3 6 2" xfId="4238" xr:uid="{00000000-0005-0000-0000-00008B100000}"/>
    <cellStyle name="Migliaia 19 3 7" xfId="4239" xr:uid="{00000000-0005-0000-0000-00008C100000}"/>
    <cellStyle name="Migliaia 19 4" xfId="4240" xr:uid="{00000000-0005-0000-0000-00008D100000}"/>
    <cellStyle name="Migliaia 19 4 2" xfId="4241" xr:uid="{00000000-0005-0000-0000-00008E100000}"/>
    <cellStyle name="Migliaia 19 4 2 2" xfId="4242" xr:uid="{00000000-0005-0000-0000-00008F100000}"/>
    <cellStyle name="Migliaia 19 4 2 2 2" xfId="4243" xr:uid="{00000000-0005-0000-0000-000090100000}"/>
    <cellStyle name="Migliaia 19 4 2 3" xfId="4244" xr:uid="{00000000-0005-0000-0000-000091100000}"/>
    <cellStyle name="Migliaia 19 4 2 4" xfId="4245" xr:uid="{00000000-0005-0000-0000-000092100000}"/>
    <cellStyle name="Migliaia 19 4 2 5" xfId="4246" xr:uid="{00000000-0005-0000-0000-000093100000}"/>
    <cellStyle name="Migliaia 19 4 3" xfId="4247" xr:uid="{00000000-0005-0000-0000-000094100000}"/>
    <cellStyle name="Migliaia 19 4 4" xfId="4248" xr:uid="{00000000-0005-0000-0000-000095100000}"/>
    <cellStyle name="Migliaia 19 4 5" xfId="4249" xr:uid="{00000000-0005-0000-0000-000096100000}"/>
    <cellStyle name="Migliaia 19 5" xfId="4250" xr:uid="{00000000-0005-0000-0000-000097100000}"/>
    <cellStyle name="Migliaia 19 5 2" xfId="4251" xr:uid="{00000000-0005-0000-0000-000098100000}"/>
    <cellStyle name="Migliaia 19 5 3" xfId="4252" xr:uid="{00000000-0005-0000-0000-000099100000}"/>
    <cellStyle name="Migliaia 19 6" xfId="4253" xr:uid="{00000000-0005-0000-0000-00009A100000}"/>
    <cellStyle name="Migliaia 19 6 2" xfId="4254" xr:uid="{00000000-0005-0000-0000-00009B100000}"/>
    <cellStyle name="Migliaia 19 6 2 2" xfId="4255" xr:uid="{00000000-0005-0000-0000-00009C100000}"/>
    <cellStyle name="Migliaia 19 6 3" xfId="4256" xr:uid="{00000000-0005-0000-0000-00009D100000}"/>
    <cellStyle name="Migliaia 19 7" xfId="4257" xr:uid="{00000000-0005-0000-0000-00009E100000}"/>
    <cellStyle name="Migliaia 19 7 2" xfId="4258" xr:uid="{00000000-0005-0000-0000-00009F100000}"/>
    <cellStyle name="Migliaia 19 8" xfId="4259" xr:uid="{00000000-0005-0000-0000-0000A0100000}"/>
    <cellStyle name="Migliaia 19 8 2" xfId="4260" xr:uid="{00000000-0005-0000-0000-0000A1100000}"/>
    <cellStyle name="Migliaia 2" xfId="4261" xr:uid="{00000000-0005-0000-0000-0000A2100000}"/>
    <cellStyle name="Migliaia 2 2" xfId="4262" xr:uid="{00000000-0005-0000-0000-0000A3100000}"/>
    <cellStyle name="Migliaia 2 2 2" xfId="4263" xr:uid="{00000000-0005-0000-0000-0000A4100000}"/>
    <cellStyle name="Migliaia 2 2 2 2" xfId="4264" xr:uid="{00000000-0005-0000-0000-0000A5100000}"/>
    <cellStyle name="Migliaia 2 2 2 2 2" xfId="4265" xr:uid="{00000000-0005-0000-0000-0000A6100000}"/>
    <cellStyle name="Migliaia 2 2 2 2 2 2" xfId="4266" xr:uid="{00000000-0005-0000-0000-0000A7100000}"/>
    <cellStyle name="Migliaia 2 2 2 2 3" xfId="4267" xr:uid="{00000000-0005-0000-0000-0000A8100000}"/>
    <cellStyle name="Migliaia 2 2 2 3" xfId="4268" xr:uid="{00000000-0005-0000-0000-0000A9100000}"/>
    <cellStyle name="Migliaia 2 2 2 3 2" xfId="4269" xr:uid="{00000000-0005-0000-0000-0000AA100000}"/>
    <cellStyle name="Migliaia 2 2 2 4" xfId="4270" xr:uid="{00000000-0005-0000-0000-0000AB100000}"/>
    <cellStyle name="Migliaia 2 2 3" xfId="4271" xr:uid="{00000000-0005-0000-0000-0000AC100000}"/>
    <cellStyle name="Migliaia 2 2 3 2" xfId="4272" xr:uid="{00000000-0005-0000-0000-0000AD100000}"/>
    <cellStyle name="Migliaia 2 2 3 2 2" xfId="4273" xr:uid="{00000000-0005-0000-0000-0000AE100000}"/>
    <cellStyle name="Migliaia 2 2 3 3" xfId="4274" xr:uid="{00000000-0005-0000-0000-0000AF100000}"/>
    <cellStyle name="Migliaia 2 2 4" xfId="4275" xr:uid="{00000000-0005-0000-0000-0000B0100000}"/>
    <cellStyle name="Migliaia 2 2 4 2" xfId="4276" xr:uid="{00000000-0005-0000-0000-0000B1100000}"/>
    <cellStyle name="Migliaia 2 2 5" xfId="4277" xr:uid="{00000000-0005-0000-0000-0000B2100000}"/>
    <cellStyle name="Migliaia 2 3" xfId="4278" xr:uid="{00000000-0005-0000-0000-0000B3100000}"/>
    <cellStyle name="Migliaia 2 3 2" xfId="4279" xr:uid="{00000000-0005-0000-0000-0000B4100000}"/>
    <cellStyle name="Migliaia 2 3 2 2" xfId="4280" xr:uid="{00000000-0005-0000-0000-0000B5100000}"/>
    <cellStyle name="Migliaia 2 3 2 2 2" xfId="4281" xr:uid="{00000000-0005-0000-0000-0000B6100000}"/>
    <cellStyle name="Migliaia 2 3 2 2 2 2" xfId="4282" xr:uid="{00000000-0005-0000-0000-0000B7100000}"/>
    <cellStyle name="Migliaia 2 3 2 2 3" xfId="4283" xr:uid="{00000000-0005-0000-0000-0000B8100000}"/>
    <cellStyle name="Migliaia 2 3 2 3" xfId="4284" xr:uid="{00000000-0005-0000-0000-0000B9100000}"/>
    <cellStyle name="Migliaia 2 3 2 3 2" xfId="4285" xr:uid="{00000000-0005-0000-0000-0000BA100000}"/>
    <cellStyle name="Migliaia 2 3 2 4" xfId="4286" xr:uid="{00000000-0005-0000-0000-0000BB100000}"/>
    <cellStyle name="Migliaia 2 3 3" xfId="4287" xr:uid="{00000000-0005-0000-0000-0000BC100000}"/>
    <cellStyle name="Migliaia 2 3 3 2" xfId="4288" xr:uid="{00000000-0005-0000-0000-0000BD100000}"/>
    <cellStyle name="Migliaia 2 3 3 2 2" xfId="4289" xr:uid="{00000000-0005-0000-0000-0000BE100000}"/>
    <cellStyle name="Migliaia 2 3 3 3" xfId="4290" xr:uid="{00000000-0005-0000-0000-0000BF100000}"/>
    <cellStyle name="Migliaia 2 3 4" xfId="4291" xr:uid="{00000000-0005-0000-0000-0000C0100000}"/>
    <cellStyle name="Migliaia 2 3 4 2" xfId="4292" xr:uid="{00000000-0005-0000-0000-0000C1100000}"/>
    <cellStyle name="Migliaia 2 3 5" xfId="4293" xr:uid="{00000000-0005-0000-0000-0000C2100000}"/>
    <cellStyle name="Migliaia 2 4" xfId="4294" xr:uid="{00000000-0005-0000-0000-0000C3100000}"/>
    <cellStyle name="Migliaia 2 4 2" xfId="4295" xr:uid="{00000000-0005-0000-0000-0000C4100000}"/>
    <cellStyle name="Migliaia 2 4 2 2" xfId="4296" xr:uid="{00000000-0005-0000-0000-0000C5100000}"/>
    <cellStyle name="Migliaia 2 4 2 2 2" xfId="4297" xr:uid="{00000000-0005-0000-0000-0000C6100000}"/>
    <cellStyle name="Migliaia 2 4 2 2 3" xfId="4298" xr:uid="{00000000-0005-0000-0000-0000C7100000}"/>
    <cellStyle name="Migliaia 2 4 2 3" xfId="4299" xr:uid="{00000000-0005-0000-0000-0000C8100000}"/>
    <cellStyle name="Migliaia 2 4 2 3 2" xfId="4300" xr:uid="{00000000-0005-0000-0000-0000C9100000}"/>
    <cellStyle name="Migliaia 2 4 2 4" xfId="4301" xr:uid="{00000000-0005-0000-0000-0000CA100000}"/>
    <cellStyle name="Migliaia 2 4 3" xfId="4302" xr:uid="{00000000-0005-0000-0000-0000CB100000}"/>
    <cellStyle name="Migliaia 2 4 3 2" xfId="4303" xr:uid="{00000000-0005-0000-0000-0000CC100000}"/>
    <cellStyle name="Migliaia 2 4 3 2 2" xfId="4304" xr:uid="{00000000-0005-0000-0000-0000CD100000}"/>
    <cellStyle name="Migliaia 2 4 3 3" xfId="4305" xr:uid="{00000000-0005-0000-0000-0000CE100000}"/>
    <cellStyle name="Migliaia 2 4 4" xfId="4306" xr:uid="{00000000-0005-0000-0000-0000CF100000}"/>
    <cellStyle name="Migliaia 2 4 4 2" xfId="4307" xr:uid="{00000000-0005-0000-0000-0000D0100000}"/>
    <cellStyle name="Migliaia 2 4 4 2 2" xfId="4308" xr:uid="{00000000-0005-0000-0000-0000D1100000}"/>
    <cellStyle name="Migliaia 2 4 4 3" xfId="4309" xr:uid="{00000000-0005-0000-0000-0000D2100000}"/>
    <cellStyle name="Migliaia 2 4 5" xfId="4310" xr:uid="{00000000-0005-0000-0000-0000D3100000}"/>
    <cellStyle name="Migliaia 2 4 5 2" xfId="4311" xr:uid="{00000000-0005-0000-0000-0000D4100000}"/>
    <cellStyle name="Migliaia 2 4 6" xfId="4312" xr:uid="{00000000-0005-0000-0000-0000D5100000}"/>
    <cellStyle name="Migliaia 2 4 6 2" xfId="4313" xr:uid="{00000000-0005-0000-0000-0000D6100000}"/>
    <cellStyle name="Migliaia 2 4 7" xfId="4314" xr:uid="{00000000-0005-0000-0000-0000D7100000}"/>
    <cellStyle name="Migliaia 2 5" xfId="4315" xr:uid="{00000000-0005-0000-0000-0000D8100000}"/>
    <cellStyle name="Migliaia 2 5 2" xfId="4316" xr:uid="{00000000-0005-0000-0000-0000D9100000}"/>
    <cellStyle name="Migliaia 2 5 2 2" xfId="4317" xr:uid="{00000000-0005-0000-0000-0000DA100000}"/>
    <cellStyle name="Migliaia 2 5 2 2 2" xfId="4318" xr:uid="{00000000-0005-0000-0000-0000DB100000}"/>
    <cellStyle name="Migliaia 2 5 2 3" xfId="4319" xr:uid="{00000000-0005-0000-0000-0000DC100000}"/>
    <cellStyle name="Migliaia 2 5 2 4" xfId="4320" xr:uid="{00000000-0005-0000-0000-0000DD100000}"/>
    <cellStyle name="Migliaia 2 5 2 5" xfId="4321" xr:uid="{00000000-0005-0000-0000-0000DE100000}"/>
    <cellStyle name="Migliaia 2 5 3" xfId="4322" xr:uid="{00000000-0005-0000-0000-0000DF100000}"/>
    <cellStyle name="Migliaia 2 5 4" xfId="4323" xr:uid="{00000000-0005-0000-0000-0000E0100000}"/>
    <cellStyle name="Migliaia 2 5 5" xfId="4324" xr:uid="{00000000-0005-0000-0000-0000E1100000}"/>
    <cellStyle name="Migliaia 2 6" xfId="4325" xr:uid="{00000000-0005-0000-0000-0000E2100000}"/>
    <cellStyle name="Migliaia 2 6 2" xfId="4326" xr:uid="{00000000-0005-0000-0000-0000E3100000}"/>
    <cellStyle name="Migliaia 2 6 3" xfId="4327" xr:uid="{00000000-0005-0000-0000-0000E4100000}"/>
    <cellStyle name="Migliaia 2 7" xfId="4328" xr:uid="{00000000-0005-0000-0000-0000E5100000}"/>
    <cellStyle name="Migliaia 2 7 2" xfId="4329" xr:uid="{00000000-0005-0000-0000-0000E6100000}"/>
    <cellStyle name="Migliaia 2 7 2 2" xfId="4330" xr:uid="{00000000-0005-0000-0000-0000E7100000}"/>
    <cellStyle name="Migliaia 2 7 3" xfId="4331" xr:uid="{00000000-0005-0000-0000-0000E8100000}"/>
    <cellStyle name="Migliaia 2 8" xfId="4332" xr:uid="{00000000-0005-0000-0000-0000E9100000}"/>
    <cellStyle name="Migliaia 2 8 2" xfId="4333" xr:uid="{00000000-0005-0000-0000-0000EA100000}"/>
    <cellStyle name="Migliaia 2 9" xfId="4334" xr:uid="{00000000-0005-0000-0000-0000EB100000}"/>
    <cellStyle name="Migliaia 2 9 2" xfId="4335" xr:uid="{00000000-0005-0000-0000-0000EC100000}"/>
    <cellStyle name="Migliaia 2_Domestico_reg&amp;naz" xfId="4336" xr:uid="{00000000-0005-0000-0000-0000ED100000}"/>
    <cellStyle name="Migliaia 20" xfId="4337" xr:uid="{00000000-0005-0000-0000-0000EE100000}"/>
    <cellStyle name="Migliaia 20 2" xfId="4338" xr:uid="{00000000-0005-0000-0000-0000EF100000}"/>
    <cellStyle name="Migliaia 20 2 2" xfId="4339" xr:uid="{00000000-0005-0000-0000-0000F0100000}"/>
    <cellStyle name="Migliaia 20 2 2 2" xfId="4340" xr:uid="{00000000-0005-0000-0000-0000F1100000}"/>
    <cellStyle name="Migliaia 20 2 2 2 2" xfId="4341" xr:uid="{00000000-0005-0000-0000-0000F2100000}"/>
    <cellStyle name="Migliaia 20 2 2 2 3" xfId="4342" xr:uid="{00000000-0005-0000-0000-0000F3100000}"/>
    <cellStyle name="Migliaia 20 2 2 3" xfId="4343" xr:uid="{00000000-0005-0000-0000-0000F4100000}"/>
    <cellStyle name="Migliaia 20 2 2 4" xfId="4344" xr:uid="{00000000-0005-0000-0000-0000F5100000}"/>
    <cellStyle name="Migliaia 20 2 3" xfId="4345" xr:uid="{00000000-0005-0000-0000-0000F6100000}"/>
    <cellStyle name="Migliaia 20 2 3 2" xfId="4346" xr:uid="{00000000-0005-0000-0000-0000F7100000}"/>
    <cellStyle name="Migliaia 20 2 4" xfId="4347" xr:uid="{00000000-0005-0000-0000-0000F8100000}"/>
    <cellStyle name="Migliaia 20 2 4 2" xfId="4348" xr:uid="{00000000-0005-0000-0000-0000F9100000}"/>
    <cellStyle name="Migliaia 20 2 5" xfId="4349" xr:uid="{00000000-0005-0000-0000-0000FA100000}"/>
    <cellStyle name="Migliaia 20 3" xfId="4350" xr:uid="{00000000-0005-0000-0000-0000FB100000}"/>
    <cellStyle name="Migliaia 20 3 2" xfId="4351" xr:uid="{00000000-0005-0000-0000-0000FC100000}"/>
    <cellStyle name="Migliaia 20 3 2 2" xfId="4352" xr:uid="{00000000-0005-0000-0000-0000FD100000}"/>
    <cellStyle name="Migliaia 20 3 2 2 2" xfId="4353" xr:uid="{00000000-0005-0000-0000-0000FE100000}"/>
    <cellStyle name="Migliaia 20 3 2 2 3" xfId="4354" xr:uid="{00000000-0005-0000-0000-0000FF100000}"/>
    <cellStyle name="Migliaia 20 3 2 3" xfId="4355" xr:uid="{00000000-0005-0000-0000-000000110000}"/>
    <cellStyle name="Migliaia 20 3 2 3 2" xfId="4356" xr:uid="{00000000-0005-0000-0000-000001110000}"/>
    <cellStyle name="Migliaia 20 3 2 4" xfId="4357" xr:uid="{00000000-0005-0000-0000-000002110000}"/>
    <cellStyle name="Migliaia 20 3 3" xfId="4358" xr:uid="{00000000-0005-0000-0000-000003110000}"/>
    <cellStyle name="Migliaia 20 3 3 2" xfId="4359" xr:uid="{00000000-0005-0000-0000-000004110000}"/>
    <cellStyle name="Migliaia 20 3 3 2 2" xfId="4360" xr:uid="{00000000-0005-0000-0000-000005110000}"/>
    <cellStyle name="Migliaia 20 3 3 3" xfId="4361" xr:uid="{00000000-0005-0000-0000-000006110000}"/>
    <cellStyle name="Migliaia 20 3 4" xfId="4362" xr:uid="{00000000-0005-0000-0000-000007110000}"/>
    <cellStyle name="Migliaia 20 3 4 2" xfId="4363" xr:uid="{00000000-0005-0000-0000-000008110000}"/>
    <cellStyle name="Migliaia 20 3 4 2 2" xfId="4364" xr:uid="{00000000-0005-0000-0000-000009110000}"/>
    <cellStyle name="Migliaia 20 3 4 3" xfId="4365" xr:uid="{00000000-0005-0000-0000-00000A110000}"/>
    <cellStyle name="Migliaia 20 3 5" xfId="4366" xr:uid="{00000000-0005-0000-0000-00000B110000}"/>
    <cellStyle name="Migliaia 20 3 5 2" xfId="4367" xr:uid="{00000000-0005-0000-0000-00000C110000}"/>
    <cellStyle name="Migliaia 20 3 6" xfId="4368" xr:uid="{00000000-0005-0000-0000-00000D110000}"/>
    <cellStyle name="Migliaia 20 3 6 2" xfId="4369" xr:uid="{00000000-0005-0000-0000-00000E110000}"/>
    <cellStyle name="Migliaia 20 3 7" xfId="4370" xr:uid="{00000000-0005-0000-0000-00000F110000}"/>
    <cellStyle name="Migliaia 20 4" xfId="4371" xr:uid="{00000000-0005-0000-0000-000010110000}"/>
    <cellStyle name="Migliaia 20 4 2" xfId="4372" xr:uid="{00000000-0005-0000-0000-000011110000}"/>
    <cellStyle name="Migliaia 20 4 2 2" xfId="4373" xr:uid="{00000000-0005-0000-0000-000012110000}"/>
    <cellStyle name="Migliaia 20 4 2 2 2" xfId="4374" xr:uid="{00000000-0005-0000-0000-000013110000}"/>
    <cellStyle name="Migliaia 20 4 2 3" xfId="4375" xr:uid="{00000000-0005-0000-0000-000014110000}"/>
    <cellStyle name="Migliaia 20 4 2 4" xfId="4376" xr:uid="{00000000-0005-0000-0000-000015110000}"/>
    <cellStyle name="Migliaia 20 4 2 5" xfId="4377" xr:uid="{00000000-0005-0000-0000-000016110000}"/>
    <cellStyle name="Migliaia 20 4 3" xfId="4378" xr:uid="{00000000-0005-0000-0000-000017110000}"/>
    <cellStyle name="Migliaia 20 4 4" xfId="4379" xr:uid="{00000000-0005-0000-0000-000018110000}"/>
    <cellStyle name="Migliaia 20 4 5" xfId="4380" xr:uid="{00000000-0005-0000-0000-000019110000}"/>
    <cellStyle name="Migliaia 20 5" xfId="4381" xr:uid="{00000000-0005-0000-0000-00001A110000}"/>
    <cellStyle name="Migliaia 20 5 2" xfId="4382" xr:uid="{00000000-0005-0000-0000-00001B110000}"/>
    <cellStyle name="Migliaia 20 5 3" xfId="4383" xr:uid="{00000000-0005-0000-0000-00001C110000}"/>
    <cellStyle name="Migliaia 20 6" xfId="4384" xr:uid="{00000000-0005-0000-0000-00001D110000}"/>
    <cellStyle name="Migliaia 20 6 2" xfId="4385" xr:uid="{00000000-0005-0000-0000-00001E110000}"/>
    <cellStyle name="Migliaia 20 6 2 2" xfId="4386" xr:uid="{00000000-0005-0000-0000-00001F110000}"/>
    <cellStyle name="Migliaia 20 6 3" xfId="4387" xr:uid="{00000000-0005-0000-0000-000020110000}"/>
    <cellStyle name="Migliaia 20 7" xfId="4388" xr:uid="{00000000-0005-0000-0000-000021110000}"/>
    <cellStyle name="Migliaia 20 7 2" xfId="4389" xr:uid="{00000000-0005-0000-0000-000022110000}"/>
    <cellStyle name="Migliaia 20 8" xfId="4390" xr:uid="{00000000-0005-0000-0000-000023110000}"/>
    <cellStyle name="Migliaia 20 8 2" xfId="4391" xr:uid="{00000000-0005-0000-0000-000024110000}"/>
    <cellStyle name="Migliaia 21" xfId="4392" xr:uid="{00000000-0005-0000-0000-000025110000}"/>
    <cellStyle name="Migliaia 21 2" xfId="4393" xr:uid="{00000000-0005-0000-0000-000026110000}"/>
    <cellStyle name="Migliaia 21 2 2" xfId="4394" xr:uid="{00000000-0005-0000-0000-000027110000}"/>
    <cellStyle name="Migliaia 21 2 2 2" xfId="4395" xr:uid="{00000000-0005-0000-0000-000028110000}"/>
    <cellStyle name="Migliaia 21 2 2 2 2" xfId="4396" xr:uid="{00000000-0005-0000-0000-000029110000}"/>
    <cellStyle name="Migliaia 21 2 2 2 3" xfId="4397" xr:uid="{00000000-0005-0000-0000-00002A110000}"/>
    <cellStyle name="Migliaia 21 2 2 3" xfId="4398" xr:uid="{00000000-0005-0000-0000-00002B110000}"/>
    <cellStyle name="Migliaia 21 2 2 4" xfId="4399" xr:uid="{00000000-0005-0000-0000-00002C110000}"/>
    <cellStyle name="Migliaia 21 2 3" xfId="4400" xr:uid="{00000000-0005-0000-0000-00002D110000}"/>
    <cellStyle name="Migliaia 21 2 3 2" xfId="4401" xr:uid="{00000000-0005-0000-0000-00002E110000}"/>
    <cellStyle name="Migliaia 21 2 4" xfId="4402" xr:uid="{00000000-0005-0000-0000-00002F110000}"/>
    <cellStyle name="Migliaia 21 2 4 2" xfId="4403" xr:uid="{00000000-0005-0000-0000-000030110000}"/>
    <cellStyle name="Migliaia 21 2 5" xfId="4404" xr:uid="{00000000-0005-0000-0000-000031110000}"/>
    <cellStyle name="Migliaia 21 3" xfId="4405" xr:uid="{00000000-0005-0000-0000-000032110000}"/>
    <cellStyle name="Migliaia 21 3 2" xfId="4406" xr:uid="{00000000-0005-0000-0000-000033110000}"/>
    <cellStyle name="Migliaia 21 3 2 2" xfId="4407" xr:uid="{00000000-0005-0000-0000-000034110000}"/>
    <cellStyle name="Migliaia 21 3 2 2 2" xfId="4408" xr:uid="{00000000-0005-0000-0000-000035110000}"/>
    <cellStyle name="Migliaia 21 3 2 2 3" xfId="4409" xr:uid="{00000000-0005-0000-0000-000036110000}"/>
    <cellStyle name="Migliaia 21 3 2 3" xfId="4410" xr:uid="{00000000-0005-0000-0000-000037110000}"/>
    <cellStyle name="Migliaia 21 3 2 3 2" xfId="4411" xr:uid="{00000000-0005-0000-0000-000038110000}"/>
    <cellStyle name="Migliaia 21 3 2 4" xfId="4412" xr:uid="{00000000-0005-0000-0000-000039110000}"/>
    <cellStyle name="Migliaia 21 3 3" xfId="4413" xr:uid="{00000000-0005-0000-0000-00003A110000}"/>
    <cellStyle name="Migliaia 21 3 3 2" xfId="4414" xr:uid="{00000000-0005-0000-0000-00003B110000}"/>
    <cellStyle name="Migliaia 21 3 3 2 2" xfId="4415" xr:uid="{00000000-0005-0000-0000-00003C110000}"/>
    <cellStyle name="Migliaia 21 3 3 3" xfId="4416" xr:uid="{00000000-0005-0000-0000-00003D110000}"/>
    <cellStyle name="Migliaia 21 3 4" xfId="4417" xr:uid="{00000000-0005-0000-0000-00003E110000}"/>
    <cellStyle name="Migliaia 21 3 4 2" xfId="4418" xr:uid="{00000000-0005-0000-0000-00003F110000}"/>
    <cellStyle name="Migliaia 21 3 4 2 2" xfId="4419" xr:uid="{00000000-0005-0000-0000-000040110000}"/>
    <cellStyle name="Migliaia 21 3 4 3" xfId="4420" xr:uid="{00000000-0005-0000-0000-000041110000}"/>
    <cellStyle name="Migliaia 21 3 5" xfId="4421" xr:uid="{00000000-0005-0000-0000-000042110000}"/>
    <cellStyle name="Migliaia 21 3 5 2" xfId="4422" xr:uid="{00000000-0005-0000-0000-000043110000}"/>
    <cellStyle name="Migliaia 21 3 6" xfId="4423" xr:uid="{00000000-0005-0000-0000-000044110000}"/>
    <cellStyle name="Migliaia 21 3 6 2" xfId="4424" xr:uid="{00000000-0005-0000-0000-000045110000}"/>
    <cellStyle name="Migliaia 21 3 7" xfId="4425" xr:uid="{00000000-0005-0000-0000-000046110000}"/>
    <cellStyle name="Migliaia 21 4" xfId="4426" xr:uid="{00000000-0005-0000-0000-000047110000}"/>
    <cellStyle name="Migliaia 21 4 2" xfId="4427" xr:uid="{00000000-0005-0000-0000-000048110000}"/>
    <cellStyle name="Migliaia 21 4 2 2" xfId="4428" xr:uid="{00000000-0005-0000-0000-000049110000}"/>
    <cellStyle name="Migliaia 21 4 2 2 2" xfId="4429" xr:uid="{00000000-0005-0000-0000-00004A110000}"/>
    <cellStyle name="Migliaia 21 4 2 3" xfId="4430" xr:uid="{00000000-0005-0000-0000-00004B110000}"/>
    <cellStyle name="Migliaia 21 4 2 4" xfId="4431" xr:uid="{00000000-0005-0000-0000-00004C110000}"/>
    <cellStyle name="Migliaia 21 4 2 5" xfId="4432" xr:uid="{00000000-0005-0000-0000-00004D110000}"/>
    <cellStyle name="Migliaia 21 4 3" xfId="4433" xr:uid="{00000000-0005-0000-0000-00004E110000}"/>
    <cellStyle name="Migliaia 21 4 4" xfId="4434" xr:uid="{00000000-0005-0000-0000-00004F110000}"/>
    <cellStyle name="Migliaia 21 4 5" xfId="4435" xr:uid="{00000000-0005-0000-0000-000050110000}"/>
    <cellStyle name="Migliaia 21 5" xfId="4436" xr:uid="{00000000-0005-0000-0000-000051110000}"/>
    <cellStyle name="Migliaia 21 5 2" xfId="4437" xr:uid="{00000000-0005-0000-0000-000052110000}"/>
    <cellStyle name="Migliaia 21 5 3" xfId="4438" xr:uid="{00000000-0005-0000-0000-000053110000}"/>
    <cellStyle name="Migliaia 21 6" xfId="4439" xr:uid="{00000000-0005-0000-0000-000054110000}"/>
    <cellStyle name="Migliaia 21 6 2" xfId="4440" xr:uid="{00000000-0005-0000-0000-000055110000}"/>
    <cellStyle name="Migliaia 21 6 2 2" xfId="4441" xr:uid="{00000000-0005-0000-0000-000056110000}"/>
    <cellStyle name="Migliaia 21 6 3" xfId="4442" xr:uid="{00000000-0005-0000-0000-000057110000}"/>
    <cellStyle name="Migliaia 21 7" xfId="4443" xr:uid="{00000000-0005-0000-0000-000058110000}"/>
    <cellStyle name="Migliaia 21 7 2" xfId="4444" xr:uid="{00000000-0005-0000-0000-000059110000}"/>
    <cellStyle name="Migliaia 21 8" xfId="4445" xr:uid="{00000000-0005-0000-0000-00005A110000}"/>
    <cellStyle name="Migliaia 21 8 2" xfId="4446" xr:uid="{00000000-0005-0000-0000-00005B110000}"/>
    <cellStyle name="Migliaia 22" xfId="4447" xr:uid="{00000000-0005-0000-0000-00005C110000}"/>
    <cellStyle name="Migliaia 22 2" xfId="4448" xr:uid="{00000000-0005-0000-0000-00005D110000}"/>
    <cellStyle name="Migliaia 22 2 2" xfId="4449" xr:uid="{00000000-0005-0000-0000-00005E110000}"/>
    <cellStyle name="Migliaia 22 2 2 2" xfId="4450" xr:uid="{00000000-0005-0000-0000-00005F110000}"/>
    <cellStyle name="Migliaia 22 2 2 2 2" xfId="4451" xr:uid="{00000000-0005-0000-0000-000060110000}"/>
    <cellStyle name="Migliaia 22 2 2 2 3" xfId="4452" xr:uid="{00000000-0005-0000-0000-000061110000}"/>
    <cellStyle name="Migliaia 22 2 2 3" xfId="4453" xr:uid="{00000000-0005-0000-0000-000062110000}"/>
    <cellStyle name="Migliaia 22 2 2 4" xfId="4454" xr:uid="{00000000-0005-0000-0000-000063110000}"/>
    <cellStyle name="Migliaia 22 2 3" xfId="4455" xr:uid="{00000000-0005-0000-0000-000064110000}"/>
    <cellStyle name="Migliaia 22 2 3 2" xfId="4456" xr:uid="{00000000-0005-0000-0000-000065110000}"/>
    <cellStyle name="Migliaia 22 2 4" xfId="4457" xr:uid="{00000000-0005-0000-0000-000066110000}"/>
    <cellStyle name="Migliaia 22 2 4 2" xfId="4458" xr:uid="{00000000-0005-0000-0000-000067110000}"/>
    <cellStyle name="Migliaia 22 2 5" xfId="4459" xr:uid="{00000000-0005-0000-0000-000068110000}"/>
    <cellStyle name="Migliaia 22 3" xfId="4460" xr:uid="{00000000-0005-0000-0000-000069110000}"/>
    <cellStyle name="Migliaia 22 3 2" xfId="4461" xr:uid="{00000000-0005-0000-0000-00006A110000}"/>
    <cellStyle name="Migliaia 22 3 2 2" xfId="4462" xr:uid="{00000000-0005-0000-0000-00006B110000}"/>
    <cellStyle name="Migliaia 22 3 2 2 2" xfId="4463" xr:uid="{00000000-0005-0000-0000-00006C110000}"/>
    <cellStyle name="Migliaia 22 3 2 2 3" xfId="4464" xr:uid="{00000000-0005-0000-0000-00006D110000}"/>
    <cellStyle name="Migliaia 22 3 2 3" xfId="4465" xr:uid="{00000000-0005-0000-0000-00006E110000}"/>
    <cellStyle name="Migliaia 22 3 2 3 2" xfId="4466" xr:uid="{00000000-0005-0000-0000-00006F110000}"/>
    <cellStyle name="Migliaia 22 3 2 4" xfId="4467" xr:uid="{00000000-0005-0000-0000-000070110000}"/>
    <cellStyle name="Migliaia 22 3 3" xfId="4468" xr:uid="{00000000-0005-0000-0000-000071110000}"/>
    <cellStyle name="Migliaia 22 3 3 2" xfId="4469" xr:uid="{00000000-0005-0000-0000-000072110000}"/>
    <cellStyle name="Migliaia 22 3 3 2 2" xfId="4470" xr:uid="{00000000-0005-0000-0000-000073110000}"/>
    <cellStyle name="Migliaia 22 3 3 3" xfId="4471" xr:uid="{00000000-0005-0000-0000-000074110000}"/>
    <cellStyle name="Migliaia 22 3 4" xfId="4472" xr:uid="{00000000-0005-0000-0000-000075110000}"/>
    <cellStyle name="Migliaia 22 3 4 2" xfId="4473" xr:uid="{00000000-0005-0000-0000-000076110000}"/>
    <cellStyle name="Migliaia 22 3 4 2 2" xfId="4474" xr:uid="{00000000-0005-0000-0000-000077110000}"/>
    <cellStyle name="Migliaia 22 3 4 3" xfId="4475" xr:uid="{00000000-0005-0000-0000-000078110000}"/>
    <cellStyle name="Migliaia 22 3 5" xfId="4476" xr:uid="{00000000-0005-0000-0000-000079110000}"/>
    <cellStyle name="Migliaia 22 3 5 2" xfId="4477" xr:uid="{00000000-0005-0000-0000-00007A110000}"/>
    <cellStyle name="Migliaia 22 3 6" xfId="4478" xr:uid="{00000000-0005-0000-0000-00007B110000}"/>
    <cellStyle name="Migliaia 22 3 6 2" xfId="4479" xr:uid="{00000000-0005-0000-0000-00007C110000}"/>
    <cellStyle name="Migliaia 22 3 7" xfId="4480" xr:uid="{00000000-0005-0000-0000-00007D110000}"/>
    <cellStyle name="Migliaia 22 4" xfId="4481" xr:uid="{00000000-0005-0000-0000-00007E110000}"/>
    <cellStyle name="Migliaia 22 4 2" xfId="4482" xr:uid="{00000000-0005-0000-0000-00007F110000}"/>
    <cellStyle name="Migliaia 22 4 2 2" xfId="4483" xr:uid="{00000000-0005-0000-0000-000080110000}"/>
    <cellStyle name="Migliaia 22 4 2 2 2" xfId="4484" xr:uid="{00000000-0005-0000-0000-000081110000}"/>
    <cellStyle name="Migliaia 22 4 2 3" xfId="4485" xr:uid="{00000000-0005-0000-0000-000082110000}"/>
    <cellStyle name="Migliaia 22 4 2 4" xfId="4486" xr:uid="{00000000-0005-0000-0000-000083110000}"/>
    <cellStyle name="Migliaia 22 4 2 5" xfId="4487" xr:uid="{00000000-0005-0000-0000-000084110000}"/>
    <cellStyle name="Migliaia 22 4 3" xfId="4488" xr:uid="{00000000-0005-0000-0000-000085110000}"/>
    <cellStyle name="Migliaia 22 4 4" xfId="4489" xr:uid="{00000000-0005-0000-0000-000086110000}"/>
    <cellStyle name="Migliaia 22 4 5" xfId="4490" xr:uid="{00000000-0005-0000-0000-000087110000}"/>
    <cellStyle name="Migliaia 22 5" xfId="4491" xr:uid="{00000000-0005-0000-0000-000088110000}"/>
    <cellStyle name="Migliaia 22 5 2" xfId="4492" xr:uid="{00000000-0005-0000-0000-000089110000}"/>
    <cellStyle name="Migliaia 22 5 3" xfId="4493" xr:uid="{00000000-0005-0000-0000-00008A110000}"/>
    <cellStyle name="Migliaia 22 6" xfId="4494" xr:uid="{00000000-0005-0000-0000-00008B110000}"/>
    <cellStyle name="Migliaia 22 6 2" xfId="4495" xr:uid="{00000000-0005-0000-0000-00008C110000}"/>
    <cellStyle name="Migliaia 22 6 2 2" xfId="4496" xr:uid="{00000000-0005-0000-0000-00008D110000}"/>
    <cellStyle name="Migliaia 22 6 3" xfId="4497" xr:uid="{00000000-0005-0000-0000-00008E110000}"/>
    <cellStyle name="Migliaia 22 7" xfId="4498" xr:uid="{00000000-0005-0000-0000-00008F110000}"/>
    <cellStyle name="Migliaia 22 7 2" xfId="4499" xr:uid="{00000000-0005-0000-0000-000090110000}"/>
    <cellStyle name="Migliaia 22 8" xfId="4500" xr:uid="{00000000-0005-0000-0000-000091110000}"/>
    <cellStyle name="Migliaia 22 8 2" xfId="4501" xr:uid="{00000000-0005-0000-0000-000092110000}"/>
    <cellStyle name="Migliaia 23" xfId="4502" xr:uid="{00000000-0005-0000-0000-000093110000}"/>
    <cellStyle name="Migliaia 23 2" xfId="4503" xr:uid="{00000000-0005-0000-0000-000094110000}"/>
    <cellStyle name="Migliaia 23 2 2" xfId="4504" xr:uid="{00000000-0005-0000-0000-000095110000}"/>
    <cellStyle name="Migliaia 23 2 2 2" xfId="4505" xr:uid="{00000000-0005-0000-0000-000096110000}"/>
    <cellStyle name="Migliaia 23 2 2 2 2" xfId="4506" xr:uid="{00000000-0005-0000-0000-000097110000}"/>
    <cellStyle name="Migliaia 23 2 2 2 3" xfId="4507" xr:uid="{00000000-0005-0000-0000-000098110000}"/>
    <cellStyle name="Migliaia 23 2 2 3" xfId="4508" xr:uid="{00000000-0005-0000-0000-000099110000}"/>
    <cellStyle name="Migliaia 23 2 2 4" xfId="4509" xr:uid="{00000000-0005-0000-0000-00009A110000}"/>
    <cellStyle name="Migliaia 23 2 3" xfId="4510" xr:uid="{00000000-0005-0000-0000-00009B110000}"/>
    <cellStyle name="Migliaia 23 2 3 2" xfId="4511" xr:uid="{00000000-0005-0000-0000-00009C110000}"/>
    <cellStyle name="Migliaia 23 2 4" xfId="4512" xr:uid="{00000000-0005-0000-0000-00009D110000}"/>
    <cellStyle name="Migliaia 23 2 4 2" xfId="4513" xr:uid="{00000000-0005-0000-0000-00009E110000}"/>
    <cellStyle name="Migliaia 23 2 5" xfId="4514" xr:uid="{00000000-0005-0000-0000-00009F110000}"/>
    <cellStyle name="Migliaia 23 3" xfId="4515" xr:uid="{00000000-0005-0000-0000-0000A0110000}"/>
    <cellStyle name="Migliaia 23 3 2" xfId="4516" xr:uid="{00000000-0005-0000-0000-0000A1110000}"/>
    <cellStyle name="Migliaia 23 3 2 2" xfId="4517" xr:uid="{00000000-0005-0000-0000-0000A2110000}"/>
    <cellStyle name="Migliaia 23 3 2 2 2" xfId="4518" xr:uid="{00000000-0005-0000-0000-0000A3110000}"/>
    <cellStyle name="Migliaia 23 3 2 2 3" xfId="4519" xr:uid="{00000000-0005-0000-0000-0000A4110000}"/>
    <cellStyle name="Migliaia 23 3 2 3" xfId="4520" xr:uid="{00000000-0005-0000-0000-0000A5110000}"/>
    <cellStyle name="Migliaia 23 3 2 3 2" xfId="4521" xr:uid="{00000000-0005-0000-0000-0000A6110000}"/>
    <cellStyle name="Migliaia 23 3 2 4" xfId="4522" xr:uid="{00000000-0005-0000-0000-0000A7110000}"/>
    <cellStyle name="Migliaia 23 3 3" xfId="4523" xr:uid="{00000000-0005-0000-0000-0000A8110000}"/>
    <cellStyle name="Migliaia 23 3 3 2" xfId="4524" xr:uid="{00000000-0005-0000-0000-0000A9110000}"/>
    <cellStyle name="Migliaia 23 3 3 2 2" xfId="4525" xr:uid="{00000000-0005-0000-0000-0000AA110000}"/>
    <cellStyle name="Migliaia 23 3 3 3" xfId="4526" xr:uid="{00000000-0005-0000-0000-0000AB110000}"/>
    <cellStyle name="Migliaia 23 3 4" xfId="4527" xr:uid="{00000000-0005-0000-0000-0000AC110000}"/>
    <cellStyle name="Migliaia 23 3 4 2" xfId="4528" xr:uid="{00000000-0005-0000-0000-0000AD110000}"/>
    <cellStyle name="Migliaia 23 3 4 2 2" xfId="4529" xr:uid="{00000000-0005-0000-0000-0000AE110000}"/>
    <cellStyle name="Migliaia 23 3 4 3" xfId="4530" xr:uid="{00000000-0005-0000-0000-0000AF110000}"/>
    <cellStyle name="Migliaia 23 3 5" xfId="4531" xr:uid="{00000000-0005-0000-0000-0000B0110000}"/>
    <cellStyle name="Migliaia 23 3 5 2" xfId="4532" xr:uid="{00000000-0005-0000-0000-0000B1110000}"/>
    <cellStyle name="Migliaia 23 3 6" xfId="4533" xr:uid="{00000000-0005-0000-0000-0000B2110000}"/>
    <cellStyle name="Migliaia 23 3 6 2" xfId="4534" xr:uid="{00000000-0005-0000-0000-0000B3110000}"/>
    <cellStyle name="Migliaia 23 3 7" xfId="4535" xr:uid="{00000000-0005-0000-0000-0000B4110000}"/>
    <cellStyle name="Migliaia 23 4" xfId="4536" xr:uid="{00000000-0005-0000-0000-0000B5110000}"/>
    <cellStyle name="Migliaia 23 4 2" xfId="4537" xr:uid="{00000000-0005-0000-0000-0000B6110000}"/>
    <cellStyle name="Migliaia 23 4 2 2" xfId="4538" xr:uid="{00000000-0005-0000-0000-0000B7110000}"/>
    <cellStyle name="Migliaia 23 4 2 2 2" xfId="4539" xr:uid="{00000000-0005-0000-0000-0000B8110000}"/>
    <cellStyle name="Migliaia 23 4 2 3" xfId="4540" xr:uid="{00000000-0005-0000-0000-0000B9110000}"/>
    <cellStyle name="Migliaia 23 4 2 4" xfId="4541" xr:uid="{00000000-0005-0000-0000-0000BA110000}"/>
    <cellStyle name="Migliaia 23 4 2 5" xfId="4542" xr:uid="{00000000-0005-0000-0000-0000BB110000}"/>
    <cellStyle name="Migliaia 23 4 3" xfId="4543" xr:uid="{00000000-0005-0000-0000-0000BC110000}"/>
    <cellStyle name="Migliaia 23 4 4" xfId="4544" xr:uid="{00000000-0005-0000-0000-0000BD110000}"/>
    <cellStyle name="Migliaia 23 4 5" xfId="4545" xr:uid="{00000000-0005-0000-0000-0000BE110000}"/>
    <cellStyle name="Migliaia 23 5" xfId="4546" xr:uid="{00000000-0005-0000-0000-0000BF110000}"/>
    <cellStyle name="Migliaia 23 5 2" xfId="4547" xr:uid="{00000000-0005-0000-0000-0000C0110000}"/>
    <cellStyle name="Migliaia 23 5 3" xfId="4548" xr:uid="{00000000-0005-0000-0000-0000C1110000}"/>
    <cellStyle name="Migliaia 23 6" xfId="4549" xr:uid="{00000000-0005-0000-0000-0000C2110000}"/>
    <cellStyle name="Migliaia 23 6 2" xfId="4550" xr:uid="{00000000-0005-0000-0000-0000C3110000}"/>
    <cellStyle name="Migliaia 23 6 2 2" xfId="4551" xr:uid="{00000000-0005-0000-0000-0000C4110000}"/>
    <cellStyle name="Migliaia 23 6 3" xfId="4552" xr:uid="{00000000-0005-0000-0000-0000C5110000}"/>
    <cellStyle name="Migliaia 23 7" xfId="4553" xr:uid="{00000000-0005-0000-0000-0000C6110000}"/>
    <cellStyle name="Migliaia 23 7 2" xfId="4554" xr:uid="{00000000-0005-0000-0000-0000C7110000}"/>
    <cellStyle name="Migliaia 23 8" xfId="4555" xr:uid="{00000000-0005-0000-0000-0000C8110000}"/>
    <cellStyle name="Migliaia 23 8 2" xfId="4556" xr:uid="{00000000-0005-0000-0000-0000C9110000}"/>
    <cellStyle name="Migliaia 24" xfId="4557" xr:uid="{00000000-0005-0000-0000-0000CA110000}"/>
    <cellStyle name="Migliaia 24 2" xfId="4558" xr:uid="{00000000-0005-0000-0000-0000CB110000}"/>
    <cellStyle name="Migliaia 24 2 2" xfId="4559" xr:uid="{00000000-0005-0000-0000-0000CC110000}"/>
    <cellStyle name="Migliaia 24 2 2 2" xfId="4560" xr:uid="{00000000-0005-0000-0000-0000CD110000}"/>
    <cellStyle name="Migliaia 24 2 2 2 2" xfId="4561" xr:uid="{00000000-0005-0000-0000-0000CE110000}"/>
    <cellStyle name="Migliaia 24 2 2 2 3" xfId="4562" xr:uid="{00000000-0005-0000-0000-0000CF110000}"/>
    <cellStyle name="Migliaia 24 2 2 3" xfId="4563" xr:uid="{00000000-0005-0000-0000-0000D0110000}"/>
    <cellStyle name="Migliaia 24 2 2 4" xfId="4564" xr:uid="{00000000-0005-0000-0000-0000D1110000}"/>
    <cellStyle name="Migliaia 24 2 3" xfId="4565" xr:uid="{00000000-0005-0000-0000-0000D2110000}"/>
    <cellStyle name="Migliaia 24 2 3 2" xfId="4566" xr:uid="{00000000-0005-0000-0000-0000D3110000}"/>
    <cellStyle name="Migliaia 24 2 4" xfId="4567" xr:uid="{00000000-0005-0000-0000-0000D4110000}"/>
    <cellStyle name="Migliaia 24 2 4 2" xfId="4568" xr:uid="{00000000-0005-0000-0000-0000D5110000}"/>
    <cellStyle name="Migliaia 24 2 5" xfId="4569" xr:uid="{00000000-0005-0000-0000-0000D6110000}"/>
    <cellStyle name="Migliaia 24 3" xfId="4570" xr:uid="{00000000-0005-0000-0000-0000D7110000}"/>
    <cellStyle name="Migliaia 24 3 2" xfId="4571" xr:uid="{00000000-0005-0000-0000-0000D8110000}"/>
    <cellStyle name="Migliaia 24 3 2 2" xfId="4572" xr:uid="{00000000-0005-0000-0000-0000D9110000}"/>
    <cellStyle name="Migliaia 24 3 2 2 2" xfId="4573" xr:uid="{00000000-0005-0000-0000-0000DA110000}"/>
    <cellStyle name="Migliaia 24 3 2 2 3" xfId="4574" xr:uid="{00000000-0005-0000-0000-0000DB110000}"/>
    <cellStyle name="Migliaia 24 3 2 3" xfId="4575" xr:uid="{00000000-0005-0000-0000-0000DC110000}"/>
    <cellStyle name="Migliaia 24 3 2 3 2" xfId="4576" xr:uid="{00000000-0005-0000-0000-0000DD110000}"/>
    <cellStyle name="Migliaia 24 3 2 4" xfId="4577" xr:uid="{00000000-0005-0000-0000-0000DE110000}"/>
    <cellStyle name="Migliaia 24 3 3" xfId="4578" xr:uid="{00000000-0005-0000-0000-0000DF110000}"/>
    <cellStyle name="Migliaia 24 3 3 2" xfId="4579" xr:uid="{00000000-0005-0000-0000-0000E0110000}"/>
    <cellStyle name="Migliaia 24 3 3 2 2" xfId="4580" xr:uid="{00000000-0005-0000-0000-0000E1110000}"/>
    <cellStyle name="Migliaia 24 3 3 3" xfId="4581" xr:uid="{00000000-0005-0000-0000-0000E2110000}"/>
    <cellStyle name="Migliaia 24 3 4" xfId="4582" xr:uid="{00000000-0005-0000-0000-0000E3110000}"/>
    <cellStyle name="Migliaia 24 3 4 2" xfId="4583" xr:uid="{00000000-0005-0000-0000-0000E4110000}"/>
    <cellStyle name="Migliaia 24 3 4 2 2" xfId="4584" xr:uid="{00000000-0005-0000-0000-0000E5110000}"/>
    <cellStyle name="Migliaia 24 3 4 3" xfId="4585" xr:uid="{00000000-0005-0000-0000-0000E6110000}"/>
    <cellStyle name="Migliaia 24 3 5" xfId="4586" xr:uid="{00000000-0005-0000-0000-0000E7110000}"/>
    <cellStyle name="Migliaia 24 3 5 2" xfId="4587" xr:uid="{00000000-0005-0000-0000-0000E8110000}"/>
    <cellStyle name="Migliaia 24 3 6" xfId="4588" xr:uid="{00000000-0005-0000-0000-0000E9110000}"/>
    <cellStyle name="Migliaia 24 3 6 2" xfId="4589" xr:uid="{00000000-0005-0000-0000-0000EA110000}"/>
    <cellStyle name="Migliaia 24 3 7" xfId="4590" xr:uid="{00000000-0005-0000-0000-0000EB110000}"/>
    <cellStyle name="Migliaia 24 4" xfId="4591" xr:uid="{00000000-0005-0000-0000-0000EC110000}"/>
    <cellStyle name="Migliaia 24 4 2" xfId="4592" xr:uid="{00000000-0005-0000-0000-0000ED110000}"/>
    <cellStyle name="Migliaia 24 4 2 2" xfId="4593" xr:uid="{00000000-0005-0000-0000-0000EE110000}"/>
    <cellStyle name="Migliaia 24 4 2 2 2" xfId="4594" xr:uid="{00000000-0005-0000-0000-0000EF110000}"/>
    <cellStyle name="Migliaia 24 4 2 3" xfId="4595" xr:uid="{00000000-0005-0000-0000-0000F0110000}"/>
    <cellStyle name="Migliaia 24 4 2 4" xfId="4596" xr:uid="{00000000-0005-0000-0000-0000F1110000}"/>
    <cellStyle name="Migliaia 24 4 2 5" xfId="4597" xr:uid="{00000000-0005-0000-0000-0000F2110000}"/>
    <cellStyle name="Migliaia 24 4 3" xfId="4598" xr:uid="{00000000-0005-0000-0000-0000F3110000}"/>
    <cellStyle name="Migliaia 24 4 4" xfId="4599" xr:uid="{00000000-0005-0000-0000-0000F4110000}"/>
    <cellStyle name="Migliaia 24 4 5" xfId="4600" xr:uid="{00000000-0005-0000-0000-0000F5110000}"/>
    <cellStyle name="Migliaia 24 5" xfId="4601" xr:uid="{00000000-0005-0000-0000-0000F6110000}"/>
    <cellStyle name="Migliaia 24 5 2" xfId="4602" xr:uid="{00000000-0005-0000-0000-0000F7110000}"/>
    <cellStyle name="Migliaia 24 5 3" xfId="4603" xr:uid="{00000000-0005-0000-0000-0000F8110000}"/>
    <cellStyle name="Migliaia 24 6" xfId="4604" xr:uid="{00000000-0005-0000-0000-0000F9110000}"/>
    <cellStyle name="Migliaia 24 6 2" xfId="4605" xr:uid="{00000000-0005-0000-0000-0000FA110000}"/>
    <cellStyle name="Migliaia 24 6 2 2" xfId="4606" xr:uid="{00000000-0005-0000-0000-0000FB110000}"/>
    <cellStyle name="Migliaia 24 6 3" xfId="4607" xr:uid="{00000000-0005-0000-0000-0000FC110000}"/>
    <cellStyle name="Migliaia 24 7" xfId="4608" xr:uid="{00000000-0005-0000-0000-0000FD110000}"/>
    <cellStyle name="Migliaia 24 7 2" xfId="4609" xr:uid="{00000000-0005-0000-0000-0000FE110000}"/>
    <cellStyle name="Migliaia 24 8" xfId="4610" xr:uid="{00000000-0005-0000-0000-0000FF110000}"/>
    <cellStyle name="Migliaia 24 8 2" xfId="4611" xr:uid="{00000000-0005-0000-0000-000000120000}"/>
    <cellStyle name="Migliaia 25" xfId="4612" xr:uid="{00000000-0005-0000-0000-000001120000}"/>
    <cellStyle name="Migliaia 25 2" xfId="4613" xr:uid="{00000000-0005-0000-0000-000002120000}"/>
    <cellStyle name="Migliaia 25 2 2" xfId="4614" xr:uid="{00000000-0005-0000-0000-000003120000}"/>
    <cellStyle name="Migliaia 25 2 2 2" xfId="4615" xr:uid="{00000000-0005-0000-0000-000004120000}"/>
    <cellStyle name="Migliaia 25 2 2 2 2" xfId="4616" xr:uid="{00000000-0005-0000-0000-000005120000}"/>
    <cellStyle name="Migliaia 25 2 2 2 3" xfId="4617" xr:uid="{00000000-0005-0000-0000-000006120000}"/>
    <cellStyle name="Migliaia 25 2 2 3" xfId="4618" xr:uid="{00000000-0005-0000-0000-000007120000}"/>
    <cellStyle name="Migliaia 25 2 2 4" xfId="4619" xr:uid="{00000000-0005-0000-0000-000008120000}"/>
    <cellStyle name="Migliaia 25 2 3" xfId="4620" xr:uid="{00000000-0005-0000-0000-000009120000}"/>
    <cellStyle name="Migliaia 25 2 3 2" xfId="4621" xr:uid="{00000000-0005-0000-0000-00000A120000}"/>
    <cellStyle name="Migliaia 25 2 4" xfId="4622" xr:uid="{00000000-0005-0000-0000-00000B120000}"/>
    <cellStyle name="Migliaia 25 2 4 2" xfId="4623" xr:uid="{00000000-0005-0000-0000-00000C120000}"/>
    <cellStyle name="Migliaia 25 2 5" xfId="4624" xr:uid="{00000000-0005-0000-0000-00000D120000}"/>
    <cellStyle name="Migliaia 25 3" xfId="4625" xr:uid="{00000000-0005-0000-0000-00000E120000}"/>
    <cellStyle name="Migliaia 25 3 2" xfId="4626" xr:uid="{00000000-0005-0000-0000-00000F120000}"/>
    <cellStyle name="Migliaia 25 3 2 2" xfId="4627" xr:uid="{00000000-0005-0000-0000-000010120000}"/>
    <cellStyle name="Migliaia 25 3 2 2 2" xfId="4628" xr:uid="{00000000-0005-0000-0000-000011120000}"/>
    <cellStyle name="Migliaia 25 3 2 2 3" xfId="4629" xr:uid="{00000000-0005-0000-0000-000012120000}"/>
    <cellStyle name="Migliaia 25 3 2 3" xfId="4630" xr:uid="{00000000-0005-0000-0000-000013120000}"/>
    <cellStyle name="Migliaia 25 3 2 3 2" xfId="4631" xr:uid="{00000000-0005-0000-0000-000014120000}"/>
    <cellStyle name="Migliaia 25 3 2 4" xfId="4632" xr:uid="{00000000-0005-0000-0000-000015120000}"/>
    <cellStyle name="Migliaia 25 3 3" xfId="4633" xr:uid="{00000000-0005-0000-0000-000016120000}"/>
    <cellStyle name="Migliaia 25 3 3 2" xfId="4634" xr:uid="{00000000-0005-0000-0000-000017120000}"/>
    <cellStyle name="Migliaia 25 3 3 2 2" xfId="4635" xr:uid="{00000000-0005-0000-0000-000018120000}"/>
    <cellStyle name="Migliaia 25 3 3 3" xfId="4636" xr:uid="{00000000-0005-0000-0000-000019120000}"/>
    <cellStyle name="Migliaia 25 3 4" xfId="4637" xr:uid="{00000000-0005-0000-0000-00001A120000}"/>
    <cellStyle name="Migliaia 25 3 4 2" xfId="4638" xr:uid="{00000000-0005-0000-0000-00001B120000}"/>
    <cellStyle name="Migliaia 25 3 4 2 2" xfId="4639" xr:uid="{00000000-0005-0000-0000-00001C120000}"/>
    <cellStyle name="Migliaia 25 3 4 3" xfId="4640" xr:uid="{00000000-0005-0000-0000-00001D120000}"/>
    <cellStyle name="Migliaia 25 3 5" xfId="4641" xr:uid="{00000000-0005-0000-0000-00001E120000}"/>
    <cellStyle name="Migliaia 25 3 5 2" xfId="4642" xr:uid="{00000000-0005-0000-0000-00001F120000}"/>
    <cellStyle name="Migliaia 25 3 6" xfId="4643" xr:uid="{00000000-0005-0000-0000-000020120000}"/>
    <cellStyle name="Migliaia 25 3 6 2" xfId="4644" xr:uid="{00000000-0005-0000-0000-000021120000}"/>
    <cellStyle name="Migliaia 25 3 7" xfId="4645" xr:uid="{00000000-0005-0000-0000-000022120000}"/>
    <cellStyle name="Migliaia 25 4" xfId="4646" xr:uid="{00000000-0005-0000-0000-000023120000}"/>
    <cellStyle name="Migliaia 25 4 2" xfId="4647" xr:uid="{00000000-0005-0000-0000-000024120000}"/>
    <cellStyle name="Migliaia 25 4 2 2" xfId="4648" xr:uid="{00000000-0005-0000-0000-000025120000}"/>
    <cellStyle name="Migliaia 25 4 2 2 2" xfId="4649" xr:uid="{00000000-0005-0000-0000-000026120000}"/>
    <cellStyle name="Migliaia 25 4 2 3" xfId="4650" xr:uid="{00000000-0005-0000-0000-000027120000}"/>
    <cellStyle name="Migliaia 25 4 2 4" xfId="4651" xr:uid="{00000000-0005-0000-0000-000028120000}"/>
    <cellStyle name="Migliaia 25 4 2 5" xfId="4652" xr:uid="{00000000-0005-0000-0000-000029120000}"/>
    <cellStyle name="Migliaia 25 4 3" xfId="4653" xr:uid="{00000000-0005-0000-0000-00002A120000}"/>
    <cellStyle name="Migliaia 25 4 4" xfId="4654" xr:uid="{00000000-0005-0000-0000-00002B120000}"/>
    <cellStyle name="Migliaia 25 4 5" xfId="4655" xr:uid="{00000000-0005-0000-0000-00002C120000}"/>
    <cellStyle name="Migliaia 25 5" xfId="4656" xr:uid="{00000000-0005-0000-0000-00002D120000}"/>
    <cellStyle name="Migliaia 25 5 2" xfId="4657" xr:uid="{00000000-0005-0000-0000-00002E120000}"/>
    <cellStyle name="Migliaia 25 5 3" xfId="4658" xr:uid="{00000000-0005-0000-0000-00002F120000}"/>
    <cellStyle name="Migliaia 25 6" xfId="4659" xr:uid="{00000000-0005-0000-0000-000030120000}"/>
    <cellStyle name="Migliaia 25 6 2" xfId="4660" xr:uid="{00000000-0005-0000-0000-000031120000}"/>
    <cellStyle name="Migliaia 25 6 2 2" xfId="4661" xr:uid="{00000000-0005-0000-0000-000032120000}"/>
    <cellStyle name="Migliaia 25 6 3" xfId="4662" xr:uid="{00000000-0005-0000-0000-000033120000}"/>
    <cellStyle name="Migliaia 25 7" xfId="4663" xr:uid="{00000000-0005-0000-0000-000034120000}"/>
    <cellStyle name="Migliaia 25 7 2" xfId="4664" xr:uid="{00000000-0005-0000-0000-000035120000}"/>
    <cellStyle name="Migliaia 25 8" xfId="4665" xr:uid="{00000000-0005-0000-0000-000036120000}"/>
    <cellStyle name="Migliaia 25 8 2" xfId="4666" xr:uid="{00000000-0005-0000-0000-000037120000}"/>
    <cellStyle name="Migliaia 26" xfId="4667" xr:uid="{00000000-0005-0000-0000-000038120000}"/>
    <cellStyle name="Migliaia 26 2" xfId="4668" xr:uid="{00000000-0005-0000-0000-000039120000}"/>
    <cellStyle name="Migliaia 26 2 2" xfId="4669" xr:uid="{00000000-0005-0000-0000-00003A120000}"/>
    <cellStyle name="Migliaia 26 2 2 2" xfId="4670" xr:uid="{00000000-0005-0000-0000-00003B120000}"/>
    <cellStyle name="Migliaia 26 2 2 2 2" xfId="4671" xr:uid="{00000000-0005-0000-0000-00003C120000}"/>
    <cellStyle name="Migliaia 26 2 2 2 3" xfId="4672" xr:uid="{00000000-0005-0000-0000-00003D120000}"/>
    <cellStyle name="Migliaia 26 2 2 3" xfId="4673" xr:uid="{00000000-0005-0000-0000-00003E120000}"/>
    <cellStyle name="Migliaia 26 2 2 4" xfId="4674" xr:uid="{00000000-0005-0000-0000-00003F120000}"/>
    <cellStyle name="Migliaia 26 2 3" xfId="4675" xr:uid="{00000000-0005-0000-0000-000040120000}"/>
    <cellStyle name="Migliaia 26 2 3 2" xfId="4676" xr:uid="{00000000-0005-0000-0000-000041120000}"/>
    <cellStyle name="Migliaia 26 2 4" xfId="4677" xr:uid="{00000000-0005-0000-0000-000042120000}"/>
    <cellStyle name="Migliaia 26 2 4 2" xfId="4678" xr:uid="{00000000-0005-0000-0000-000043120000}"/>
    <cellStyle name="Migliaia 26 2 5" xfId="4679" xr:uid="{00000000-0005-0000-0000-000044120000}"/>
    <cellStyle name="Migliaia 26 3" xfId="4680" xr:uid="{00000000-0005-0000-0000-000045120000}"/>
    <cellStyle name="Migliaia 26 3 2" xfId="4681" xr:uid="{00000000-0005-0000-0000-000046120000}"/>
    <cellStyle name="Migliaia 26 3 2 2" xfId="4682" xr:uid="{00000000-0005-0000-0000-000047120000}"/>
    <cellStyle name="Migliaia 26 3 2 2 2" xfId="4683" xr:uid="{00000000-0005-0000-0000-000048120000}"/>
    <cellStyle name="Migliaia 26 3 2 2 3" xfId="4684" xr:uid="{00000000-0005-0000-0000-000049120000}"/>
    <cellStyle name="Migliaia 26 3 2 3" xfId="4685" xr:uid="{00000000-0005-0000-0000-00004A120000}"/>
    <cellStyle name="Migliaia 26 3 2 3 2" xfId="4686" xr:uid="{00000000-0005-0000-0000-00004B120000}"/>
    <cellStyle name="Migliaia 26 3 2 4" xfId="4687" xr:uid="{00000000-0005-0000-0000-00004C120000}"/>
    <cellStyle name="Migliaia 26 3 3" xfId="4688" xr:uid="{00000000-0005-0000-0000-00004D120000}"/>
    <cellStyle name="Migliaia 26 3 3 2" xfId="4689" xr:uid="{00000000-0005-0000-0000-00004E120000}"/>
    <cellStyle name="Migliaia 26 3 3 2 2" xfId="4690" xr:uid="{00000000-0005-0000-0000-00004F120000}"/>
    <cellStyle name="Migliaia 26 3 3 3" xfId="4691" xr:uid="{00000000-0005-0000-0000-000050120000}"/>
    <cellStyle name="Migliaia 26 3 4" xfId="4692" xr:uid="{00000000-0005-0000-0000-000051120000}"/>
    <cellStyle name="Migliaia 26 3 4 2" xfId="4693" xr:uid="{00000000-0005-0000-0000-000052120000}"/>
    <cellStyle name="Migliaia 26 3 4 2 2" xfId="4694" xr:uid="{00000000-0005-0000-0000-000053120000}"/>
    <cellStyle name="Migliaia 26 3 4 3" xfId="4695" xr:uid="{00000000-0005-0000-0000-000054120000}"/>
    <cellStyle name="Migliaia 26 3 5" xfId="4696" xr:uid="{00000000-0005-0000-0000-000055120000}"/>
    <cellStyle name="Migliaia 26 3 5 2" xfId="4697" xr:uid="{00000000-0005-0000-0000-000056120000}"/>
    <cellStyle name="Migliaia 26 3 6" xfId="4698" xr:uid="{00000000-0005-0000-0000-000057120000}"/>
    <cellStyle name="Migliaia 26 3 6 2" xfId="4699" xr:uid="{00000000-0005-0000-0000-000058120000}"/>
    <cellStyle name="Migliaia 26 3 7" xfId="4700" xr:uid="{00000000-0005-0000-0000-000059120000}"/>
    <cellStyle name="Migliaia 26 4" xfId="4701" xr:uid="{00000000-0005-0000-0000-00005A120000}"/>
    <cellStyle name="Migliaia 26 4 2" xfId="4702" xr:uid="{00000000-0005-0000-0000-00005B120000}"/>
    <cellStyle name="Migliaia 26 4 2 2" xfId="4703" xr:uid="{00000000-0005-0000-0000-00005C120000}"/>
    <cellStyle name="Migliaia 26 4 2 2 2" xfId="4704" xr:uid="{00000000-0005-0000-0000-00005D120000}"/>
    <cellStyle name="Migliaia 26 4 2 3" xfId="4705" xr:uid="{00000000-0005-0000-0000-00005E120000}"/>
    <cellStyle name="Migliaia 26 4 2 4" xfId="4706" xr:uid="{00000000-0005-0000-0000-00005F120000}"/>
    <cellStyle name="Migliaia 26 4 2 5" xfId="4707" xr:uid="{00000000-0005-0000-0000-000060120000}"/>
    <cellStyle name="Migliaia 26 4 3" xfId="4708" xr:uid="{00000000-0005-0000-0000-000061120000}"/>
    <cellStyle name="Migliaia 26 4 4" xfId="4709" xr:uid="{00000000-0005-0000-0000-000062120000}"/>
    <cellStyle name="Migliaia 26 4 5" xfId="4710" xr:uid="{00000000-0005-0000-0000-000063120000}"/>
    <cellStyle name="Migliaia 26 5" xfId="4711" xr:uid="{00000000-0005-0000-0000-000064120000}"/>
    <cellStyle name="Migliaia 26 5 2" xfId="4712" xr:uid="{00000000-0005-0000-0000-000065120000}"/>
    <cellStyle name="Migliaia 26 5 3" xfId="4713" xr:uid="{00000000-0005-0000-0000-000066120000}"/>
    <cellStyle name="Migliaia 26 6" xfId="4714" xr:uid="{00000000-0005-0000-0000-000067120000}"/>
    <cellStyle name="Migliaia 26 6 2" xfId="4715" xr:uid="{00000000-0005-0000-0000-000068120000}"/>
    <cellStyle name="Migliaia 26 6 2 2" xfId="4716" xr:uid="{00000000-0005-0000-0000-000069120000}"/>
    <cellStyle name="Migliaia 26 6 3" xfId="4717" xr:uid="{00000000-0005-0000-0000-00006A120000}"/>
    <cellStyle name="Migliaia 26 7" xfId="4718" xr:uid="{00000000-0005-0000-0000-00006B120000}"/>
    <cellStyle name="Migliaia 26 7 2" xfId="4719" xr:uid="{00000000-0005-0000-0000-00006C120000}"/>
    <cellStyle name="Migliaia 26 8" xfId="4720" xr:uid="{00000000-0005-0000-0000-00006D120000}"/>
    <cellStyle name="Migliaia 26 8 2" xfId="4721" xr:uid="{00000000-0005-0000-0000-00006E120000}"/>
    <cellStyle name="Migliaia 27" xfId="4722" xr:uid="{00000000-0005-0000-0000-00006F120000}"/>
    <cellStyle name="Migliaia 27 2" xfId="4723" xr:uid="{00000000-0005-0000-0000-000070120000}"/>
    <cellStyle name="Migliaia 27 2 2" xfId="4724" xr:uid="{00000000-0005-0000-0000-000071120000}"/>
    <cellStyle name="Migliaia 27 2 2 2" xfId="4725" xr:uid="{00000000-0005-0000-0000-000072120000}"/>
    <cellStyle name="Migliaia 27 2 2 2 2" xfId="4726" xr:uid="{00000000-0005-0000-0000-000073120000}"/>
    <cellStyle name="Migliaia 27 2 2 2 3" xfId="4727" xr:uid="{00000000-0005-0000-0000-000074120000}"/>
    <cellStyle name="Migliaia 27 2 2 3" xfId="4728" xr:uid="{00000000-0005-0000-0000-000075120000}"/>
    <cellStyle name="Migliaia 27 2 2 4" xfId="4729" xr:uid="{00000000-0005-0000-0000-000076120000}"/>
    <cellStyle name="Migliaia 27 2 3" xfId="4730" xr:uid="{00000000-0005-0000-0000-000077120000}"/>
    <cellStyle name="Migliaia 27 2 3 2" xfId="4731" xr:uid="{00000000-0005-0000-0000-000078120000}"/>
    <cellStyle name="Migliaia 27 2 4" xfId="4732" xr:uid="{00000000-0005-0000-0000-000079120000}"/>
    <cellStyle name="Migliaia 27 2 4 2" xfId="4733" xr:uid="{00000000-0005-0000-0000-00007A120000}"/>
    <cellStyle name="Migliaia 27 2 5" xfId="4734" xr:uid="{00000000-0005-0000-0000-00007B120000}"/>
    <cellStyle name="Migliaia 27 3" xfId="4735" xr:uid="{00000000-0005-0000-0000-00007C120000}"/>
    <cellStyle name="Migliaia 27 3 2" xfId="4736" xr:uid="{00000000-0005-0000-0000-00007D120000}"/>
    <cellStyle name="Migliaia 27 3 2 2" xfId="4737" xr:uid="{00000000-0005-0000-0000-00007E120000}"/>
    <cellStyle name="Migliaia 27 3 2 2 2" xfId="4738" xr:uid="{00000000-0005-0000-0000-00007F120000}"/>
    <cellStyle name="Migliaia 27 3 2 2 3" xfId="4739" xr:uid="{00000000-0005-0000-0000-000080120000}"/>
    <cellStyle name="Migliaia 27 3 2 3" xfId="4740" xr:uid="{00000000-0005-0000-0000-000081120000}"/>
    <cellStyle name="Migliaia 27 3 2 3 2" xfId="4741" xr:uid="{00000000-0005-0000-0000-000082120000}"/>
    <cellStyle name="Migliaia 27 3 2 4" xfId="4742" xr:uid="{00000000-0005-0000-0000-000083120000}"/>
    <cellStyle name="Migliaia 27 3 3" xfId="4743" xr:uid="{00000000-0005-0000-0000-000084120000}"/>
    <cellStyle name="Migliaia 27 3 3 2" xfId="4744" xr:uid="{00000000-0005-0000-0000-000085120000}"/>
    <cellStyle name="Migliaia 27 3 3 2 2" xfId="4745" xr:uid="{00000000-0005-0000-0000-000086120000}"/>
    <cellStyle name="Migliaia 27 3 3 3" xfId="4746" xr:uid="{00000000-0005-0000-0000-000087120000}"/>
    <cellStyle name="Migliaia 27 3 4" xfId="4747" xr:uid="{00000000-0005-0000-0000-000088120000}"/>
    <cellStyle name="Migliaia 27 3 4 2" xfId="4748" xr:uid="{00000000-0005-0000-0000-000089120000}"/>
    <cellStyle name="Migliaia 27 3 4 2 2" xfId="4749" xr:uid="{00000000-0005-0000-0000-00008A120000}"/>
    <cellStyle name="Migliaia 27 3 4 3" xfId="4750" xr:uid="{00000000-0005-0000-0000-00008B120000}"/>
    <cellStyle name="Migliaia 27 3 5" xfId="4751" xr:uid="{00000000-0005-0000-0000-00008C120000}"/>
    <cellStyle name="Migliaia 27 3 5 2" xfId="4752" xr:uid="{00000000-0005-0000-0000-00008D120000}"/>
    <cellStyle name="Migliaia 27 3 6" xfId="4753" xr:uid="{00000000-0005-0000-0000-00008E120000}"/>
    <cellStyle name="Migliaia 27 3 6 2" xfId="4754" xr:uid="{00000000-0005-0000-0000-00008F120000}"/>
    <cellStyle name="Migliaia 27 3 7" xfId="4755" xr:uid="{00000000-0005-0000-0000-000090120000}"/>
    <cellStyle name="Migliaia 27 4" xfId="4756" xr:uid="{00000000-0005-0000-0000-000091120000}"/>
    <cellStyle name="Migliaia 27 4 2" xfId="4757" xr:uid="{00000000-0005-0000-0000-000092120000}"/>
    <cellStyle name="Migliaia 27 4 2 2" xfId="4758" xr:uid="{00000000-0005-0000-0000-000093120000}"/>
    <cellStyle name="Migliaia 27 4 2 2 2" xfId="4759" xr:uid="{00000000-0005-0000-0000-000094120000}"/>
    <cellStyle name="Migliaia 27 4 2 3" xfId="4760" xr:uid="{00000000-0005-0000-0000-000095120000}"/>
    <cellStyle name="Migliaia 27 4 2 4" xfId="4761" xr:uid="{00000000-0005-0000-0000-000096120000}"/>
    <cellStyle name="Migliaia 27 4 2 5" xfId="4762" xr:uid="{00000000-0005-0000-0000-000097120000}"/>
    <cellStyle name="Migliaia 27 4 3" xfId="4763" xr:uid="{00000000-0005-0000-0000-000098120000}"/>
    <cellStyle name="Migliaia 27 4 4" xfId="4764" xr:uid="{00000000-0005-0000-0000-000099120000}"/>
    <cellStyle name="Migliaia 27 4 5" xfId="4765" xr:uid="{00000000-0005-0000-0000-00009A120000}"/>
    <cellStyle name="Migliaia 27 5" xfId="4766" xr:uid="{00000000-0005-0000-0000-00009B120000}"/>
    <cellStyle name="Migliaia 27 5 2" xfId="4767" xr:uid="{00000000-0005-0000-0000-00009C120000}"/>
    <cellStyle name="Migliaia 27 5 3" xfId="4768" xr:uid="{00000000-0005-0000-0000-00009D120000}"/>
    <cellStyle name="Migliaia 27 6" xfId="4769" xr:uid="{00000000-0005-0000-0000-00009E120000}"/>
    <cellStyle name="Migliaia 27 6 2" xfId="4770" xr:uid="{00000000-0005-0000-0000-00009F120000}"/>
    <cellStyle name="Migliaia 27 6 2 2" xfId="4771" xr:uid="{00000000-0005-0000-0000-0000A0120000}"/>
    <cellStyle name="Migliaia 27 6 3" xfId="4772" xr:uid="{00000000-0005-0000-0000-0000A1120000}"/>
    <cellStyle name="Migliaia 27 7" xfId="4773" xr:uid="{00000000-0005-0000-0000-0000A2120000}"/>
    <cellStyle name="Migliaia 27 7 2" xfId="4774" xr:uid="{00000000-0005-0000-0000-0000A3120000}"/>
    <cellStyle name="Migliaia 27 8" xfId="4775" xr:uid="{00000000-0005-0000-0000-0000A4120000}"/>
    <cellStyle name="Migliaia 27 8 2" xfId="4776" xr:uid="{00000000-0005-0000-0000-0000A5120000}"/>
    <cellStyle name="Migliaia 28" xfId="4777" xr:uid="{00000000-0005-0000-0000-0000A6120000}"/>
    <cellStyle name="Migliaia 28 2" xfId="4778" xr:uid="{00000000-0005-0000-0000-0000A7120000}"/>
    <cellStyle name="Migliaia 28 2 2" xfId="4779" xr:uid="{00000000-0005-0000-0000-0000A8120000}"/>
    <cellStyle name="Migliaia 28 2 2 2" xfId="4780" xr:uid="{00000000-0005-0000-0000-0000A9120000}"/>
    <cellStyle name="Migliaia 28 2 2 2 2" xfId="4781" xr:uid="{00000000-0005-0000-0000-0000AA120000}"/>
    <cellStyle name="Migliaia 28 2 2 2 3" xfId="4782" xr:uid="{00000000-0005-0000-0000-0000AB120000}"/>
    <cellStyle name="Migliaia 28 2 2 3" xfId="4783" xr:uid="{00000000-0005-0000-0000-0000AC120000}"/>
    <cellStyle name="Migliaia 28 2 2 4" xfId="4784" xr:uid="{00000000-0005-0000-0000-0000AD120000}"/>
    <cellStyle name="Migliaia 28 2 3" xfId="4785" xr:uid="{00000000-0005-0000-0000-0000AE120000}"/>
    <cellStyle name="Migliaia 28 2 3 2" xfId="4786" xr:uid="{00000000-0005-0000-0000-0000AF120000}"/>
    <cellStyle name="Migliaia 28 2 4" xfId="4787" xr:uid="{00000000-0005-0000-0000-0000B0120000}"/>
    <cellStyle name="Migliaia 28 2 4 2" xfId="4788" xr:uid="{00000000-0005-0000-0000-0000B1120000}"/>
    <cellStyle name="Migliaia 28 2 5" xfId="4789" xr:uid="{00000000-0005-0000-0000-0000B2120000}"/>
    <cellStyle name="Migliaia 28 3" xfId="4790" xr:uid="{00000000-0005-0000-0000-0000B3120000}"/>
    <cellStyle name="Migliaia 28 3 2" xfId="4791" xr:uid="{00000000-0005-0000-0000-0000B4120000}"/>
    <cellStyle name="Migliaia 28 3 2 2" xfId="4792" xr:uid="{00000000-0005-0000-0000-0000B5120000}"/>
    <cellStyle name="Migliaia 28 3 2 2 2" xfId="4793" xr:uid="{00000000-0005-0000-0000-0000B6120000}"/>
    <cellStyle name="Migliaia 28 3 2 2 3" xfId="4794" xr:uid="{00000000-0005-0000-0000-0000B7120000}"/>
    <cellStyle name="Migliaia 28 3 2 3" xfId="4795" xr:uid="{00000000-0005-0000-0000-0000B8120000}"/>
    <cellStyle name="Migliaia 28 3 2 3 2" xfId="4796" xr:uid="{00000000-0005-0000-0000-0000B9120000}"/>
    <cellStyle name="Migliaia 28 3 2 4" xfId="4797" xr:uid="{00000000-0005-0000-0000-0000BA120000}"/>
    <cellStyle name="Migliaia 28 3 3" xfId="4798" xr:uid="{00000000-0005-0000-0000-0000BB120000}"/>
    <cellStyle name="Migliaia 28 3 3 2" xfId="4799" xr:uid="{00000000-0005-0000-0000-0000BC120000}"/>
    <cellStyle name="Migliaia 28 3 3 2 2" xfId="4800" xr:uid="{00000000-0005-0000-0000-0000BD120000}"/>
    <cellStyle name="Migliaia 28 3 3 3" xfId="4801" xr:uid="{00000000-0005-0000-0000-0000BE120000}"/>
    <cellStyle name="Migliaia 28 3 4" xfId="4802" xr:uid="{00000000-0005-0000-0000-0000BF120000}"/>
    <cellStyle name="Migliaia 28 3 4 2" xfId="4803" xr:uid="{00000000-0005-0000-0000-0000C0120000}"/>
    <cellStyle name="Migliaia 28 3 4 2 2" xfId="4804" xr:uid="{00000000-0005-0000-0000-0000C1120000}"/>
    <cellStyle name="Migliaia 28 3 4 3" xfId="4805" xr:uid="{00000000-0005-0000-0000-0000C2120000}"/>
    <cellStyle name="Migliaia 28 3 5" xfId="4806" xr:uid="{00000000-0005-0000-0000-0000C3120000}"/>
    <cellStyle name="Migliaia 28 3 5 2" xfId="4807" xr:uid="{00000000-0005-0000-0000-0000C4120000}"/>
    <cellStyle name="Migliaia 28 3 6" xfId="4808" xr:uid="{00000000-0005-0000-0000-0000C5120000}"/>
    <cellStyle name="Migliaia 28 3 6 2" xfId="4809" xr:uid="{00000000-0005-0000-0000-0000C6120000}"/>
    <cellStyle name="Migliaia 28 3 7" xfId="4810" xr:uid="{00000000-0005-0000-0000-0000C7120000}"/>
    <cellStyle name="Migliaia 28 4" xfId="4811" xr:uid="{00000000-0005-0000-0000-0000C8120000}"/>
    <cellStyle name="Migliaia 28 4 2" xfId="4812" xr:uid="{00000000-0005-0000-0000-0000C9120000}"/>
    <cellStyle name="Migliaia 28 4 2 2" xfId="4813" xr:uid="{00000000-0005-0000-0000-0000CA120000}"/>
    <cellStyle name="Migliaia 28 4 2 2 2" xfId="4814" xr:uid="{00000000-0005-0000-0000-0000CB120000}"/>
    <cellStyle name="Migliaia 28 4 2 3" xfId="4815" xr:uid="{00000000-0005-0000-0000-0000CC120000}"/>
    <cellStyle name="Migliaia 28 4 2 4" xfId="4816" xr:uid="{00000000-0005-0000-0000-0000CD120000}"/>
    <cellStyle name="Migliaia 28 4 2 5" xfId="4817" xr:uid="{00000000-0005-0000-0000-0000CE120000}"/>
    <cellStyle name="Migliaia 28 4 3" xfId="4818" xr:uid="{00000000-0005-0000-0000-0000CF120000}"/>
    <cellStyle name="Migliaia 28 4 4" xfId="4819" xr:uid="{00000000-0005-0000-0000-0000D0120000}"/>
    <cellStyle name="Migliaia 28 4 5" xfId="4820" xr:uid="{00000000-0005-0000-0000-0000D1120000}"/>
    <cellStyle name="Migliaia 28 5" xfId="4821" xr:uid="{00000000-0005-0000-0000-0000D2120000}"/>
    <cellStyle name="Migliaia 28 5 2" xfId="4822" xr:uid="{00000000-0005-0000-0000-0000D3120000}"/>
    <cellStyle name="Migliaia 28 5 3" xfId="4823" xr:uid="{00000000-0005-0000-0000-0000D4120000}"/>
    <cellStyle name="Migliaia 28 6" xfId="4824" xr:uid="{00000000-0005-0000-0000-0000D5120000}"/>
    <cellStyle name="Migliaia 28 6 2" xfId="4825" xr:uid="{00000000-0005-0000-0000-0000D6120000}"/>
    <cellStyle name="Migliaia 28 6 2 2" xfId="4826" xr:uid="{00000000-0005-0000-0000-0000D7120000}"/>
    <cellStyle name="Migliaia 28 6 3" xfId="4827" xr:uid="{00000000-0005-0000-0000-0000D8120000}"/>
    <cellStyle name="Migliaia 28 7" xfId="4828" xr:uid="{00000000-0005-0000-0000-0000D9120000}"/>
    <cellStyle name="Migliaia 28 7 2" xfId="4829" xr:uid="{00000000-0005-0000-0000-0000DA120000}"/>
    <cellStyle name="Migliaia 28 8" xfId="4830" xr:uid="{00000000-0005-0000-0000-0000DB120000}"/>
    <cellStyle name="Migliaia 28 8 2" xfId="4831" xr:uid="{00000000-0005-0000-0000-0000DC120000}"/>
    <cellStyle name="Migliaia 29" xfId="4832" xr:uid="{00000000-0005-0000-0000-0000DD120000}"/>
    <cellStyle name="Migliaia 29 2" xfId="4833" xr:uid="{00000000-0005-0000-0000-0000DE120000}"/>
    <cellStyle name="Migliaia 29 2 2" xfId="4834" xr:uid="{00000000-0005-0000-0000-0000DF120000}"/>
    <cellStyle name="Migliaia 29 2 2 2" xfId="4835" xr:uid="{00000000-0005-0000-0000-0000E0120000}"/>
    <cellStyle name="Migliaia 29 2 2 2 2" xfId="4836" xr:uid="{00000000-0005-0000-0000-0000E1120000}"/>
    <cellStyle name="Migliaia 29 2 2 2 3" xfId="4837" xr:uid="{00000000-0005-0000-0000-0000E2120000}"/>
    <cellStyle name="Migliaia 29 2 2 3" xfId="4838" xr:uid="{00000000-0005-0000-0000-0000E3120000}"/>
    <cellStyle name="Migliaia 29 2 2 4" xfId="4839" xr:uid="{00000000-0005-0000-0000-0000E4120000}"/>
    <cellStyle name="Migliaia 29 2 3" xfId="4840" xr:uid="{00000000-0005-0000-0000-0000E5120000}"/>
    <cellStyle name="Migliaia 29 2 3 2" xfId="4841" xr:uid="{00000000-0005-0000-0000-0000E6120000}"/>
    <cellStyle name="Migliaia 29 2 4" xfId="4842" xr:uid="{00000000-0005-0000-0000-0000E7120000}"/>
    <cellStyle name="Migliaia 29 2 4 2" xfId="4843" xr:uid="{00000000-0005-0000-0000-0000E8120000}"/>
    <cellStyle name="Migliaia 29 2 5" xfId="4844" xr:uid="{00000000-0005-0000-0000-0000E9120000}"/>
    <cellStyle name="Migliaia 29 3" xfId="4845" xr:uid="{00000000-0005-0000-0000-0000EA120000}"/>
    <cellStyle name="Migliaia 29 3 2" xfId="4846" xr:uid="{00000000-0005-0000-0000-0000EB120000}"/>
    <cellStyle name="Migliaia 29 3 2 2" xfId="4847" xr:uid="{00000000-0005-0000-0000-0000EC120000}"/>
    <cellStyle name="Migliaia 29 3 2 2 2" xfId="4848" xr:uid="{00000000-0005-0000-0000-0000ED120000}"/>
    <cellStyle name="Migliaia 29 3 2 2 3" xfId="4849" xr:uid="{00000000-0005-0000-0000-0000EE120000}"/>
    <cellStyle name="Migliaia 29 3 2 3" xfId="4850" xr:uid="{00000000-0005-0000-0000-0000EF120000}"/>
    <cellStyle name="Migliaia 29 3 2 3 2" xfId="4851" xr:uid="{00000000-0005-0000-0000-0000F0120000}"/>
    <cellStyle name="Migliaia 29 3 2 4" xfId="4852" xr:uid="{00000000-0005-0000-0000-0000F1120000}"/>
    <cellStyle name="Migliaia 29 3 3" xfId="4853" xr:uid="{00000000-0005-0000-0000-0000F2120000}"/>
    <cellStyle name="Migliaia 29 3 3 2" xfId="4854" xr:uid="{00000000-0005-0000-0000-0000F3120000}"/>
    <cellStyle name="Migliaia 29 3 3 2 2" xfId="4855" xr:uid="{00000000-0005-0000-0000-0000F4120000}"/>
    <cellStyle name="Migliaia 29 3 3 3" xfId="4856" xr:uid="{00000000-0005-0000-0000-0000F5120000}"/>
    <cellStyle name="Migliaia 29 3 4" xfId="4857" xr:uid="{00000000-0005-0000-0000-0000F6120000}"/>
    <cellStyle name="Migliaia 29 3 4 2" xfId="4858" xr:uid="{00000000-0005-0000-0000-0000F7120000}"/>
    <cellStyle name="Migliaia 29 3 4 2 2" xfId="4859" xr:uid="{00000000-0005-0000-0000-0000F8120000}"/>
    <cellStyle name="Migliaia 29 3 4 3" xfId="4860" xr:uid="{00000000-0005-0000-0000-0000F9120000}"/>
    <cellStyle name="Migliaia 29 3 5" xfId="4861" xr:uid="{00000000-0005-0000-0000-0000FA120000}"/>
    <cellStyle name="Migliaia 29 3 5 2" xfId="4862" xr:uid="{00000000-0005-0000-0000-0000FB120000}"/>
    <cellStyle name="Migliaia 29 3 6" xfId="4863" xr:uid="{00000000-0005-0000-0000-0000FC120000}"/>
    <cellStyle name="Migliaia 29 3 6 2" xfId="4864" xr:uid="{00000000-0005-0000-0000-0000FD120000}"/>
    <cellStyle name="Migliaia 29 3 7" xfId="4865" xr:uid="{00000000-0005-0000-0000-0000FE120000}"/>
    <cellStyle name="Migliaia 29 4" xfId="4866" xr:uid="{00000000-0005-0000-0000-0000FF120000}"/>
    <cellStyle name="Migliaia 29 4 2" xfId="4867" xr:uid="{00000000-0005-0000-0000-000000130000}"/>
    <cellStyle name="Migliaia 29 4 2 2" xfId="4868" xr:uid="{00000000-0005-0000-0000-000001130000}"/>
    <cellStyle name="Migliaia 29 4 2 2 2" xfId="4869" xr:uid="{00000000-0005-0000-0000-000002130000}"/>
    <cellStyle name="Migliaia 29 4 2 3" xfId="4870" xr:uid="{00000000-0005-0000-0000-000003130000}"/>
    <cellStyle name="Migliaia 29 4 2 4" xfId="4871" xr:uid="{00000000-0005-0000-0000-000004130000}"/>
    <cellStyle name="Migliaia 29 4 2 5" xfId="4872" xr:uid="{00000000-0005-0000-0000-000005130000}"/>
    <cellStyle name="Migliaia 29 4 3" xfId="4873" xr:uid="{00000000-0005-0000-0000-000006130000}"/>
    <cellStyle name="Migliaia 29 4 4" xfId="4874" xr:uid="{00000000-0005-0000-0000-000007130000}"/>
    <cellStyle name="Migliaia 29 4 5" xfId="4875" xr:uid="{00000000-0005-0000-0000-000008130000}"/>
    <cellStyle name="Migliaia 29 5" xfId="4876" xr:uid="{00000000-0005-0000-0000-000009130000}"/>
    <cellStyle name="Migliaia 29 5 2" xfId="4877" xr:uid="{00000000-0005-0000-0000-00000A130000}"/>
    <cellStyle name="Migliaia 29 5 3" xfId="4878" xr:uid="{00000000-0005-0000-0000-00000B130000}"/>
    <cellStyle name="Migliaia 29 6" xfId="4879" xr:uid="{00000000-0005-0000-0000-00000C130000}"/>
    <cellStyle name="Migliaia 29 6 2" xfId="4880" xr:uid="{00000000-0005-0000-0000-00000D130000}"/>
    <cellStyle name="Migliaia 29 6 2 2" xfId="4881" xr:uid="{00000000-0005-0000-0000-00000E130000}"/>
    <cellStyle name="Migliaia 29 6 3" xfId="4882" xr:uid="{00000000-0005-0000-0000-00000F130000}"/>
    <cellStyle name="Migliaia 29 7" xfId="4883" xr:uid="{00000000-0005-0000-0000-000010130000}"/>
    <cellStyle name="Migliaia 29 7 2" xfId="4884" xr:uid="{00000000-0005-0000-0000-000011130000}"/>
    <cellStyle name="Migliaia 29 8" xfId="4885" xr:uid="{00000000-0005-0000-0000-000012130000}"/>
    <cellStyle name="Migliaia 29 8 2" xfId="4886" xr:uid="{00000000-0005-0000-0000-000013130000}"/>
    <cellStyle name="Migliaia 3" xfId="4887" xr:uid="{00000000-0005-0000-0000-000014130000}"/>
    <cellStyle name="Migliaia 3 2" xfId="4888" xr:uid="{00000000-0005-0000-0000-000015130000}"/>
    <cellStyle name="Migliaia 3 2 2" xfId="4889" xr:uid="{00000000-0005-0000-0000-000016130000}"/>
    <cellStyle name="Migliaia 3 2 2 2" xfId="4890" xr:uid="{00000000-0005-0000-0000-000017130000}"/>
    <cellStyle name="Migliaia 3 2 2 2 2" xfId="4891" xr:uid="{00000000-0005-0000-0000-000018130000}"/>
    <cellStyle name="Migliaia 3 2 2 2 3" xfId="4892" xr:uid="{00000000-0005-0000-0000-000019130000}"/>
    <cellStyle name="Migliaia 3 2 2 3" xfId="4893" xr:uid="{00000000-0005-0000-0000-00001A130000}"/>
    <cellStyle name="Migliaia 3 2 2 4" xfId="4894" xr:uid="{00000000-0005-0000-0000-00001B130000}"/>
    <cellStyle name="Migliaia 3 2 3" xfId="4895" xr:uid="{00000000-0005-0000-0000-00001C130000}"/>
    <cellStyle name="Migliaia 3 2 3 2" xfId="4896" xr:uid="{00000000-0005-0000-0000-00001D130000}"/>
    <cellStyle name="Migliaia 3 2 4" xfId="4897" xr:uid="{00000000-0005-0000-0000-00001E130000}"/>
    <cellStyle name="Migliaia 3 2 4 2" xfId="4898" xr:uid="{00000000-0005-0000-0000-00001F130000}"/>
    <cellStyle name="Migliaia 3 2 5" xfId="4899" xr:uid="{00000000-0005-0000-0000-000020130000}"/>
    <cellStyle name="Migliaia 3 3" xfId="4900" xr:uid="{00000000-0005-0000-0000-000021130000}"/>
    <cellStyle name="Migliaia 3 3 2" xfId="4901" xr:uid="{00000000-0005-0000-0000-000022130000}"/>
    <cellStyle name="Migliaia 3 3 2 2" xfId="4902" xr:uid="{00000000-0005-0000-0000-000023130000}"/>
    <cellStyle name="Migliaia 3 3 2 2 2" xfId="4903" xr:uid="{00000000-0005-0000-0000-000024130000}"/>
    <cellStyle name="Migliaia 3 3 2 2 3" xfId="4904" xr:uid="{00000000-0005-0000-0000-000025130000}"/>
    <cellStyle name="Migliaia 3 3 2 3" xfId="4905" xr:uid="{00000000-0005-0000-0000-000026130000}"/>
    <cellStyle name="Migliaia 3 3 2 3 2" xfId="4906" xr:uid="{00000000-0005-0000-0000-000027130000}"/>
    <cellStyle name="Migliaia 3 3 2 4" xfId="4907" xr:uid="{00000000-0005-0000-0000-000028130000}"/>
    <cellStyle name="Migliaia 3 3 3" xfId="4908" xr:uid="{00000000-0005-0000-0000-000029130000}"/>
    <cellStyle name="Migliaia 3 3 3 2" xfId="4909" xr:uid="{00000000-0005-0000-0000-00002A130000}"/>
    <cellStyle name="Migliaia 3 3 3 2 2" xfId="4910" xr:uid="{00000000-0005-0000-0000-00002B130000}"/>
    <cellStyle name="Migliaia 3 3 3 3" xfId="4911" xr:uid="{00000000-0005-0000-0000-00002C130000}"/>
    <cellStyle name="Migliaia 3 3 4" xfId="4912" xr:uid="{00000000-0005-0000-0000-00002D130000}"/>
    <cellStyle name="Migliaia 3 3 4 2" xfId="4913" xr:uid="{00000000-0005-0000-0000-00002E130000}"/>
    <cellStyle name="Migliaia 3 3 4 2 2" xfId="4914" xr:uid="{00000000-0005-0000-0000-00002F130000}"/>
    <cellStyle name="Migliaia 3 3 4 3" xfId="4915" xr:uid="{00000000-0005-0000-0000-000030130000}"/>
    <cellStyle name="Migliaia 3 3 5" xfId="4916" xr:uid="{00000000-0005-0000-0000-000031130000}"/>
    <cellStyle name="Migliaia 3 3 5 2" xfId="4917" xr:uid="{00000000-0005-0000-0000-000032130000}"/>
    <cellStyle name="Migliaia 3 3 6" xfId="4918" xr:uid="{00000000-0005-0000-0000-000033130000}"/>
    <cellStyle name="Migliaia 3 3 6 2" xfId="4919" xr:uid="{00000000-0005-0000-0000-000034130000}"/>
    <cellStyle name="Migliaia 3 3 7" xfId="4920" xr:uid="{00000000-0005-0000-0000-000035130000}"/>
    <cellStyle name="Migliaia 3 4" xfId="4921" xr:uid="{00000000-0005-0000-0000-000036130000}"/>
    <cellStyle name="Migliaia 3 4 2" xfId="4922" xr:uid="{00000000-0005-0000-0000-000037130000}"/>
    <cellStyle name="Migliaia 3 4 2 2" xfId="4923" xr:uid="{00000000-0005-0000-0000-000038130000}"/>
    <cellStyle name="Migliaia 3 4 2 2 2" xfId="4924" xr:uid="{00000000-0005-0000-0000-000039130000}"/>
    <cellStyle name="Migliaia 3 4 2 3" xfId="4925" xr:uid="{00000000-0005-0000-0000-00003A130000}"/>
    <cellStyle name="Migliaia 3 4 2 4" xfId="4926" xr:uid="{00000000-0005-0000-0000-00003B130000}"/>
    <cellStyle name="Migliaia 3 4 2 5" xfId="4927" xr:uid="{00000000-0005-0000-0000-00003C130000}"/>
    <cellStyle name="Migliaia 3 4 3" xfId="4928" xr:uid="{00000000-0005-0000-0000-00003D130000}"/>
    <cellStyle name="Migliaia 3 4 4" xfId="4929" xr:uid="{00000000-0005-0000-0000-00003E130000}"/>
    <cellStyle name="Migliaia 3 4 5" xfId="4930" xr:uid="{00000000-0005-0000-0000-00003F130000}"/>
    <cellStyle name="Migliaia 3 5" xfId="4931" xr:uid="{00000000-0005-0000-0000-000040130000}"/>
    <cellStyle name="Migliaia 3 5 2" xfId="4932" xr:uid="{00000000-0005-0000-0000-000041130000}"/>
    <cellStyle name="Migliaia 3 5 3" xfId="4933" xr:uid="{00000000-0005-0000-0000-000042130000}"/>
    <cellStyle name="Migliaia 3 6" xfId="4934" xr:uid="{00000000-0005-0000-0000-000043130000}"/>
    <cellStyle name="Migliaia 3 6 2" xfId="4935" xr:uid="{00000000-0005-0000-0000-000044130000}"/>
    <cellStyle name="Migliaia 3 6 2 2" xfId="4936" xr:uid="{00000000-0005-0000-0000-000045130000}"/>
    <cellStyle name="Migliaia 3 6 3" xfId="4937" xr:uid="{00000000-0005-0000-0000-000046130000}"/>
    <cellStyle name="Migliaia 3 7" xfId="4938" xr:uid="{00000000-0005-0000-0000-000047130000}"/>
    <cellStyle name="Migliaia 3 7 2" xfId="4939" xr:uid="{00000000-0005-0000-0000-000048130000}"/>
    <cellStyle name="Migliaia 3 8" xfId="4940" xr:uid="{00000000-0005-0000-0000-000049130000}"/>
    <cellStyle name="Migliaia 3 8 2" xfId="4941" xr:uid="{00000000-0005-0000-0000-00004A130000}"/>
    <cellStyle name="Migliaia 30" xfId="4942" xr:uid="{00000000-0005-0000-0000-00004B130000}"/>
    <cellStyle name="Migliaia 30 2" xfId="4943" xr:uid="{00000000-0005-0000-0000-00004C130000}"/>
    <cellStyle name="Migliaia 30 2 2" xfId="4944" xr:uid="{00000000-0005-0000-0000-00004D130000}"/>
    <cellStyle name="Migliaia 30 2 2 2" xfId="4945" xr:uid="{00000000-0005-0000-0000-00004E130000}"/>
    <cellStyle name="Migliaia 30 2 2 2 2" xfId="4946" xr:uid="{00000000-0005-0000-0000-00004F130000}"/>
    <cellStyle name="Migliaia 30 2 2 2 3" xfId="4947" xr:uid="{00000000-0005-0000-0000-000050130000}"/>
    <cellStyle name="Migliaia 30 2 2 3" xfId="4948" xr:uid="{00000000-0005-0000-0000-000051130000}"/>
    <cellStyle name="Migliaia 30 2 2 4" xfId="4949" xr:uid="{00000000-0005-0000-0000-000052130000}"/>
    <cellStyle name="Migliaia 30 2 3" xfId="4950" xr:uid="{00000000-0005-0000-0000-000053130000}"/>
    <cellStyle name="Migliaia 30 2 3 2" xfId="4951" xr:uid="{00000000-0005-0000-0000-000054130000}"/>
    <cellStyle name="Migliaia 30 2 4" xfId="4952" xr:uid="{00000000-0005-0000-0000-000055130000}"/>
    <cellStyle name="Migliaia 30 2 4 2" xfId="4953" xr:uid="{00000000-0005-0000-0000-000056130000}"/>
    <cellStyle name="Migliaia 30 2 5" xfId="4954" xr:uid="{00000000-0005-0000-0000-000057130000}"/>
    <cellStyle name="Migliaia 30 3" xfId="4955" xr:uid="{00000000-0005-0000-0000-000058130000}"/>
    <cellStyle name="Migliaia 30 3 2" xfId="4956" xr:uid="{00000000-0005-0000-0000-000059130000}"/>
    <cellStyle name="Migliaia 30 3 2 2" xfId="4957" xr:uid="{00000000-0005-0000-0000-00005A130000}"/>
    <cellStyle name="Migliaia 30 3 2 2 2" xfId="4958" xr:uid="{00000000-0005-0000-0000-00005B130000}"/>
    <cellStyle name="Migliaia 30 3 2 2 3" xfId="4959" xr:uid="{00000000-0005-0000-0000-00005C130000}"/>
    <cellStyle name="Migliaia 30 3 2 3" xfId="4960" xr:uid="{00000000-0005-0000-0000-00005D130000}"/>
    <cellStyle name="Migliaia 30 3 2 3 2" xfId="4961" xr:uid="{00000000-0005-0000-0000-00005E130000}"/>
    <cellStyle name="Migliaia 30 3 2 4" xfId="4962" xr:uid="{00000000-0005-0000-0000-00005F130000}"/>
    <cellStyle name="Migliaia 30 3 3" xfId="4963" xr:uid="{00000000-0005-0000-0000-000060130000}"/>
    <cellStyle name="Migliaia 30 3 3 2" xfId="4964" xr:uid="{00000000-0005-0000-0000-000061130000}"/>
    <cellStyle name="Migliaia 30 3 3 2 2" xfId="4965" xr:uid="{00000000-0005-0000-0000-000062130000}"/>
    <cellStyle name="Migliaia 30 3 3 3" xfId="4966" xr:uid="{00000000-0005-0000-0000-000063130000}"/>
    <cellStyle name="Migliaia 30 3 4" xfId="4967" xr:uid="{00000000-0005-0000-0000-000064130000}"/>
    <cellStyle name="Migliaia 30 3 4 2" xfId="4968" xr:uid="{00000000-0005-0000-0000-000065130000}"/>
    <cellStyle name="Migliaia 30 3 4 2 2" xfId="4969" xr:uid="{00000000-0005-0000-0000-000066130000}"/>
    <cellStyle name="Migliaia 30 3 4 3" xfId="4970" xr:uid="{00000000-0005-0000-0000-000067130000}"/>
    <cellStyle name="Migliaia 30 3 5" xfId="4971" xr:uid="{00000000-0005-0000-0000-000068130000}"/>
    <cellStyle name="Migliaia 30 3 5 2" xfId="4972" xr:uid="{00000000-0005-0000-0000-000069130000}"/>
    <cellStyle name="Migliaia 30 3 6" xfId="4973" xr:uid="{00000000-0005-0000-0000-00006A130000}"/>
    <cellStyle name="Migliaia 30 3 6 2" xfId="4974" xr:uid="{00000000-0005-0000-0000-00006B130000}"/>
    <cellStyle name="Migliaia 30 3 7" xfId="4975" xr:uid="{00000000-0005-0000-0000-00006C130000}"/>
    <cellStyle name="Migliaia 30 4" xfId="4976" xr:uid="{00000000-0005-0000-0000-00006D130000}"/>
    <cellStyle name="Migliaia 30 4 2" xfId="4977" xr:uid="{00000000-0005-0000-0000-00006E130000}"/>
    <cellStyle name="Migliaia 30 4 2 2" xfId="4978" xr:uid="{00000000-0005-0000-0000-00006F130000}"/>
    <cellStyle name="Migliaia 30 4 2 2 2" xfId="4979" xr:uid="{00000000-0005-0000-0000-000070130000}"/>
    <cellStyle name="Migliaia 30 4 2 3" xfId="4980" xr:uid="{00000000-0005-0000-0000-000071130000}"/>
    <cellStyle name="Migliaia 30 4 2 4" xfId="4981" xr:uid="{00000000-0005-0000-0000-000072130000}"/>
    <cellStyle name="Migliaia 30 4 2 5" xfId="4982" xr:uid="{00000000-0005-0000-0000-000073130000}"/>
    <cellStyle name="Migliaia 30 4 3" xfId="4983" xr:uid="{00000000-0005-0000-0000-000074130000}"/>
    <cellStyle name="Migliaia 30 4 4" xfId="4984" xr:uid="{00000000-0005-0000-0000-000075130000}"/>
    <cellStyle name="Migliaia 30 4 5" xfId="4985" xr:uid="{00000000-0005-0000-0000-000076130000}"/>
    <cellStyle name="Migliaia 30 5" xfId="4986" xr:uid="{00000000-0005-0000-0000-000077130000}"/>
    <cellStyle name="Migliaia 30 5 2" xfId="4987" xr:uid="{00000000-0005-0000-0000-000078130000}"/>
    <cellStyle name="Migliaia 30 5 3" xfId="4988" xr:uid="{00000000-0005-0000-0000-000079130000}"/>
    <cellStyle name="Migliaia 30 6" xfId="4989" xr:uid="{00000000-0005-0000-0000-00007A130000}"/>
    <cellStyle name="Migliaia 30 6 2" xfId="4990" xr:uid="{00000000-0005-0000-0000-00007B130000}"/>
    <cellStyle name="Migliaia 30 6 2 2" xfId="4991" xr:uid="{00000000-0005-0000-0000-00007C130000}"/>
    <cellStyle name="Migliaia 30 6 3" xfId="4992" xr:uid="{00000000-0005-0000-0000-00007D130000}"/>
    <cellStyle name="Migliaia 30 7" xfId="4993" xr:uid="{00000000-0005-0000-0000-00007E130000}"/>
    <cellStyle name="Migliaia 30 7 2" xfId="4994" xr:uid="{00000000-0005-0000-0000-00007F130000}"/>
    <cellStyle name="Migliaia 30 8" xfId="4995" xr:uid="{00000000-0005-0000-0000-000080130000}"/>
    <cellStyle name="Migliaia 30 8 2" xfId="4996" xr:uid="{00000000-0005-0000-0000-000081130000}"/>
    <cellStyle name="Migliaia 31" xfId="4997" xr:uid="{00000000-0005-0000-0000-000082130000}"/>
    <cellStyle name="Migliaia 31 2" xfId="4998" xr:uid="{00000000-0005-0000-0000-000083130000}"/>
    <cellStyle name="Migliaia 31 2 2" xfId="4999" xr:uid="{00000000-0005-0000-0000-000084130000}"/>
    <cellStyle name="Migliaia 31 2 2 2" xfId="5000" xr:uid="{00000000-0005-0000-0000-000085130000}"/>
    <cellStyle name="Migliaia 31 2 2 2 2" xfId="5001" xr:uid="{00000000-0005-0000-0000-000086130000}"/>
    <cellStyle name="Migliaia 31 2 2 2 3" xfId="5002" xr:uid="{00000000-0005-0000-0000-000087130000}"/>
    <cellStyle name="Migliaia 31 2 2 3" xfId="5003" xr:uid="{00000000-0005-0000-0000-000088130000}"/>
    <cellStyle name="Migliaia 31 2 2 4" xfId="5004" xr:uid="{00000000-0005-0000-0000-000089130000}"/>
    <cellStyle name="Migliaia 31 2 3" xfId="5005" xr:uid="{00000000-0005-0000-0000-00008A130000}"/>
    <cellStyle name="Migliaia 31 2 3 2" xfId="5006" xr:uid="{00000000-0005-0000-0000-00008B130000}"/>
    <cellStyle name="Migliaia 31 2 4" xfId="5007" xr:uid="{00000000-0005-0000-0000-00008C130000}"/>
    <cellStyle name="Migliaia 31 2 4 2" xfId="5008" xr:uid="{00000000-0005-0000-0000-00008D130000}"/>
    <cellStyle name="Migliaia 31 2 5" xfId="5009" xr:uid="{00000000-0005-0000-0000-00008E130000}"/>
    <cellStyle name="Migliaia 31 3" xfId="5010" xr:uid="{00000000-0005-0000-0000-00008F130000}"/>
    <cellStyle name="Migliaia 31 3 2" xfId="5011" xr:uid="{00000000-0005-0000-0000-000090130000}"/>
    <cellStyle name="Migliaia 31 3 2 2" xfId="5012" xr:uid="{00000000-0005-0000-0000-000091130000}"/>
    <cellStyle name="Migliaia 31 3 2 2 2" xfId="5013" xr:uid="{00000000-0005-0000-0000-000092130000}"/>
    <cellStyle name="Migliaia 31 3 2 2 3" xfId="5014" xr:uid="{00000000-0005-0000-0000-000093130000}"/>
    <cellStyle name="Migliaia 31 3 2 3" xfId="5015" xr:uid="{00000000-0005-0000-0000-000094130000}"/>
    <cellStyle name="Migliaia 31 3 2 3 2" xfId="5016" xr:uid="{00000000-0005-0000-0000-000095130000}"/>
    <cellStyle name="Migliaia 31 3 2 4" xfId="5017" xr:uid="{00000000-0005-0000-0000-000096130000}"/>
    <cellStyle name="Migliaia 31 3 3" xfId="5018" xr:uid="{00000000-0005-0000-0000-000097130000}"/>
    <cellStyle name="Migliaia 31 3 3 2" xfId="5019" xr:uid="{00000000-0005-0000-0000-000098130000}"/>
    <cellStyle name="Migliaia 31 3 3 2 2" xfId="5020" xr:uid="{00000000-0005-0000-0000-000099130000}"/>
    <cellStyle name="Migliaia 31 3 3 3" xfId="5021" xr:uid="{00000000-0005-0000-0000-00009A130000}"/>
    <cellStyle name="Migliaia 31 3 4" xfId="5022" xr:uid="{00000000-0005-0000-0000-00009B130000}"/>
    <cellStyle name="Migliaia 31 3 4 2" xfId="5023" xr:uid="{00000000-0005-0000-0000-00009C130000}"/>
    <cellStyle name="Migliaia 31 3 4 2 2" xfId="5024" xr:uid="{00000000-0005-0000-0000-00009D130000}"/>
    <cellStyle name="Migliaia 31 3 4 3" xfId="5025" xr:uid="{00000000-0005-0000-0000-00009E130000}"/>
    <cellStyle name="Migliaia 31 3 5" xfId="5026" xr:uid="{00000000-0005-0000-0000-00009F130000}"/>
    <cellStyle name="Migliaia 31 3 5 2" xfId="5027" xr:uid="{00000000-0005-0000-0000-0000A0130000}"/>
    <cellStyle name="Migliaia 31 3 6" xfId="5028" xr:uid="{00000000-0005-0000-0000-0000A1130000}"/>
    <cellStyle name="Migliaia 31 3 6 2" xfId="5029" xr:uid="{00000000-0005-0000-0000-0000A2130000}"/>
    <cellStyle name="Migliaia 31 3 7" xfId="5030" xr:uid="{00000000-0005-0000-0000-0000A3130000}"/>
    <cellStyle name="Migliaia 31 4" xfId="5031" xr:uid="{00000000-0005-0000-0000-0000A4130000}"/>
    <cellStyle name="Migliaia 31 4 2" xfId="5032" xr:uid="{00000000-0005-0000-0000-0000A5130000}"/>
    <cellStyle name="Migliaia 31 4 2 2" xfId="5033" xr:uid="{00000000-0005-0000-0000-0000A6130000}"/>
    <cellStyle name="Migliaia 31 4 2 2 2" xfId="5034" xr:uid="{00000000-0005-0000-0000-0000A7130000}"/>
    <cellStyle name="Migliaia 31 4 2 3" xfId="5035" xr:uid="{00000000-0005-0000-0000-0000A8130000}"/>
    <cellStyle name="Migliaia 31 4 2 4" xfId="5036" xr:uid="{00000000-0005-0000-0000-0000A9130000}"/>
    <cellStyle name="Migliaia 31 4 2 5" xfId="5037" xr:uid="{00000000-0005-0000-0000-0000AA130000}"/>
    <cellStyle name="Migliaia 31 4 3" xfId="5038" xr:uid="{00000000-0005-0000-0000-0000AB130000}"/>
    <cellStyle name="Migliaia 31 4 4" xfId="5039" xr:uid="{00000000-0005-0000-0000-0000AC130000}"/>
    <cellStyle name="Migliaia 31 4 5" xfId="5040" xr:uid="{00000000-0005-0000-0000-0000AD130000}"/>
    <cellStyle name="Migliaia 31 5" xfId="5041" xr:uid="{00000000-0005-0000-0000-0000AE130000}"/>
    <cellStyle name="Migliaia 31 5 2" xfId="5042" xr:uid="{00000000-0005-0000-0000-0000AF130000}"/>
    <cellStyle name="Migliaia 31 5 3" xfId="5043" xr:uid="{00000000-0005-0000-0000-0000B0130000}"/>
    <cellStyle name="Migliaia 31 6" xfId="5044" xr:uid="{00000000-0005-0000-0000-0000B1130000}"/>
    <cellStyle name="Migliaia 31 6 2" xfId="5045" xr:uid="{00000000-0005-0000-0000-0000B2130000}"/>
    <cellStyle name="Migliaia 31 6 2 2" xfId="5046" xr:uid="{00000000-0005-0000-0000-0000B3130000}"/>
    <cellStyle name="Migliaia 31 6 3" xfId="5047" xr:uid="{00000000-0005-0000-0000-0000B4130000}"/>
    <cellStyle name="Migliaia 31 7" xfId="5048" xr:uid="{00000000-0005-0000-0000-0000B5130000}"/>
    <cellStyle name="Migliaia 31 7 2" xfId="5049" xr:uid="{00000000-0005-0000-0000-0000B6130000}"/>
    <cellStyle name="Migliaia 31 8" xfId="5050" xr:uid="{00000000-0005-0000-0000-0000B7130000}"/>
    <cellStyle name="Migliaia 31 8 2" xfId="5051" xr:uid="{00000000-0005-0000-0000-0000B8130000}"/>
    <cellStyle name="Migliaia 32" xfId="5052" xr:uid="{00000000-0005-0000-0000-0000B9130000}"/>
    <cellStyle name="Migliaia 32 2" xfId="5053" xr:uid="{00000000-0005-0000-0000-0000BA130000}"/>
    <cellStyle name="Migliaia 32 2 2" xfId="5054" xr:uid="{00000000-0005-0000-0000-0000BB130000}"/>
    <cellStyle name="Migliaia 32 2 2 2" xfId="5055" xr:uid="{00000000-0005-0000-0000-0000BC130000}"/>
    <cellStyle name="Migliaia 32 2 2 2 2" xfId="5056" xr:uid="{00000000-0005-0000-0000-0000BD130000}"/>
    <cellStyle name="Migliaia 32 2 2 2 3" xfId="5057" xr:uid="{00000000-0005-0000-0000-0000BE130000}"/>
    <cellStyle name="Migliaia 32 2 2 3" xfId="5058" xr:uid="{00000000-0005-0000-0000-0000BF130000}"/>
    <cellStyle name="Migliaia 32 2 2 4" xfId="5059" xr:uid="{00000000-0005-0000-0000-0000C0130000}"/>
    <cellStyle name="Migliaia 32 2 3" xfId="5060" xr:uid="{00000000-0005-0000-0000-0000C1130000}"/>
    <cellStyle name="Migliaia 32 2 3 2" xfId="5061" xr:uid="{00000000-0005-0000-0000-0000C2130000}"/>
    <cellStyle name="Migliaia 32 2 4" xfId="5062" xr:uid="{00000000-0005-0000-0000-0000C3130000}"/>
    <cellStyle name="Migliaia 32 2 4 2" xfId="5063" xr:uid="{00000000-0005-0000-0000-0000C4130000}"/>
    <cellStyle name="Migliaia 32 2 5" xfId="5064" xr:uid="{00000000-0005-0000-0000-0000C5130000}"/>
    <cellStyle name="Migliaia 32 3" xfId="5065" xr:uid="{00000000-0005-0000-0000-0000C6130000}"/>
    <cellStyle name="Migliaia 32 3 2" xfId="5066" xr:uid="{00000000-0005-0000-0000-0000C7130000}"/>
    <cellStyle name="Migliaia 32 3 2 2" xfId="5067" xr:uid="{00000000-0005-0000-0000-0000C8130000}"/>
    <cellStyle name="Migliaia 32 3 2 2 2" xfId="5068" xr:uid="{00000000-0005-0000-0000-0000C9130000}"/>
    <cellStyle name="Migliaia 32 3 2 2 3" xfId="5069" xr:uid="{00000000-0005-0000-0000-0000CA130000}"/>
    <cellStyle name="Migliaia 32 3 2 3" xfId="5070" xr:uid="{00000000-0005-0000-0000-0000CB130000}"/>
    <cellStyle name="Migliaia 32 3 2 3 2" xfId="5071" xr:uid="{00000000-0005-0000-0000-0000CC130000}"/>
    <cellStyle name="Migliaia 32 3 2 4" xfId="5072" xr:uid="{00000000-0005-0000-0000-0000CD130000}"/>
    <cellStyle name="Migliaia 32 3 3" xfId="5073" xr:uid="{00000000-0005-0000-0000-0000CE130000}"/>
    <cellStyle name="Migliaia 32 3 3 2" xfId="5074" xr:uid="{00000000-0005-0000-0000-0000CF130000}"/>
    <cellStyle name="Migliaia 32 3 3 2 2" xfId="5075" xr:uid="{00000000-0005-0000-0000-0000D0130000}"/>
    <cellStyle name="Migliaia 32 3 3 3" xfId="5076" xr:uid="{00000000-0005-0000-0000-0000D1130000}"/>
    <cellStyle name="Migliaia 32 3 4" xfId="5077" xr:uid="{00000000-0005-0000-0000-0000D2130000}"/>
    <cellStyle name="Migliaia 32 3 4 2" xfId="5078" xr:uid="{00000000-0005-0000-0000-0000D3130000}"/>
    <cellStyle name="Migliaia 32 3 4 2 2" xfId="5079" xr:uid="{00000000-0005-0000-0000-0000D4130000}"/>
    <cellStyle name="Migliaia 32 3 4 3" xfId="5080" xr:uid="{00000000-0005-0000-0000-0000D5130000}"/>
    <cellStyle name="Migliaia 32 3 5" xfId="5081" xr:uid="{00000000-0005-0000-0000-0000D6130000}"/>
    <cellStyle name="Migliaia 32 3 5 2" xfId="5082" xr:uid="{00000000-0005-0000-0000-0000D7130000}"/>
    <cellStyle name="Migliaia 32 3 6" xfId="5083" xr:uid="{00000000-0005-0000-0000-0000D8130000}"/>
    <cellStyle name="Migliaia 32 3 6 2" xfId="5084" xr:uid="{00000000-0005-0000-0000-0000D9130000}"/>
    <cellStyle name="Migliaia 32 3 7" xfId="5085" xr:uid="{00000000-0005-0000-0000-0000DA130000}"/>
    <cellStyle name="Migliaia 32 4" xfId="5086" xr:uid="{00000000-0005-0000-0000-0000DB130000}"/>
    <cellStyle name="Migliaia 32 4 2" xfId="5087" xr:uid="{00000000-0005-0000-0000-0000DC130000}"/>
    <cellStyle name="Migliaia 32 4 2 2" xfId="5088" xr:uid="{00000000-0005-0000-0000-0000DD130000}"/>
    <cellStyle name="Migliaia 32 4 2 2 2" xfId="5089" xr:uid="{00000000-0005-0000-0000-0000DE130000}"/>
    <cellStyle name="Migliaia 32 4 2 3" xfId="5090" xr:uid="{00000000-0005-0000-0000-0000DF130000}"/>
    <cellStyle name="Migliaia 32 4 2 4" xfId="5091" xr:uid="{00000000-0005-0000-0000-0000E0130000}"/>
    <cellStyle name="Migliaia 32 4 2 5" xfId="5092" xr:uid="{00000000-0005-0000-0000-0000E1130000}"/>
    <cellStyle name="Migliaia 32 4 3" xfId="5093" xr:uid="{00000000-0005-0000-0000-0000E2130000}"/>
    <cellStyle name="Migliaia 32 4 4" xfId="5094" xr:uid="{00000000-0005-0000-0000-0000E3130000}"/>
    <cellStyle name="Migliaia 32 4 5" xfId="5095" xr:uid="{00000000-0005-0000-0000-0000E4130000}"/>
    <cellStyle name="Migliaia 32 5" xfId="5096" xr:uid="{00000000-0005-0000-0000-0000E5130000}"/>
    <cellStyle name="Migliaia 32 5 2" xfId="5097" xr:uid="{00000000-0005-0000-0000-0000E6130000}"/>
    <cellStyle name="Migliaia 32 5 3" xfId="5098" xr:uid="{00000000-0005-0000-0000-0000E7130000}"/>
    <cellStyle name="Migliaia 32 6" xfId="5099" xr:uid="{00000000-0005-0000-0000-0000E8130000}"/>
    <cellStyle name="Migliaia 32 6 2" xfId="5100" xr:uid="{00000000-0005-0000-0000-0000E9130000}"/>
    <cellStyle name="Migliaia 32 6 2 2" xfId="5101" xr:uid="{00000000-0005-0000-0000-0000EA130000}"/>
    <cellStyle name="Migliaia 32 6 3" xfId="5102" xr:uid="{00000000-0005-0000-0000-0000EB130000}"/>
    <cellStyle name="Migliaia 32 7" xfId="5103" xr:uid="{00000000-0005-0000-0000-0000EC130000}"/>
    <cellStyle name="Migliaia 32 7 2" xfId="5104" xr:uid="{00000000-0005-0000-0000-0000ED130000}"/>
    <cellStyle name="Migliaia 32 8" xfId="5105" xr:uid="{00000000-0005-0000-0000-0000EE130000}"/>
    <cellStyle name="Migliaia 32 8 2" xfId="5106" xr:uid="{00000000-0005-0000-0000-0000EF130000}"/>
    <cellStyle name="Migliaia 33" xfId="5107" xr:uid="{00000000-0005-0000-0000-0000F0130000}"/>
    <cellStyle name="Migliaia 33 2" xfId="5108" xr:uid="{00000000-0005-0000-0000-0000F1130000}"/>
    <cellStyle name="Migliaia 33 2 2" xfId="5109" xr:uid="{00000000-0005-0000-0000-0000F2130000}"/>
    <cellStyle name="Migliaia 33 2 2 2" xfId="5110" xr:uid="{00000000-0005-0000-0000-0000F3130000}"/>
    <cellStyle name="Migliaia 33 2 2 2 2" xfId="5111" xr:uid="{00000000-0005-0000-0000-0000F4130000}"/>
    <cellStyle name="Migliaia 33 2 2 2 3" xfId="5112" xr:uid="{00000000-0005-0000-0000-0000F5130000}"/>
    <cellStyle name="Migliaia 33 2 2 3" xfId="5113" xr:uid="{00000000-0005-0000-0000-0000F6130000}"/>
    <cellStyle name="Migliaia 33 2 2 4" xfId="5114" xr:uid="{00000000-0005-0000-0000-0000F7130000}"/>
    <cellStyle name="Migliaia 33 2 3" xfId="5115" xr:uid="{00000000-0005-0000-0000-0000F8130000}"/>
    <cellStyle name="Migliaia 33 2 3 2" xfId="5116" xr:uid="{00000000-0005-0000-0000-0000F9130000}"/>
    <cellStyle name="Migliaia 33 2 4" xfId="5117" xr:uid="{00000000-0005-0000-0000-0000FA130000}"/>
    <cellStyle name="Migliaia 33 2 4 2" xfId="5118" xr:uid="{00000000-0005-0000-0000-0000FB130000}"/>
    <cellStyle name="Migliaia 33 2 5" xfId="5119" xr:uid="{00000000-0005-0000-0000-0000FC130000}"/>
    <cellStyle name="Migliaia 33 3" xfId="5120" xr:uid="{00000000-0005-0000-0000-0000FD130000}"/>
    <cellStyle name="Migliaia 33 3 2" xfId="5121" xr:uid="{00000000-0005-0000-0000-0000FE130000}"/>
    <cellStyle name="Migliaia 33 3 2 2" xfId="5122" xr:uid="{00000000-0005-0000-0000-0000FF130000}"/>
    <cellStyle name="Migliaia 33 3 2 2 2" xfId="5123" xr:uid="{00000000-0005-0000-0000-000000140000}"/>
    <cellStyle name="Migliaia 33 3 2 2 3" xfId="5124" xr:uid="{00000000-0005-0000-0000-000001140000}"/>
    <cellStyle name="Migliaia 33 3 2 3" xfId="5125" xr:uid="{00000000-0005-0000-0000-000002140000}"/>
    <cellStyle name="Migliaia 33 3 2 3 2" xfId="5126" xr:uid="{00000000-0005-0000-0000-000003140000}"/>
    <cellStyle name="Migliaia 33 3 2 4" xfId="5127" xr:uid="{00000000-0005-0000-0000-000004140000}"/>
    <cellStyle name="Migliaia 33 3 3" xfId="5128" xr:uid="{00000000-0005-0000-0000-000005140000}"/>
    <cellStyle name="Migliaia 33 3 3 2" xfId="5129" xr:uid="{00000000-0005-0000-0000-000006140000}"/>
    <cellStyle name="Migliaia 33 3 3 2 2" xfId="5130" xr:uid="{00000000-0005-0000-0000-000007140000}"/>
    <cellStyle name="Migliaia 33 3 3 3" xfId="5131" xr:uid="{00000000-0005-0000-0000-000008140000}"/>
    <cellStyle name="Migliaia 33 3 4" xfId="5132" xr:uid="{00000000-0005-0000-0000-000009140000}"/>
    <cellStyle name="Migliaia 33 3 4 2" xfId="5133" xr:uid="{00000000-0005-0000-0000-00000A140000}"/>
    <cellStyle name="Migliaia 33 3 4 2 2" xfId="5134" xr:uid="{00000000-0005-0000-0000-00000B140000}"/>
    <cellStyle name="Migliaia 33 3 4 3" xfId="5135" xr:uid="{00000000-0005-0000-0000-00000C140000}"/>
    <cellStyle name="Migliaia 33 3 5" xfId="5136" xr:uid="{00000000-0005-0000-0000-00000D140000}"/>
    <cellStyle name="Migliaia 33 3 5 2" xfId="5137" xr:uid="{00000000-0005-0000-0000-00000E140000}"/>
    <cellStyle name="Migliaia 33 3 6" xfId="5138" xr:uid="{00000000-0005-0000-0000-00000F140000}"/>
    <cellStyle name="Migliaia 33 3 6 2" xfId="5139" xr:uid="{00000000-0005-0000-0000-000010140000}"/>
    <cellStyle name="Migliaia 33 3 7" xfId="5140" xr:uid="{00000000-0005-0000-0000-000011140000}"/>
    <cellStyle name="Migliaia 33 4" xfId="5141" xr:uid="{00000000-0005-0000-0000-000012140000}"/>
    <cellStyle name="Migliaia 33 4 2" xfId="5142" xr:uid="{00000000-0005-0000-0000-000013140000}"/>
    <cellStyle name="Migliaia 33 4 2 2" xfId="5143" xr:uid="{00000000-0005-0000-0000-000014140000}"/>
    <cellStyle name="Migliaia 33 4 2 2 2" xfId="5144" xr:uid="{00000000-0005-0000-0000-000015140000}"/>
    <cellStyle name="Migliaia 33 4 2 3" xfId="5145" xr:uid="{00000000-0005-0000-0000-000016140000}"/>
    <cellStyle name="Migliaia 33 4 2 4" xfId="5146" xr:uid="{00000000-0005-0000-0000-000017140000}"/>
    <cellStyle name="Migliaia 33 4 2 5" xfId="5147" xr:uid="{00000000-0005-0000-0000-000018140000}"/>
    <cellStyle name="Migliaia 33 4 3" xfId="5148" xr:uid="{00000000-0005-0000-0000-000019140000}"/>
    <cellStyle name="Migliaia 33 4 4" xfId="5149" xr:uid="{00000000-0005-0000-0000-00001A140000}"/>
    <cellStyle name="Migliaia 33 4 5" xfId="5150" xr:uid="{00000000-0005-0000-0000-00001B140000}"/>
    <cellStyle name="Migliaia 33 5" xfId="5151" xr:uid="{00000000-0005-0000-0000-00001C140000}"/>
    <cellStyle name="Migliaia 33 5 2" xfId="5152" xr:uid="{00000000-0005-0000-0000-00001D140000}"/>
    <cellStyle name="Migliaia 33 5 3" xfId="5153" xr:uid="{00000000-0005-0000-0000-00001E140000}"/>
    <cellStyle name="Migliaia 33 6" xfId="5154" xr:uid="{00000000-0005-0000-0000-00001F140000}"/>
    <cellStyle name="Migliaia 33 6 2" xfId="5155" xr:uid="{00000000-0005-0000-0000-000020140000}"/>
    <cellStyle name="Migliaia 33 6 2 2" xfId="5156" xr:uid="{00000000-0005-0000-0000-000021140000}"/>
    <cellStyle name="Migliaia 33 6 3" xfId="5157" xr:uid="{00000000-0005-0000-0000-000022140000}"/>
    <cellStyle name="Migliaia 33 7" xfId="5158" xr:uid="{00000000-0005-0000-0000-000023140000}"/>
    <cellStyle name="Migliaia 33 7 2" xfId="5159" xr:uid="{00000000-0005-0000-0000-000024140000}"/>
    <cellStyle name="Migliaia 33 8" xfId="5160" xr:uid="{00000000-0005-0000-0000-000025140000}"/>
    <cellStyle name="Migliaia 33 8 2" xfId="5161" xr:uid="{00000000-0005-0000-0000-000026140000}"/>
    <cellStyle name="Migliaia 34" xfId="5162" xr:uid="{00000000-0005-0000-0000-000027140000}"/>
    <cellStyle name="Migliaia 34 2" xfId="5163" xr:uid="{00000000-0005-0000-0000-000028140000}"/>
    <cellStyle name="Migliaia 34 2 2" xfId="5164" xr:uid="{00000000-0005-0000-0000-000029140000}"/>
    <cellStyle name="Migliaia 34 2 2 2" xfId="5165" xr:uid="{00000000-0005-0000-0000-00002A140000}"/>
    <cellStyle name="Migliaia 34 2 2 2 2" xfId="5166" xr:uid="{00000000-0005-0000-0000-00002B140000}"/>
    <cellStyle name="Migliaia 34 2 2 2 3" xfId="5167" xr:uid="{00000000-0005-0000-0000-00002C140000}"/>
    <cellStyle name="Migliaia 34 2 2 3" xfId="5168" xr:uid="{00000000-0005-0000-0000-00002D140000}"/>
    <cellStyle name="Migliaia 34 2 2 4" xfId="5169" xr:uid="{00000000-0005-0000-0000-00002E140000}"/>
    <cellStyle name="Migliaia 34 2 3" xfId="5170" xr:uid="{00000000-0005-0000-0000-00002F140000}"/>
    <cellStyle name="Migliaia 34 2 3 2" xfId="5171" xr:uid="{00000000-0005-0000-0000-000030140000}"/>
    <cellStyle name="Migliaia 34 2 4" xfId="5172" xr:uid="{00000000-0005-0000-0000-000031140000}"/>
    <cellStyle name="Migliaia 34 2 4 2" xfId="5173" xr:uid="{00000000-0005-0000-0000-000032140000}"/>
    <cellStyle name="Migliaia 34 2 5" xfId="5174" xr:uid="{00000000-0005-0000-0000-000033140000}"/>
    <cellStyle name="Migliaia 34 3" xfId="5175" xr:uid="{00000000-0005-0000-0000-000034140000}"/>
    <cellStyle name="Migliaia 34 3 2" xfId="5176" xr:uid="{00000000-0005-0000-0000-000035140000}"/>
    <cellStyle name="Migliaia 34 3 2 2" xfId="5177" xr:uid="{00000000-0005-0000-0000-000036140000}"/>
    <cellStyle name="Migliaia 34 3 2 2 2" xfId="5178" xr:uid="{00000000-0005-0000-0000-000037140000}"/>
    <cellStyle name="Migliaia 34 3 2 2 3" xfId="5179" xr:uid="{00000000-0005-0000-0000-000038140000}"/>
    <cellStyle name="Migliaia 34 3 2 3" xfId="5180" xr:uid="{00000000-0005-0000-0000-000039140000}"/>
    <cellStyle name="Migliaia 34 3 2 3 2" xfId="5181" xr:uid="{00000000-0005-0000-0000-00003A140000}"/>
    <cellStyle name="Migliaia 34 3 2 4" xfId="5182" xr:uid="{00000000-0005-0000-0000-00003B140000}"/>
    <cellStyle name="Migliaia 34 3 3" xfId="5183" xr:uid="{00000000-0005-0000-0000-00003C140000}"/>
    <cellStyle name="Migliaia 34 3 3 2" xfId="5184" xr:uid="{00000000-0005-0000-0000-00003D140000}"/>
    <cellStyle name="Migliaia 34 3 3 2 2" xfId="5185" xr:uid="{00000000-0005-0000-0000-00003E140000}"/>
    <cellStyle name="Migliaia 34 3 3 3" xfId="5186" xr:uid="{00000000-0005-0000-0000-00003F140000}"/>
    <cellStyle name="Migliaia 34 3 4" xfId="5187" xr:uid="{00000000-0005-0000-0000-000040140000}"/>
    <cellStyle name="Migliaia 34 3 4 2" xfId="5188" xr:uid="{00000000-0005-0000-0000-000041140000}"/>
    <cellStyle name="Migliaia 34 3 4 2 2" xfId="5189" xr:uid="{00000000-0005-0000-0000-000042140000}"/>
    <cellStyle name="Migliaia 34 3 4 3" xfId="5190" xr:uid="{00000000-0005-0000-0000-000043140000}"/>
    <cellStyle name="Migliaia 34 3 5" xfId="5191" xr:uid="{00000000-0005-0000-0000-000044140000}"/>
    <cellStyle name="Migliaia 34 3 5 2" xfId="5192" xr:uid="{00000000-0005-0000-0000-000045140000}"/>
    <cellStyle name="Migliaia 34 3 6" xfId="5193" xr:uid="{00000000-0005-0000-0000-000046140000}"/>
    <cellStyle name="Migliaia 34 3 6 2" xfId="5194" xr:uid="{00000000-0005-0000-0000-000047140000}"/>
    <cellStyle name="Migliaia 34 3 7" xfId="5195" xr:uid="{00000000-0005-0000-0000-000048140000}"/>
    <cellStyle name="Migliaia 34 4" xfId="5196" xr:uid="{00000000-0005-0000-0000-000049140000}"/>
    <cellStyle name="Migliaia 34 4 2" xfId="5197" xr:uid="{00000000-0005-0000-0000-00004A140000}"/>
    <cellStyle name="Migliaia 34 4 2 2" xfId="5198" xr:uid="{00000000-0005-0000-0000-00004B140000}"/>
    <cellStyle name="Migliaia 34 4 2 2 2" xfId="5199" xr:uid="{00000000-0005-0000-0000-00004C140000}"/>
    <cellStyle name="Migliaia 34 4 2 3" xfId="5200" xr:uid="{00000000-0005-0000-0000-00004D140000}"/>
    <cellStyle name="Migliaia 34 4 2 4" xfId="5201" xr:uid="{00000000-0005-0000-0000-00004E140000}"/>
    <cellStyle name="Migliaia 34 4 2 5" xfId="5202" xr:uid="{00000000-0005-0000-0000-00004F140000}"/>
    <cellStyle name="Migliaia 34 4 3" xfId="5203" xr:uid="{00000000-0005-0000-0000-000050140000}"/>
    <cellStyle name="Migliaia 34 4 4" xfId="5204" xr:uid="{00000000-0005-0000-0000-000051140000}"/>
    <cellStyle name="Migliaia 34 4 5" xfId="5205" xr:uid="{00000000-0005-0000-0000-000052140000}"/>
    <cellStyle name="Migliaia 34 5" xfId="5206" xr:uid="{00000000-0005-0000-0000-000053140000}"/>
    <cellStyle name="Migliaia 34 5 2" xfId="5207" xr:uid="{00000000-0005-0000-0000-000054140000}"/>
    <cellStyle name="Migliaia 34 5 3" xfId="5208" xr:uid="{00000000-0005-0000-0000-000055140000}"/>
    <cellStyle name="Migliaia 34 6" xfId="5209" xr:uid="{00000000-0005-0000-0000-000056140000}"/>
    <cellStyle name="Migliaia 34 6 2" xfId="5210" xr:uid="{00000000-0005-0000-0000-000057140000}"/>
    <cellStyle name="Migliaia 34 6 2 2" xfId="5211" xr:uid="{00000000-0005-0000-0000-000058140000}"/>
    <cellStyle name="Migliaia 34 6 3" xfId="5212" xr:uid="{00000000-0005-0000-0000-000059140000}"/>
    <cellStyle name="Migliaia 34 7" xfId="5213" xr:uid="{00000000-0005-0000-0000-00005A140000}"/>
    <cellStyle name="Migliaia 34 7 2" xfId="5214" xr:uid="{00000000-0005-0000-0000-00005B140000}"/>
    <cellStyle name="Migliaia 34 8" xfId="5215" xr:uid="{00000000-0005-0000-0000-00005C140000}"/>
    <cellStyle name="Migliaia 34 8 2" xfId="5216" xr:uid="{00000000-0005-0000-0000-00005D140000}"/>
    <cellStyle name="Migliaia 35" xfId="5217" xr:uid="{00000000-0005-0000-0000-00005E140000}"/>
    <cellStyle name="Migliaia 35 2" xfId="5218" xr:uid="{00000000-0005-0000-0000-00005F140000}"/>
    <cellStyle name="Migliaia 35 2 2" xfId="5219" xr:uid="{00000000-0005-0000-0000-000060140000}"/>
    <cellStyle name="Migliaia 35 2 2 2" xfId="5220" xr:uid="{00000000-0005-0000-0000-000061140000}"/>
    <cellStyle name="Migliaia 35 2 2 2 2" xfId="5221" xr:uid="{00000000-0005-0000-0000-000062140000}"/>
    <cellStyle name="Migliaia 35 2 2 2 3" xfId="5222" xr:uid="{00000000-0005-0000-0000-000063140000}"/>
    <cellStyle name="Migliaia 35 2 2 3" xfId="5223" xr:uid="{00000000-0005-0000-0000-000064140000}"/>
    <cellStyle name="Migliaia 35 2 2 4" xfId="5224" xr:uid="{00000000-0005-0000-0000-000065140000}"/>
    <cellStyle name="Migliaia 35 2 3" xfId="5225" xr:uid="{00000000-0005-0000-0000-000066140000}"/>
    <cellStyle name="Migliaia 35 2 3 2" xfId="5226" xr:uid="{00000000-0005-0000-0000-000067140000}"/>
    <cellStyle name="Migliaia 35 2 4" xfId="5227" xr:uid="{00000000-0005-0000-0000-000068140000}"/>
    <cellStyle name="Migliaia 35 2 4 2" xfId="5228" xr:uid="{00000000-0005-0000-0000-000069140000}"/>
    <cellStyle name="Migliaia 35 2 5" xfId="5229" xr:uid="{00000000-0005-0000-0000-00006A140000}"/>
    <cellStyle name="Migliaia 35 3" xfId="5230" xr:uid="{00000000-0005-0000-0000-00006B140000}"/>
    <cellStyle name="Migliaia 35 3 2" xfId="5231" xr:uid="{00000000-0005-0000-0000-00006C140000}"/>
    <cellStyle name="Migliaia 35 3 2 2" xfId="5232" xr:uid="{00000000-0005-0000-0000-00006D140000}"/>
    <cellStyle name="Migliaia 35 3 2 2 2" xfId="5233" xr:uid="{00000000-0005-0000-0000-00006E140000}"/>
    <cellStyle name="Migliaia 35 3 2 2 3" xfId="5234" xr:uid="{00000000-0005-0000-0000-00006F140000}"/>
    <cellStyle name="Migliaia 35 3 2 3" xfId="5235" xr:uid="{00000000-0005-0000-0000-000070140000}"/>
    <cellStyle name="Migliaia 35 3 2 3 2" xfId="5236" xr:uid="{00000000-0005-0000-0000-000071140000}"/>
    <cellStyle name="Migliaia 35 3 2 4" xfId="5237" xr:uid="{00000000-0005-0000-0000-000072140000}"/>
    <cellStyle name="Migliaia 35 3 3" xfId="5238" xr:uid="{00000000-0005-0000-0000-000073140000}"/>
    <cellStyle name="Migliaia 35 3 3 2" xfId="5239" xr:uid="{00000000-0005-0000-0000-000074140000}"/>
    <cellStyle name="Migliaia 35 3 3 2 2" xfId="5240" xr:uid="{00000000-0005-0000-0000-000075140000}"/>
    <cellStyle name="Migliaia 35 3 3 3" xfId="5241" xr:uid="{00000000-0005-0000-0000-000076140000}"/>
    <cellStyle name="Migliaia 35 3 4" xfId="5242" xr:uid="{00000000-0005-0000-0000-000077140000}"/>
    <cellStyle name="Migliaia 35 3 4 2" xfId="5243" xr:uid="{00000000-0005-0000-0000-000078140000}"/>
    <cellStyle name="Migliaia 35 3 4 2 2" xfId="5244" xr:uid="{00000000-0005-0000-0000-000079140000}"/>
    <cellStyle name="Migliaia 35 3 4 3" xfId="5245" xr:uid="{00000000-0005-0000-0000-00007A140000}"/>
    <cellStyle name="Migliaia 35 3 5" xfId="5246" xr:uid="{00000000-0005-0000-0000-00007B140000}"/>
    <cellStyle name="Migliaia 35 3 5 2" xfId="5247" xr:uid="{00000000-0005-0000-0000-00007C140000}"/>
    <cellStyle name="Migliaia 35 3 6" xfId="5248" xr:uid="{00000000-0005-0000-0000-00007D140000}"/>
    <cellStyle name="Migliaia 35 3 6 2" xfId="5249" xr:uid="{00000000-0005-0000-0000-00007E140000}"/>
    <cellStyle name="Migliaia 35 3 7" xfId="5250" xr:uid="{00000000-0005-0000-0000-00007F140000}"/>
    <cellStyle name="Migliaia 35 4" xfId="5251" xr:uid="{00000000-0005-0000-0000-000080140000}"/>
    <cellStyle name="Migliaia 35 4 2" xfId="5252" xr:uid="{00000000-0005-0000-0000-000081140000}"/>
    <cellStyle name="Migliaia 35 4 2 2" xfId="5253" xr:uid="{00000000-0005-0000-0000-000082140000}"/>
    <cellStyle name="Migliaia 35 4 2 2 2" xfId="5254" xr:uid="{00000000-0005-0000-0000-000083140000}"/>
    <cellStyle name="Migliaia 35 4 2 3" xfId="5255" xr:uid="{00000000-0005-0000-0000-000084140000}"/>
    <cellStyle name="Migliaia 35 4 2 4" xfId="5256" xr:uid="{00000000-0005-0000-0000-000085140000}"/>
    <cellStyle name="Migliaia 35 4 2 5" xfId="5257" xr:uid="{00000000-0005-0000-0000-000086140000}"/>
    <cellStyle name="Migliaia 35 4 3" xfId="5258" xr:uid="{00000000-0005-0000-0000-000087140000}"/>
    <cellStyle name="Migliaia 35 4 4" xfId="5259" xr:uid="{00000000-0005-0000-0000-000088140000}"/>
    <cellStyle name="Migliaia 35 4 5" xfId="5260" xr:uid="{00000000-0005-0000-0000-000089140000}"/>
    <cellStyle name="Migliaia 35 5" xfId="5261" xr:uid="{00000000-0005-0000-0000-00008A140000}"/>
    <cellStyle name="Migliaia 35 5 2" xfId="5262" xr:uid="{00000000-0005-0000-0000-00008B140000}"/>
    <cellStyle name="Migliaia 35 5 3" xfId="5263" xr:uid="{00000000-0005-0000-0000-00008C140000}"/>
    <cellStyle name="Migliaia 35 6" xfId="5264" xr:uid="{00000000-0005-0000-0000-00008D140000}"/>
    <cellStyle name="Migliaia 35 6 2" xfId="5265" xr:uid="{00000000-0005-0000-0000-00008E140000}"/>
    <cellStyle name="Migliaia 35 6 2 2" xfId="5266" xr:uid="{00000000-0005-0000-0000-00008F140000}"/>
    <cellStyle name="Migliaia 35 6 3" xfId="5267" xr:uid="{00000000-0005-0000-0000-000090140000}"/>
    <cellStyle name="Migliaia 35 7" xfId="5268" xr:uid="{00000000-0005-0000-0000-000091140000}"/>
    <cellStyle name="Migliaia 35 7 2" xfId="5269" xr:uid="{00000000-0005-0000-0000-000092140000}"/>
    <cellStyle name="Migliaia 35 8" xfId="5270" xr:uid="{00000000-0005-0000-0000-000093140000}"/>
    <cellStyle name="Migliaia 35 8 2" xfId="5271" xr:uid="{00000000-0005-0000-0000-000094140000}"/>
    <cellStyle name="Migliaia 36" xfId="5272" xr:uid="{00000000-0005-0000-0000-000095140000}"/>
    <cellStyle name="Migliaia 36 2" xfId="5273" xr:uid="{00000000-0005-0000-0000-000096140000}"/>
    <cellStyle name="Migliaia 36 2 2" xfId="5274" xr:uid="{00000000-0005-0000-0000-000097140000}"/>
    <cellStyle name="Migliaia 36 2 2 2" xfId="5275" xr:uid="{00000000-0005-0000-0000-000098140000}"/>
    <cellStyle name="Migliaia 36 2 2 2 2" xfId="5276" xr:uid="{00000000-0005-0000-0000-000099140000}"/>
    <cellStyle name="Migliaia 36 2 2 2 3" xfId="5277" xr:uid="{00000000-0005-0000-0000-00009A140000}"/>
    <cellStyle name="Migliaia 36 2 2 3" xfId="5278" xr:uid="{00000000-0005-0000-0000-00009B140000}"/>
    <cellStyle name="Migliaia 36 2 2 4" xfId="5279" xr:uid="{00000000-0005-0000-0000-00009C140000}"/>
    <cellStyle name="Migliaia 36 2 3" xfId="5280" xr:uid="{00000000-0005-0000-0000-00009D140000}"/>
    <cellStyle name="Migliaia 36 2 3 2" xfId="5281" xr:uid="{00000000-0005-0000-0000-00009E140000}"/>
    <cellStyle name="Migliaia 36 2 4" xfId="5282" xr:uid="{00000000-0005-0000-0000-00009F140000}"/>
    <cellStyle name="Migliaia 36 2 4 2" xfId="5283" xr:uid="{00000000-0005-0000-0000-0000A0140000}"/>
    <cellStyle name="Migliaia 36 2 5" xfId="5284" xr:uid="{00000000-0005-0000-0000-0000A1140000}"/>
    <cellStyle name="Migliaia 36 3" xfId="5285" xr:uid="{00000000-0005-0000-0000-0000A2140000}"/>
    <cellStyle name="Migliaia 36 3 2" xfId="5286" xr:uid="{00000000-0005-0000-0000-0000A3140000}"/>
    <cellStyle name="Migliaia 36 3 2 2" xfId="5287" xr:uid="{00000000-0005-0000-0000-0000A4140000}"/>
    <cellStyle name="Migliaia 36 3 2 2 2" xfId="5288" xr:uid="{00000000-0005-0000-0000-0000A5140000}"/>
    <cellStyle name="Migliaia 36 3 2 2 3" xfId="5289" xr:uid="{00000000-0005-0000-0000-0000A6140000}"/>
    <cellStyle name="Migliaia 36 3 2 3" xfId="5290" xr:uid="{00000000-0005-0000-0000-0000A7140000}"/>
    <cellStyle name="Migliaia 36 3 2 3 2" xfId="5291" xr:uid="{00000000-0005-0000-0000-0000A8140000}"/>
    <cellStyle name="Migliaia 36 3 2 4" xfId="5292" xr:uid="{00000000-0005-0000-0000-0000A9140000}"/>
    <cellStyle name="Migliaia 36 3 3" xfId="5293" xr:uid="{00000000-0005-0000-0000-0000AA140000}"/>
    <cellStyle name="Migliaia 36 3 3 2" xfId="5294" xr:uid="{00000000-0005-0000-0000-0000AB140000}"/>
    <cellStyle name="Migliaia 36 3 3 2 2" xfId="5295" xr:uid="{00000000-0005-0000-0000-0000AC140000}"/>
    <cellStyle name="Migliaia 36 3 3 3" xfId="5296" xr:uid="{00000000-0005-0000-0000-0000AD140000}"/>
    <cellStyle name="Migliaia 36 3 4" xfId="5297" xr:uid="{00000000-0005-0000-0000-0000AE140000}"/>
    <cellStyle name="Migliaia 36 3 4 2" xfId="5298" xr:uid="{00000000-0005-0000-0000-0000AF140000}"/>
    <cellStyle name="Migliaia 36 3 4 2 2" xfId="5299" xr:uid="{00000000-0005-0000-0000-0000B0140000}"/>
    <cellStyle name="Migliaia 36 3 4 3" xfId="5300" xr:uid="{00000000-0005-0000-0000-0000B1140000}"/>
    <cellStyle name="Migliaia 36 3 5" xfId="5301" xr:uid="{00000000-0005-0000-0000-0000B2140000}"/>
    <cellStyle name="Migliaia 36 3 5 2" xfId="5302" xr:uid="{00000000-0005-0000-0000-0000B3140000}"/>
    <cellStyle name="Migliaia 36 3 6" xfId="5303" xr:uid="{00000000-0005-0000-0000-0000B4140000}"/>
    <cellStyle name="Migliaia 36 3 6 2" xfId="5304" xr:uid="{00000000-0005-0000-0000-0000B5140000}"/>
    <cellStyle name="Migliaia 36 3 7" xfId="5305" xr:uid="{00000000-0005-0000-0000-0000B6140000}"/>
    <cellStyle name="Migliaia 36 4" xfId="5306" xr:uid="{00000000-0005-0000-0000-0000B7140000}"/>
    <cellStyle name="Migliaia 36 4 2" xfId="5307" xr:uid="{00000000-0005-0000-0000-0000B8140000}"/>
    <cellStyle name="Migliaia 36 4 2 2" xfId="5308" xr:uid="{00000000-0005-0000-0000-0000B9140000}"/>
    <cellStyle name="Migliaia 36 4 2 2 2" xfId="5309" xr:uid="{00000000-0005-0000-0000-0000BA140000}"/>
    <cellStyle name="Migliaia 36 4 2 3" xfId="5310" xr:uid="{00000000-0005-0000-0000-0000BB140000}"/>
    <cellStyle name="Migliaia 36 4 2 4" xfId="5311" xr:uid="{00000000-0005-0000-0000-0000BC140000}"/>
    <cellStyle name="Migliaia 36 4 2 5" xfId="5312" xr:uid="{00000000-0005-0000-0000-0000BD140000}"/>
    <cellStyle name="Migliaia 36 4 3" xfId="5313" xr:uid="{00000000-0005-0000-0000-0000BE140000}"/>
    <cellStyle name="Migliaia 36 4 4" xfId="5314" xr:uid="{00000000-0005-0000-0000-0000BF140000}"/>
    <cellStyle name="Migliaia 36 4 5" xfId="5315" xr:uid="{00000000-0005-0000-0000-0000C0140000}"/>
    <cellStyle name="Migliaia 36 5" xfId="5316" xr:uid="{00000000-0005-0000-0000-0000C1140000}"/>
    <cellStyle name="Migliaia 36 5 2" xfId="5317" xr:uid="{00000000-0005-0000-0000-0000C2140000}"/>
    <cellStyle name="Migliaia 36 5 3" xfId="5318" xr:uid="{00000000-0005-0000-0000-0000C3140000}"/>
    <cellStyle name="Migliaia 36 6" xfId="5319" xr:uid="{00000000-0005-0000-0000-0000C4140000}"/>
    <cellStyle name="Migliaia 36 6 2" xfId="5320" xr:uid="{00000000-0005-0000-0000-0000C5140000}"/>
    <cellStyle name="Migliaia 36 6 2 2" xfId="5321" xr:uid="{00000000-0005-0000-0000-0000C6140000}"/>
    <cellStyle name="Migliaia 36 6 3" xfId="5322" xr:uid="{00000000-0005-0000-0000-0000C7140000}"/>
    <cellStyle name="Migliaia 36 7" xfId="5323" xr:uid="{00000000-0005-0000-0000-0000C8140000}"/>
    <cellStyle name="Migliaia 36 7 2" xfId="5324" xr:uid="{00000000-0005-0000-0000-0000C9140000}"/>
    <cellStyle name="Migliaia 36 8" xfId="5325" xr:uid="{00000000-0005-0000-0000-0000CA140000}"/>
    <cellStyle name="Migliaia 36 8 2" xfId="5326" xr:uid="{00000000-0005-0000-0000-0000CB140000}"/>
    <cellStyle name="Migliaia 37" xfId="5327" xr:uid="{00000000-0005-0000-0000-0000CC140000}"/>
    <cellStyle name="Migliaia 37 2" xfId="5328" xr:uid="{00000000-0005-0000-0000-0000CD140000}"/>
    <cellStyle name="Migliaia 37 2 2" xfId="5329" xr:uid="{00000000-0005-0000-0000-0000CE140000}"/>
    <cellStyle name="Migliaia 37 2 2 2" xfId="5330" xr:uid="{00000000-0005-0000-0000-0000CF140000}"/>
    <cellStyle name="Migliaia 37 2 2 2 2" xfId="5331" xr:uid="{00000000-0005-0000-0000-0000D0140000}"/>
    <cellStyle name="Migliaia 37 2 2 2 3" xfId="5332" xr:uid="{00000000-0005-0000-0000-0000D1140000}"/>
    <cellStyle name="Migliaia 37 2 2 3" xfId="5333" xr:uid="{00000000-0005-0000-0000-0000D2140000}"/>
    <cellStyle name="Migliaia 37 2 2 4" xfId="5334" xr:uid="{00000000-0005-0000-0000-0000D3140000}"/>
    <cellStyle name="Migliaia 37 2 3" xfId="5335" xr:uid="{00000000-0005-0000-0000-0000D4140000}"/>
    <cellStyle name="Migliaia 37 2 3 2" xfId="5336" xr:uid="{00000000-0005-0000-0000-0000D5140000}"/>
    <cellStyle name="Migliaia 37 2 4" xfId="5337" xr:uid="{00000000-0005-0000-0000-0000D6140000}"/>
    <cellStyle name="Migliaia 37 2 4 2" xfId="5338" xr:uid="{00000000-0005-0000-0000-0000D7140000}"/>
    <cellStyle name="Migliaia 37 2 5" xfId="5339" xr:uid="{00000000-0005-0000-0000-0000D8140000}"/>
    <cellStyle name="Migliaia 37 3" xfId="5340" xr:uid="{00000000-0005-0000-0000-0000D9140000}"/>
    <cellStyle name="Migliaia 37 3 2" xfId="5341" xr:uid="{00000000-0005-0000-0000-0000DA140000}"/>
    <cellStyle name="Migliaia 37 3 2 2" xfId="5342" xr:uid="{00000000-0005-0000-0000-0000DB140000}"/>
    <cellStyle name="Migliaia 37 3 2 2 2" xfId="5343" xr:uid="{00000000-0005-0000-0000-0000DC140000}"/>
    <cellStyle name="Migliaia 37 3 2 2 3" xfId="5344" xr:uid="{00000000-0005-0000-0000-0000DD140000}"/>
    <cellStyle name="Migliaia 37 3 2 3" xfId="5345" xr:uid="{00000000-0005-0000-0000-0000DE140000}"/>
    <cellStyle name="Migliaia 37 3 2 3 2" xfId="5346" xr:uid="{00000000-0005-0000-0000-0000DF140000}"/>
    <cellStyle name="Migliaia 37 3 2 4" xfId="5347" xr:uid="{00000000-0005-0000-0000-0000E0140000}"/>
    <cellStyle name="Migliaia 37 3 3" xfId="5348" xr:uid="{00000000-0005-0000-0000-0000E1140000}"/>
    <cellStyle name="Migliaia 37 3 3 2" xfId="5349" xr:uid="{00000000-0005-0000-0000-0000E2140000}"/>
    <cellStyle name="Migliaia 37 3 3 2 2" xfId="5350" xr:uid="{00000000-0005-0000-0000-0000E3140000}"/>
    <cellStyle name="Migliaia 37 3 3 3" xfId="5351" xr:uid="{00000000-0005-0000-0000-0000E4140000}"/>
    <cellStyle name="Migliaia 37 3 4" xfId="5352" xr:uid="{00000000-0005-0000-0000-0000E5140000}"/>
    <cellStyle name="Migliaia 37 3 4 2" xfId="5353" xr:uid="{00000000-0005-0000-0000-0000E6140000}"/>
    <cellStyle name="Migliaia 37 3 4 2 2" xfId="5354" xr:uid="{00000000-0005-0000-0000-0000E7140000}"/>
    <cellStyle name="Migliaia 37 3 4 3" xfId="5355" xr:uid="{00000000-0005-0000-0000-0000E8140000}"/>
    <cellStyle name="Migliaia 37 3 5" xfId="5356" xr:uid="{00000000-0005-0000-0000-0000E9140000}"/>
    <cellStyle name="Migliaia 37 3 5 2" xfId="5357" xr:uid="{00000000-0005-0000-0000-0000EA140000}"/>
    <cellStyle name="Migliaia 37 3 6" xfId="5358" xr:uid="{00000000-0005-0000-0000-0000EB140000}"/>
    <cellStyle name="Migliaia 37 3 6 2" xfId="5359" xr:uid="{00000000-0005-0000-0000-0000EC140000}"/>
    <cellStyle name="Migliaia 37 3 7" xfId="5360" xr:uid="{00000000-0005-0000-0000-0000ED140000}"/>
    <cellStyle name="Migliaia 37 4" xfId="5361" xr:uid="{00000000-0005-0000-0000-0000EE140000}"/>
    <cellStyle name="Migliaia 37 4 2" xfId="5362" xr:uid="{00000000-0005-0000-0000-0000EF140000}"/>
    <cellStyle name="Migliaia 37 4 2 2" xfId="5363" xr:uid="{00000000-0005-0000-0000-0000F0140000}"/>
    <cellStyle name="Migliaia 37 4 2 2 2" xfId="5364" xr:uid="{00000000-0005-0000-0000-0000F1140000}"/>
    <cellStyle name="Migliaia 37 4 2 3" xfId="5365" xr:uid="{00000000-0005-0000-0000-0000F2140000}"/>
    <cellStyle name="Migliaia 37 4 2 4" xfId="5366" xr:uid="{00000000-0005-0000-0000-0000F3140000}"/>
    <cellStyle name="Migliaia 37 4 2 5" xfId="5367" xr:uid="{00000000-0005-0000-0000-0000F4140000}"/>
    <cellStyle name="Migliaia 37 4 3" xfId="5368" xr:uid="{00000000-0005-0000-0000-0000F5140000}"/>
    <cellStyle name="Migliaia 37 4 4" xfId="5369" xr:uid="{00000000-0005-0000-0000-0000F6140000}"/>
    <cellStyle name="Migliaia 37 4 5" xfId="5370" xr:uid="{00000000-0005-0000-0000-0000F7140000}"/>
    <cellStyle name="Migliaia 37 5" xfId="5371" xr:uid="{00000000-0005-0000-0000-0000F8140000}"/>
    <cellStyle name="Migliaia 37 5 2" xfId="5372" xr:uid="{00000000-0005-0000-0000-0000F9140000}"/>
    <cellStyle name="Migliaia 37 5 3" xfId="5373" xr:uid="{00000000-0005-0000-0000-0000FA140000}"/>
    <cellStyle name="Migliaia 37 6" xfId="5374" xr:uid="{00000000-0005-0000-0000-0000FB140000}"/>
    <cellStyle name="Migliaia 37 6 2" xfId="5375" xr:uid="{00000000-0005-0000-0000-0000FC140000}"/>
    <cellStyle name="Migliaia 37 6 2 2" xfId="5376" xr:uid="{00000000-0005-0000-0000-0000FD140000}"/>
    <cellStyle name="Migliaia 37 6 3" xfId="5377" xr:uid="{00000000-0005-0000-0000-0000FE140000}"/>
    <cellStyle name="Migliaia 37 7" xfId="5378" xr:uid="{00000000-0005-0000-0000-0000FF140000}"/>
    <cellStyle name="Migliaia 37 7 2" xfId="5379" xr:uid="{00000000-0005-0000-0000-000000150000}"/>
    <cellStyle name="Migliaia 37 8" xfId="5380" xr:uid="{00000000-0005-0000-0000-000001150000}"/>
    <cellStyle name="Migliaia 37 8 2" xfId="5381" xr:uid="{00000000-0005-0000-0000-000002150000}"/>
    <cellStyle name="Migliaia 38" xfId="5382" xr:uid="{00000000-0005-0000-0000-000003150000}"/>
    <cellStyle name="Migliaia 38 2" xfId="5383" xr:uid="{00000000-0005-0000-0000-000004150000}"/>
    <cellStyle name="Migliaia 38 2 2" xfId="5384" xr:uid="{00000000-0005-0000-0000-000005150000}"/>
    <cellStyle name="Migliaia 38 2 2 2" xfId="5385" xr:uid="{00000000-0005-0000-0000-000006150000}"/>
    <cellStyle name="Migliaia 38 2 2 2 2" xfId="5386" xr:uid="{00000000-0005-0000-0000-000007150000}"/>
    <cellStyle name="Migliaia 38 2 2 2 3" xfId="5387" xr:uid="{00000000-0005-0000-0000-000008150000}"/>
    <cellStyle name="Migliaia 38 2 2 3" xfId="5388" xr:uid="{00000000-0005-0000-0000-000009150000}"/>
    <cellStyle name="Migliaia 38 2 2 4" xfId="5389" xr:uid="{00000000-0005-0000-0000-00000A150000}"/>
    <cellStyle name="Migliaia 38 2 3" xfId="5390" xr:uid="{00000000-0005-0000-0000-00000B150000}"/>
    <cellStyle name="Migliaia 38 2 3 2" xfId="5391" xr:uid="{00000000-0005-0000-0000-00000C150000}"/>
    <cellStyle name="Migliaia 38 2 4" xfId="5392" xr:uid="{00000000-0005-0000-0000-00000D150000}"/>
    <cellStyle name="Migliaia 38 2 4 2" xfId="5393" xr:uid="{00000000-0005-0000-0000-00000E150000}"/>
    <cellStyle name="Migliaia 38 2 5" xfId="5394" xr:uid="{00000000-0005-0000-0000-00000F150000}"/>
    <cellStyle name="Migliaia 38 3" xfId="5395" xr:uid="{00000000-0005-0000-0000-000010150000}"/>
    <cellStyle name="Migliaia 38 3 2" xfId="5396" xr:uid="{00000000-0005-0000-0000-000011150000}"/>
    <cellStyle name="Migliaia 38 3 2 2" xfId="5397" xr:uid="{00000000-0005-0000-0000-000012150000}"/>
    <cellStyle name="Migliaia 38 3 2 2 2" xfId="5398" xr:uid="{00000000-0005-0000-0000-000013150000}"/>
    <cellStyle name="Migliaia 38 3 2 2 3" xfId="5399" xr:uid="{00000000-0005-0000-0000-000014150000}"/>
    <cellStyle name="Migliaia 38 3 2 3" xfId="5400" xr:uid="{00000000-0005-0000-0000-000015150000}"/>
    <cellStyle name="Migliaia 38 3 2 3 2" xfId="5401" xr:uid="{00000000-0005-0000-0000-000016150000}"/>
    <cellStyle name="Migliaia 38 3 2 4" xfId="5402" xr:uid="{00000000-0005-0000-0000-000017150000}"/>
    <cellStyle name="Migliaia 38 3 3" xfId="5403" xr:uid="{00000000-0005-0000-0000-000018150000}"/>
    <cellStyle name="Migliaia 38 3 3 2" xfId="5404" xr:uid="{00000000-0005-0000-0000-000019150000}"/>
    <cellStyle name="Migliaia 38 3 3 2 2" xfId="5405" xr:uid="{00000000-0005-0000-0000-00001A150000}"/>
    <cellStyle name="Migliaia 38 3 3 3" xfId="5406" xr:uid="{00000000-0005-0000-0000-00001B150000}"/>
    <cellStyle name="Migliaia 38 3 4" xfId="5407" xr:uid="{00000000-0005-0000-0000-00001C150000}"/>
    <cellStyle name="Migliaia 38 3 4 2" xfId="5408" xr:uid="{00000000-0005-0000-0000-00001D150000}"/>
    <cellStyle name="Migliaia 38 3 4 2 2" xfId="5409" xr:uid="{00000000-0005-0000-0000-00001E150000}"/>
    <cellStyle name="Migliaia 38 3 4 3" xfId="5410" xr:uid="{00000000-0005-0000-0000-00001F150000}"/>
    <cellStyle name="Migliaia 38 3 5" xfId="5411" xr:uid="{00000000-0005-0000-0000-000020150000}"/>
    <cellStyle name="Migliaia 38 3 5 2" xfId="5412" xr:uid="{00000000-0005-0000-0000-000021150000}"/>
    <cellStyle name="Migliaia 38 3 6" xfId="5413" xr:uid="{00000000-0005-0000-0000-000022150000}"/>
    <cellStyle name="Migliaia 38 3 6 2" xfId="5414" xr:uid="{00000000-0005-0000-0000-000023150000}"/>
    <cellStyle name="Migliaia 38 3 7" xfId="5415" xr:uid="{00000000-0005-0000-0000-000024150000}"/>
    <cellStyle name="Migliaia 38 4" xfId="5416" xr:uid="{00000000-0005-0000-0000-000025150000}"/>
    <cellStyle name="Migliaia 38 4 2" xfId="5417" xr:uid="{00000000-0005-0000-0000-000026150000}"/>
    <cellStyle name="Migliaia 38 4 2 2" xfId="5418" xr:uid="{00000000-0005-0000-0000-000027150000}"/>
    <cellStyle name="Migliaia 38 4 2 2 2" xfId="5419" xr:uid="{00000000-0005-0000-0000-000028150000}"/>
    <cellStyle name="Migliaia 38 4 2 3" xfId="5420" xr:uid="{00000000-0005-0000-0000-000029150000}"/>
    <cellStyle name="Migliaia 38 4 2 4" xfId="5421" xr:uid="{00000000-0005-0000-0000-00002A150000}"/>
    <cellStyle name="Migliaia 38 4 2 5" xfId="5422" xr:uid="{00000000-0005-0000-0000-00002B150000}"/>
    <cellStyle name="Migliaia 38 4 3" xfId="5423" xr:uid="{00000000-0005-0000-0000-00002C150000}"/>
    <cellStyle name="Migliaia 38 4 4" xfId="5424" xr:uid="{00000000-0005-0000-0000-00002D150000}"/>
    <cellStyle name="Migliaia 38 4 5" xfId="5425" xr:uid="{00000000-0005-0000-0000-00002E150000}"/>
    <cellStyle name="Migliaia 38 5" xfId="5426" xr:uid="{00000000-0005-0000-0000-00002F150000}"/>
    <cellStyle name="Migliaia 38 5 2" xfId="5427" xr:uid="{00000000-0005-0000-0000-000030150000}"/>
    <cellStyle name="Migliaia 38 5 3" xfId="5428" xr:uid="{00000000-0005-0000-0000-000031150000}"/>
    <cellStyle name="Migliaia 38 6" xfId="5429" xr:uid="{00000000-0005-0000-0000-000032150000}"/>
    <cellStyle name="Migliaia 38 6 2" xfId="5430" xr:uid="{00000000-0005-0000-0000-000033150000}"/>
    <cellStyle name="Migliaia 38 6 2 2" xfId="5431" xr:uid="{00000000-0005-0000-0000-000034150000}"/>
    <cellStyle name="Migliaia 38 6 3" xfId="5432" xr:uid="{00000000-0005-0000-0000-000035150000}"/>
    <cellStyle name="Migliaia 38 7" xfId="5433" xr:uid="{00000000-0005-0000-0000-000036150000}"/>
    <cellStyle name="Migliaia 38 7 2" xfId="5434" xr:uid="{00000000-0005-0000-0000-000037150000}"/>
    <cellStyle name="Migliaia 38 8" xfId="5435" xr:uid="{00000000-0005-0000-0000-000038150000}"/>
    <cellStyle name="Migliaia 38 8 2" xfId="5436" xr:uid="{00000000-0005-0000-0000-000039150000}"/>
    <cellStyle name="Migliaia 39" xfId="5437" xr:uid="{00000000-0005-0000-0000-00003A150000}"/>
    <cellStyle name="Migliaia 39 2" xfId="5438" xr:uid="{00000000-0005-0000-0000-00003B150000}"/>
    <cellStyle name="Migliaia 39 2 2" xfId="5439" xr:uid="{00000000-0005-0000-0000-00003C150000}"/>
    <cellStyle name="Migliaia 39 2 2 2" xfId="5440" xr:uid="{00000000-0005-0000-0000-00003D150000}"/>
    <cellStyle name="Migliaia 39 2 2 2 2" xfId="5441" xr:uid="{00000000-0005-0000-0000-00003E150000}"/>
    <cellStyle name="Migliaia 39 2 2 2 3" xfId="5442" xr:uid="{00000000-0005-0000-0000-00003F150000}"/>
    <cellStyle name="Migliaia 39 2 2 3" xfId="5443" xr:uid="{00000000-0005-0000-0000-000040150000}"/>
    <cellStyle name="Migliaia 39 2 2 4" xfId="5444" xr:uid="{00000000-0005-0000-0000-000041150000}"/>
    <cellStyle name="Migliaia 39 2 3" xfId="5445" xr:uid="{00000000-0005-0000-0000-000042150000}"/>
    <cellStyle name="Migliaia 39 2 3 2" xfId="5446" xr:uid="{00000000-0005-0000-0000-000043150000}"/>
    <cellStyle name="Migliaia 39 2 4" xfId="5447" xr:uid="{00000000-0005-0000-0000-000044150000}"/>
    <cellStyle name="Migliaia 39 2 4 2" xfId="5448" xr:uid="{00000000-0005-0000-0000-000045150000}"/>
    <cellStyle name="Migliaia 39 2 5" xfId="5449" xr:uid="{00000000-0005-0000-0000-000046150000}"/>
    <cellStyle name="Migliaia 39 3" xfId="5450" xr:uid="{00000000-0005-0000-0000-000047150000}"/>
    <cellStyle name="Migliaia 39 3 2" xfId="5451" xr:uid="{00000000-0005-0000-0000-000048150000}"/>
    <cellStyle name="Migliaia 39 3 2 2" xfId="5452" xr:uid="{00000000-0005-0000-0000-000049150000}"/>
    <cellStyle name="Migliaia 39 3 2 2 2" xfId="5453" xr:uid="{00000000-0005-0000-0000-00004A150000}"/>
    <cellStyle name="Migliaia 39 3 2 2 3" xfId="5454" xr:uid="{00000000-0005-0000-0000-00004B150000}"/>
    <cellStyle name="Migliaia 39 3 2 3" xfId="5455" xr:uid="{00000000-0005-0000-0000-00004C150000}"/>
    <cellStyle name="Migliaia 39 3 2 3 2" xfId="5456" xr:uid="{00000000-0005-0000-0000-00004D150000}"/>
    <cellStyle name="Migliaia 39 3 2 4" xfId="5457" xr:uid="{00000000-0005-0000-0000-00004E150000}"/>
    <cellStyle name="Migliaia 39 3 3" xfId="5458" xr:uid="{00000000-0005-0000-0000-00004F150000}"/>
    <cellStyle name="Migliaia 39 3 3 2" xfId="5459" xr:uid="{00000000-0005-0000-0000-000050150000}"/>
    <cellStyle name="Migliaia 39 3 3 2 2" xfId="5460" xr:uid="{00000000-0005-0000-0000-000051150000}"/>
    <cellStyle name="Migliaia 39 3 3 3" xfId="5461" xr:uid="{00000000-0005-0000-0000-000052150000}"/>
    <cellStyle name="Migliaia 39 3 4" xfId="5462" xr:uid="{00000000-0005-0000-0000-000053150000}"/>
    <cellStyle name="Migliaia 39 3 4 2" xfId="5463" xr:uid="{00000000-0005-0000-0000-000054150000}"/>
    <cellStyle name="Migliaia 39 3 4 2 2" xfId="5464" xr:uid="{00000000-0005-0000-0000-000055150000}"/>
    <cellStyle name="Migliaia 39 3 4 3" xfId="5465" xr:uid="{00000000-0005-0000-0000-000056150000}"/>
    <cellStyle name="Migliaia 39 3 5" xfId="5466" xr:uid="{00000000-0005-0000-0000-000057150000}"/>
    <cellStyle name="Migliaia 39 3 5 2" xfId="5467" xr:uid="{00000000-0005-0000-0000-000058150000}"/>
    <cellStyle name="Migliaia 39 3 6" xfId="5468" xr:uid="{00000000-0005-0000-0000-000059150000}"/>
    <cellStyle name="Migliaia 39 3 6 2" xfId="5469" xr:uid="{00000000-0005-0000-0000-00005A150000}"/>
    <cellStyle name="Migliaia 39 3 7" xfId="5470" xr:uid="{00000000-0005-0000-0000-00005B150000}"/>
    <cellStyle name="Migliaia 39 4" xfId="5471" xr:uid="{00000000-0005-0000-0000-00005C150000}"/>
    <cellStyle name="Migliaia 39 4 2" xfId="5472" xr:uid="{00000000-0005-0000-0000-00005D150000}"/>
    <cellStyle name="Migliaia 39 4 2 2" xfId="5473" xr:uid="{00000000-0005-0000-0000-00005E150000}"/>
    <cellStyle name="Migliaia 39 4 2 2 2" xfId="5474" xr:uid="{00000000-0005-0000-0000-00005F150000}"/>
    <cellStyle name="Migliaia 39 4 2 3" xfId="5475" xr:uid="{00000000-0005-0000-0000-000060150000}"/>
    <cellStyle name="Migliaia 39 4 2 4" xfId="5476" xr:uid="{00000000-0005-0000-0000-000061150000}"/>
    <cellStyle name="Migliaia 39 4 2 5" xfId="5477" xr:uid="{00000000-0005-0000-0000-000062150000}"/>
    <cellStyle name="Migliaia 39 4 3" xfId="5478" xr:uid="{00000000-0005-0000-0000-000063150000}"/>
    <cellStyle name="Migliaia 39 4 4" xfId="5479" xr:uid="{00000000-0005-0000-0000-000064150000}"/>
    <cellStyle name="Migliaia 39 4 5" xfId="5480" xr:uid="{00000000-0005-0000-0000-000065150000}"/>
    <cellStyle name="Migliaia 39 5" xfId="5481" xr:uid="{00000000-0005-0000-0000-000066150000}"/>
    <cellStyle name="Migliaia 39 5 2" xfId="5482" xr:uid="{00000000-0005-0000-0000-000067150000}"/>
    <cellStyle name="Migliaia 39 5 3" xfId="5483" xr:uid="{00000000-0005-0000-0000-000068150000}"/>
    <cellStyle name="Migliaia 39 6" xfId="5484" xr:uid="{00000000-0005-0000-0000-000069150000}"/>
    <cellStyle name="Migliaia 39 6 2" xfId="5485" xr:uid="{00000000-0005-0000-0000-00006A150000}"/>
    <cellStyle name="Migliaia 39 6 2 2" xfId="5486" xr:uid="{00000000-0005-0000-0000-00006B150000}"/>
    <cellStyle name="Migliaia 39 6 3" xfId="5487" xr:uid="{00000000-0005-0000-0000-00006C150000}"/>
    <cellStyle name="Migliaia 39 7" xfId="5488" xr:uid="{00000000-0005-0000-0000-00006D150000}"/>
    <cellStyle name="Migliaia 39 7 2" xfId="5489" xr:uid="{00000000-0005-0000-0000-00006E150000}"/>
    <cellStyle name="Migliaia 39 8" xfId="5490" xr:uid="{00000000-0005-0000-0000-00006F150000}"/>
    <cellStyle name="Migliaia 39 8 2" xfId="5491" xr:uid="{00000000-0005-0000-0000-000070150000}"/>
    <cellStyle name="Migliaia 4" xfId="5492" xr:uid="{00000000-0005-0000-0000-000071150000}"/>
    <cellStyle name="Migliaia 4 2" xfId="5493" xr:uid="{00000000-0005-0000-0000-000072150000}"/>
    <cellStyle name="Migliaia 4 2 2" xfId="5494" xr:uid="{00000000-0005-0000-0000-000073150000}"/>
    <cellStyle name="Migliaia 4 2 2 2" xfId="5495" xr:uid="{00000000-0005-0000-0000-000074150000}"/>
    <cellStyle name="Migliaia 4 2 2 2 2" xfId="5496" xr:uid="{00000000-0005-0000-0000-000075150000}"/>
    <cellStyle name="Migliaia 4 2 2 2 3" xfId="5497" xr:uid="{00000000-0005-0000-0000-000076150000}"/>
    <cellStyle name="Migliaia 4 2 2 3" xfId="5498" xr:uid="{00000000-0005-0000-0000-000077150000}"/>
    <cellStyle name="Migliaia 4 2 2 4" xfId="5499" xr:uid="{00000000-0005-0000-0000-000078150000}"/>
    <cellStyle name="Migliaia 4 2 3" xfId="5500" xr:uid="{00000000-0005-0000-0000-000079150000}"/>
    <cellStyle name="Migliaia 4 2 3 2" xfId="5501" xr:uid="{00000000-0005-0000-0000-00007A150000}"/>
    <cellStyle name="Migliaia 4 2 4" xfId="5502" xr:uid="{00000000-0005-0000-0000-00007B150000}"/>
    <cellStyle name="Migliaia 4 2 4 2" xfId="5503" xr:uid="{00000000-0005-0000-0000-00007C150000}"/>
    <cellStyle name="Migliaia 4 2 5" xfId="5504" xr:uid="{00000000-0005-0000-0000-00007D150000}"/>
    <cellStyle name="Migliaia 4 3" xfId="5505" xr:uid="{00000000-0005-0000-0000-00007E150000}"/>
    <cellStyle name="Migliaia 4 3 2" xfId="5506" xr:uid="{00000000-0005-0000-0000-00007F150000}"/>
    <cellStyle name="Migliaia 4 3 2 2" xfId="5507" xr:uid="{00000000-0005-0000-0000-000080150000}"/>
    <cellStyle name="Migliaia 4 3 2 2 2" xfId="5508" xr:uid="{00000000-0005-0000-0000-000081150000}"/>
    <cellStyle name="Migliaia 4 3 2 2 3" xfId="5509" xr:uid="{00000000-0005-0000-0000-000082150000}"/>
    <cellStyle name="Migliaia 4 3 2 3" xfId="5510" xr:uid="{00000000-0005-0000-0000-000083150000}"/>
    <cellStyle name="Migliaia 4 3 2 3 2" xfId="5511" xr:uid="{00000000-0005-0000-0000-000084150000}"/>
    <cellStyle name="Migliaia 4 3 2 4" xfId="5512" xr:uid="{00000000-0005-0000-0000-000085150000}"/>
    <cellStyle name="Migliaia 4 3 3" xfId="5513" xr:uid="{00000000-0005-0000-0000-000086150000}"/>
    <cellStyle name="Migliaia 4 3 3 2" xfId="5514" xr:uid="{00000000-0005-0000-0000-000087150000}"/>
    <cellStyle name="Migliaia 4 3 3 2 2" xfId="5515" xr:uid="{00000000-0005-0000-0000-000088150000}"/>
    <cellStyle name="Migliaia 4 3 3 3" xfId="5516" xr:uid="{00000000-0005-0000-0000-000089150000}"/>
    <cellStyle name="Migliaia 4 3 4" xfId="5517" xr:uid="{00000000-0005-0000-0000-00008A150000}"/>
    <cellStyle name="Migliaia 4 3 4 2" xfId="5518" xr:uid="{00000000-0005-0000-0000-00008B150000}"/>
    <cellStyle name="Migliaia 4 3 4 2 2" xfId="5519" xr:uid="{00000000-0005-0000-0000-00008C150000}"/>
    <cellStyle name="Migliaia 4 3 4 3" xfId="5520" xr:uid="{00000000-0005-0000-0000-00008D150000}"/>
    <cellStyle name="Migliaia 4 3 5" xfId="5521" xr:uid="{00000000-0005-0000-0000-00008E150000}"/>
    <cellStyle name="Migliaia 4 3 5 2" xfId="5522" xr:uid="{00000000-0005-0000-0000-00008F150000}"/>
    <cellStyle name="Migliaia 4 3 6" xfId="5523" xr:uid="{00000000-0005-0000-0000-000090150000}"/>
    <cellStyle name="Migliaia 4 3 6 2" xfId="5524" xr:uid="{00000000-0005-0000-0000-000091150000}"/>
    <cellStyle name="Migliaia 4 3 7" xfId="5525" xr:uid="{00000000-0005-0000-0000-000092150000}"/>
    <cellStyle name="Migliaia 4 4" xfId="5526" xr:uid="{00000000-0005-0000-0000-000093150000}"/>
    <cellStyle name="Migliaia 4 4 2" xfId="5527" xr:uid="{00000000-0005-0000-0000-000094150000}"/>
    <cellStyle name="Migliaia 4 4 2 2" xfId="5528" xr:uid="{00000000-0005-0000-0000-000095150000}"/>
    <cellStyle name="Migliaia 4 4 2 2 2" xfId="5529" xr:uid="{00000000-0005-0000-0000-000096150000}"/>
    <cellStyle name="Migliaia 4 4 2 3" xfId="5530" xr:uid="{00000000-0005-0000-0000-000097150000}"/>
    <cellStyle name="Migliaia 4 4 2 4" xfId="5531" xr:uid="{00000000-0005-0000-0000-000098150000}"/>
    <cellStyle name="Migliaia 4 4 2 5" xfId="5532" xr:uid="{00000000-0005-0000-0000-000099150000}"/>
    <cellStyle name="Migliaia 4 4 3" xfId="5533" xr:uid="{00000000-0005-0000-0000-00009A150000}"/>
    <cellStyle name="Migliaia 4 4 4" xfId="5534" xr:uid="{00000000-0005-0000-0000-00009B150000}"/>
    <cellStyle name="Migliaia 4 4 5" xfId="5535" xr:uid="{00000000-0005-0000-0000-00009C150000}"/>
    <cellStyle name="Migliaia 4 5" xfId="5536" xr:uid="{00000000-0005-0000-0000-00009D150000}"/>
    <cellStyle name="Migliaia 4 5 2" xfId="5537" xr:uid="{00000000-0005-0000-0000-00009E150000}"/>
    <cellStyle name="Migliaia 4 5 3" xfId="5538" xr:uid="{00000000-0005-0000-0000-00009F150000}"/>
    <cellStyle name="Migliaia 4 6" xfId="5539" xr:uid="{00000000-0005-0000-0000-0000A0150000}"/>
    <cellStyle name="Migliaia 4 6 2" xfId="5540" xr:uid="{00000000-0005-0000-0000-0000A1150000}"/>
    <cellStyle name="Migliaia 4 6 2 2" xfId="5541" xr:uid="{00000000-0005-0000-0000-0000A2150000}"/>
    <cellStyle name="Migliaia 4 6 3" xfId="5542" xr:uid="{00000000-0005-0000-0000-0000A3150000}"/>
    <cellStyle name="Migliaia 4 7" xfId="5543" xr:uid="{00000000-0005-0000-0000-0000A4150000}"/>
    <cellStyle name="Migliaia 4 7 2" xfId="5544" xr:uid="{00000000-0005-0000-0000-0000A5150000}"/>
    <cellStyle name="Migliaia 4 8" xfId="5545" xr:uid="{00000000-0005-0000-0000-0000A6150000}"/>
    <cellStyle name="Migliaia 4 8 2" xfId="5546" xr:uid="{00000000-0005-0000-0000-0000A7150000}"/>
    <cellStyle name="Migliaia 40" xfId="5547" xr:uid="{00000000-0005-0000-0000-0000A8150000}"/>
    <cellStyle name="Migliaia 40 2" xfId="5548" xr:uid="{00000000-0005-0000-0000-0000A9150000}"/>
    <cellStyle name="Migliaia 40 2 2" xfId="5549" xr:uid="{00000000-0005-0000-0000-0000AA150000}"/>
    <cellStyle name="Migliaia 40 2 2 2" xfId="5550" xr:uid="{00000000-0005-0000-0000-0000AB150000}"/>
    <cellStyle name="Migliaia 40 2 2 2 2" xfId="5551" xr:uid="{00000000-0005-0000-0000-0000AC150000}"/>
    <cellStyle name="Migliaia 40 2 2 2 3" xfId="5552" xr:uid="{00000000-0005-0000-0000-0000AD150000}"/>
    <cellStyle name="Migliaia 40 2 2 3" xfId="5553" xr:uid="{00000000-0005-0000-0000-0000AE150000}"/>
    <cellStyle name="Migliaia 40 2 2 4" xfId="5554" xr:uid="{00000000-0005-0000-0000-0000AF150000}"/>
    <cellStyle name="Migliaia 40 2 3" xfId="5555" xr:uid="{00000000-0005-0000-0000-0000B0150000}"/>
    <cellStyle name="Migliaia 40 2 3 2" xfId="5556" xr:uid="{00000000-0005-0000-0000-0000B1150000}"/>
    <cellStyle name="Migliaia 40 2 4" xfId="5557" xr:uid="{00000000-0005-0000-0000-0000B2150000}"/>
    <cellStyle name="Migliaia 40 2 4 2" xfId="5558" xr:uid="{00000000-0005-0000-0000-0000B3150000}"/>
    <cellStyle name="Migliaia 40 2 5" xfId="5559" xr:uid="{00000000-0005-0000-0000-0000B4150000}"/>
    <cellStyle name="Migliaia 40 3" xfId="5560" xr:uid="{00000000-0005-0000-0000-0000B5150000}"/>
    <cellStyle name="Migliaia 40 3 2" xfId="5561" xr:uid="{00000000-0005-0000-0000-0000B6150000}"/>
    <cellStyle name="Migliaia 40 3 2 2" xfId="5562" xr:uid="{00000000-0005-0000-0000-0000B7150000}"/>
    <cellStyle name="Migliaia 40 3 2 2 2" xfId="5563" xr:uid="{00000000-0005-0000-0000-0000B8150000}"/>
    <cellStyle name="Migliaia 40 3 2 2 3" xfId="5564" xr:uid="{00000000-0005-0000-0000-0000B9150000}"/>
    <cellStyle name="Migliaia 40 3 2 3" xfId="5565" xr:uid="{00000000-0005-0000-0000-0000BA150000}"/>
    <cellStyle name="Migliaia 40 3 2 3 2" xfId="5566" xr:uid="{00000000-0005-0000-0000-0000BB150000}"/>
    <cellStyle name="Migliaia 40 3 2 4" xfId="5567" xr:uid="{00000000-0005-0000-0000-0000BC150000}"/>
    <cellStyle name="Migliaia 40 3 3" xfId="5568" xr:uid="{00000000-0005-0000-0000-0000BD150000}"/>
    <cellStyle name="Migliaia 40 3 3 2" xfId="5569" xr:uid="{00000000-0005-0000-0000-0000BE150000}"/>
    <cellStyle name="Migliaia 40 3 3 2 2" xfId="5570" xr:uid="{00000000-0005-0000-0000-0000BF150000}"/>
    <cellStyle name="Migliaia 40 3 3 3" xfId="5571" xr:uid="{00000000-0005-0000-0000-0000C0150000}"/>
    <cellStyle name="Migliaia 40 3 4" xfId="5572" xr:uid="{00000000-0005-0000-0000-0000C1150000}"/>
    <cellStyle name="Migliaia 40 3 4 2" xfId="5573" xr:uid="{00000000-0005-0000-0000-0000C2150000}"/>
    <cellStyle name="Migliaia 40 3 4 2 2" xfId="5574" xr:uid="{00000000-0005-0000-0000-0000C3150000}"/>
    <cellStyle name="Migliaia 40 3 4 3" xfId="5575" xr:uid="{00000000-0005-0000-0000-0000C4150000}"/>
    <cellStyle name="Migliaia 40 3 5" xfId="5576" xr:uid="{00000000-0005-0000-0000-0000C5150000}"/>
    <cellStyle name="Migliaia 40 3 5 2" xfId="5577" xr:uid="{00000000-0005-0000-0000-0000C6150000}"/>
    <cellStyle name="Migliaia 40 3 6" xfId="5578" xr:uid="{00000000-0005-0000-0000-0000C7150000}"/>
    <cellStyle name="Migliaia 40 3 6 2" xfId="5579" xr:uid="{00000000-0005-0000-0000-0000C8150000}"/>
    <cellStyle name="Migliaia 40 3 7" xfId="5580" xr:uid="{00000000-0005-0000-0000-0000C9150000}"/>
    <cellStyle name="Migliaia 40 4" xfId="5581" xr:uid="{00000000-0005-0000-0000-0000CA150000}"/>
    <cellStyle name="Migliaia 40 4 2" xfId="5582" xr:uid="{00000000-0005-0000-0000-0000CB150000}"/>
    <cellStyle name="Migliaia 40 4 2 2" xfId="5583" xr:uid="{00000000-0005-0000-0000-0000CC150000}"/>
    <cellStyle name="Migliaia 40 4 2 2 2" xfId="5584" xr:uid="{00000000-0005-0000-0000-0000CD150000}"/>
    <cellStyle name="Migliaia 40 4 2 3" xfId="5585" xr:uid="{00000000-0005-0000-0000-0000CE150000}"/>
    <cellStyle name="Migliaia 40 4 2 4" xfId="5586" xr:uid="{00000000-0005-0000-0000-0000CF150000}"/>
    <cellStyle name="Migliaia 40 4 2 5" xfId="5587" xr:uid="{00000000-0005-0000-0000-0000D0150000}"/>
    <cellStyle name="Migliaia 40 4 3" xfId="5588" xr:uid="{00000000-0005-0000-0000-0000D1150000}"/>
    <cellStyle name="Migliaia 40 4 4" xfId="5589" xr:uid="{00000000-0005-0000-0000-0000D2150000}"/>
    <cellStyle name="Migliaia 40 4 5" xfId="5590" xr:uid="{00000000-0005-0000-0000-0000D3150000}"/>
    <cellStyle name="Migliaia 40 5" xfId="5591" xr:uid="{00000000-0005-0000-0000-0000D4150000}"/>
    <cellStyle name="Migliaia 40 5 2" xfId="5592" xr:uid="{00000000-0005-0000-0000-0000D5150000}"/>
    <cellStyle name="Migliaia 40 5 3" xfId="5593" xr:uid="{00000000-0005-0000-0000-0000D6150000}"/>
    <cellStyle name="Migliaia 40 6" xfId="5594" xr:uid="{00000000-0005-0000-0000-0000D7150000}"/>
    <cellStyle name="Migliaia 40 6 2" xfId="5595" xr:uid="{00000000-0005-0000-0000-0000D8150000}"/>
    <cellStyle name="Migliaia 40 6 2 2" xfId="5596" xr:uid="{00000000-0005-0000-0000-0000D9150000}"/>
    <cellStyle name="Migliaia 40 6 3" xfId="5597" xr:uid="{00000000-0005-0000-0000-0000DA150000}"/>
    <cellStyle name="Migliaia 40 7" xfId="5598" xr:uid="{00000000-0005-0000-0000-0000DB150000}"/>
    <cellStyle name="Migliaia 40 7 2" xfId="5599" xr:uid="{00000000-0005-0000-0000-0000DC150000}"/>
    <cellStyle name="Migliaia 40 8" xfId="5600" xr:uid="{00000000-0005-0000-0000-0000DD150000}"/>
    <cellStyle name="Migliaia 40 8 2" xfId="5601" xr:uid="{00000000-0005-0000-0000-0000DE150000}"/>
    <cellStyle name="Migliaia 41" xfId="5602" xr:uid="{00000000-0005-0000-0000-0000DF150000}"/>
    <cellStyle name="Migliaia 41 2" xfId="5603" xr:uid="{00000000-0005-0000-0000-0000E0150000}"/>
    <cellStyle name="Migliaia 41 2 2" xfId="5604" xr:uid="{00000000-0005-0000-0000-0000E1150000}"/>
    <cellStyle name="Migliaia 41 2 2 2" xfId="5605" xr:uid="{00000000-0005-0000-0000-0000E2150000}"/>
    <cellStyle name="Migliaia 41 2 2 2 2" xfId="5606" xr:uid="{00000000-0005-0000-0000-0000E3150000}"/>
    <cellStyle name="Migliaia 41 2 2 2 3" xfId="5607" xr:uid="{00000000-0005-0000-0000-0000E4150000}"/>
    <cellStyle name="Migliaia 41 2 2 3" xfId="5608" xr:uid="{00000000-0005-0000-0000-0000E5150000}"/>
    <cellStyle name="Migliaia 41 2 2 4" xfId="5609" xr:uid="{00000000-0005-0000-0000-0000E6150000}"/>
    <cellStyle name="Migliaia 41 2 3" xfId="5610" xr:uid="{00000000-0005-0000-0000-0000E7150000}"/>
    <cellStyle name="Migliaia 41 2 3 2" xfId="5611" xr:uid="{00000000-0005-0000-0000-0000E8150000}"/>
    <cellStyle name="Migliaia 41 2 4" xfId="5612" xr:uid="{00000000-0005-0000-0000-0000E9150000}"/>
    <cellStyle name="Migliaia 41 2 4 2" xfId="5613" xr:uid="{00000000-0005-0000-0000-0000EA150000}"/>
    <cellStyle name="Migliaia 41 2 5" xfId="5614" xr:uid="{00000000-0005-0000-0000-0000EB150000}"/>
    <cellStyle name="Migliaia 41 3" xfId="5615" xr:uid="{00000000-0005-0000-0000-0000EC150000}"/>
    <cellStyle name="Migliaia 41 3 2" xfId="5616" xr:uid="{00000000-0005-0000-0000-0000ED150000}"/>
    <cellStyle name="Migliaia 41 3 2 2" xfId="5617" xr:uid="{00000000-0005-0000-0000-0000EE150000}"/>
    <cellStyle name="Migliaia 41 3 2 2 2" xfId="5618" xr:uid="{00000000-0005-0000-0000-0000EF150000}"/>
    <cellStyle name="Migliaia 41 3 2 2 3" xfId="5619" xr:uid="{00000000-0005-0000-0000-0000F0150000}"/>
    <cellStyle name="Migliaia 41 3 2 3" xfId="5620" xr:uid="{00000000-0005-0000-0000-0000F1150000}"/>
    <cellStyle name="Migliaia 41 3 2 3 2" xfId="5621" xr:uid="{00000000-0005-0000-0000-0000F2150000}"/>
    <cellStyle name="Migliaia 41 3 2 4" xfId="5622" xr:uid="{00000000-0005-0000-0000-0000F3150000}"/>
    <cellStyle name="Migliaia 41 3 3" xfId="5623" xr:uid="{00000000-0005-0000-0000-0000F4150000}"/>
    <cellStyle name="Migliaia 41 3 3 2" xfId="5624" xr:uid="{00000000-0005-0000-0000-0000F5150000}"/>
    <cellStyle name="Migliaia 41 3 3 2 2" xfId="5625" xr:uid="{00000000-0005-0000-0000-0000F6150000}"/>
    <cellStyle name="Migliaia 41 3 3 3" xfId="5626" xr:uid="{00000000-0005-0000-0000-0000F7150000}"/>
    <cellStyle name="Migliaia 41 3 4" xfId="5627" xr:uid="{00000000-0005-0000-0000-0000F8150000}"/>
    <cellStyle name="Migliaia 41 3 4 2" xfId="5628" xr:uid="{00000000-0005-0000-0000-0000F9150000}"/>
    <cellStyle name="Migliaia 41 3 4 2 2" xfId="5629" xr:uid="{00000000-0005-0000-0000-0000FA150000}"/>
    <cellStyle name="Migliaia 41 3 4 3" xfId="5630" xr:uid="{00000000-0005-0000-0000-0000FB150000}"/>
    <cellStyle name="Migliaia 41 3 5" xfId="5631" xr:uid="{00000000-0005-0000-0000-0000FC150000}"/>
    <cellStyle name="Migliaia 41 3 5 2" xfId="5632" xr:uid="{00000000-0005-0000-0000-0000FD150000}"/>
    <cellStyle name="Migliaia 41 3 6" xfId="5633" xr:uid="{00000000-0005-0000-0000-0000FE150000}"/>
    <cellStyle name="Migliaia 41 3 6 2" xfId="5634" xr:uid="{00000000-0005-0000-0000-0000FF150000}"/>
    <cellStyle name="Migliaia 41 3 7" xfId="5635" xr:uid="{00000000-0005-0000-0000-000000160000}"/>
    <cellStyle name="Migliaia 41 4" xfId="5636" xr:uid="{00000000-0005-0000-0000-000001160000}"/>
    <cellStyle name="Migliaia 41 4 2" xfId="5637" xr:uid="{00000000-0005-0000-0000-000002160000}"/>
    <cellStyle name="Migliaia 41 4 2 2" xfId="5638" xr:uid="{00000000-0005-0000-0000-000003160000}"/>
    <cellStyle name="Migliaia 41 4 2 2 2" xfId="5639" xr:uid="{00000000-0005-0000-0000-000004160000}"/>
    <cellStyle name="Migliaia 41 4 2 3" xfId="5640" xr:uid="{00000000-0005-0000-0000-000005160000}"/>
    <cellStyle name="Migliaia 41 4 2 4" xfId="5641" xr:uid="{00000000-0005-0000-0000-000006160000}"/>
    <cellStyle name="Migliaia 41 4 2 5" xfId="5642" xr:uid="{00000000-0005-0000-0000-000007160000}"/>
    <cellStyle name="Migliaia 41 4 3" xfId="5643" xr:uid="{00000000-0005-0000-0000-000008160000}"/>
    <cellStyle name="Migliaia 41 4 4" xfId="5644" xr:uid="{00000000-0005-0000-0000-000009160000}"/>
    <cellStyle name="Migliaia 41 4 5" xfId="5645" xr:uid="{00000000-0005-0000-0000-00000A160000}"/>
    <cellStyle name="Migliaia 41 5" xfId="5646" xr:uid="{00000000-0005-0000-0000-00000B160000}"/>
    <cellStyle name="Migliaia 41 5 2" xfId="5647" xr:uid="{00000000-0005-0000-0000-00000C160000}"/>
    <cellStyle name="Migliaia 41 5 3" xfId="5648" xr:uid="{00000000-0005-0000-0000-00000D160000}"/>
    <cellStyle name="Migliaia 41 6" xfId="5649" xr:uid="{00000000-0005-0000-0000-00000E160000}"/>
    <cellStyle name="Migliaia 41 6 2" xfId="5650" xr:uid="{00000000-0005-0000-0000-00000F160000}"/>
    <cellStyle name="Migliaia 41 6 2 2" xfId="5651" xr:uid="{00000000-0005-0000-0000-000010160000}"/>
    <cellStyle name="Migliaia 41 6 3" xfId="5652" xr:uid="{00000000-0005-0000-0000-000011160000}"/>
    <cellStyle name="Migliaia 41 7" xfId="5653" xr:uid="{00000000-0005-0000-0000-000012160000}"/>
    <cellStyle name="Migliaia 41 7 2" xfId="5654" xr:uid="{00000000-0005-0000-0000-000013160000}"/>
    <cellStyle name="Migliaia 41 8" xfId="5655" xr:uid="{00000000-0005-0000-0000-000014160000}"/>
    <cellStyle name="Migliaia 41 8 2" xfId="5656" xr:uid="{00000000-0005-0000-0000-000015160000}"/>
    <cellStyle name="Migliaia 42" xfId="5657" xr:uid="{00000000-0005-0000-0000-000016160000}"/>
    <cellStyle name="Migliaia 42 2" xfId="5658" xr:uid="{00000000-0005-0000-0000-000017160000}"/>
    <cellStyle name="Migliaia 42 2 2" xfId="5659" xr:uid="{00000000-0005-0000-0000-000018160000}"/>
    <cellStyle name="Migliaia 42 2 2 2" xfId="5660" xr:uid="{00000000-0005-0000-0000-000019160000}"/>
    <cellStyle name="Migliaia 42 2 2 2 2" xfId="5661" xr:uid="{00000000-0005-0000-0000-00001A160000}"/>
    <cellStyle name="Migliaia 42 2 2 2 3" xfId="5662" xr:uid="{00000000-0005-0000-0000-00001B160000}"/>
    <cellStyle name="Migliaia 42 2 2 3" xfId="5663" xr:uid="{00000000-0005-0000-0000-00001C160000}"/>
    <cellStyle name="Migliaia 42 2 2 4" xfId="5664" xr:uid="{00000000-0005-0000-0000-00001D160000}"/>
    <cellStyle name="Migliaia 42 2 3" xfId="5665" xr:uid="{00000000-0005-0000-0000-00001E160000}"/>
    <cellStyle name="Migliaia 42 2 3 2" xfId="5666" xr:uid="{00000000-0005-0000-0000-00001F160000}"/>
    <cellStyle name="Migliaia 42 2 4" xfId="5667" xr:uid="{00000000-0005-0000-0000-000020160000}"/>
    <cellStyle name="Migliaia 42 2 4 2" xfId="5668" xr:uid="{00000000-0005-0000-0000-000021160000}"/>
    <cellStyle name="Migliaia 42 2 5" xfId="5669" xr:uid="{00000000-0005-0000-0000-000022160000}"/>
    <cellStyle name="Migliaia 42 3" xfId="5670" xr:uid="{00000000-0005-0000-0000-000023160000}"/>
    <cellStyle name="Migliaia 42 3 2" xfId="5671" xr:uid="{00000000-0005-0000-0000-000024160000}"/>
    <cellStyle name="Migliaia 42 3 2 2" xfId="5672" xr:uid="{00000000-0005-0000-0000-000025160000}"/>
    <cellStyle name="Migliaia 42 3 2 2 2" xfId="5673" xr:uid="{00000000-0005-0000-0000-000026160000}"/>
    <cellStyle name="Migliaia 42 3 2 2 3" xfId="5674" xr:uid="{00000000-0005-0000-0000-000027160000}"/>
    <cellStyle name="Migliaia 42 3 2 3" xfId="5675" xr:uid="{00000000-0005-0000-0000-000028160000}"/>
    <cellStyle name="Migliaia 42 3 2 3 2" xfId="5676" xr:uid="{00000000-0005-0000-0000-000029160000}"/>
    <cellStyle name="Migliaia 42 3 2 4" xfId="5677" xr:uid="{00000000-0005-0000-0000-00002A160000}"/>
    <cellStyle name="Migliaia 42 3 3" xfId="5678" xr:uid="{00000000-0005-0000-0000-00002B160000}"/>
    <cellStyle name="Migliaia 42 3 3 2" xfId="5679" xr:uid="{00000000-0005-0000-0000-00002C160000}"/>
    <cellStyle name="Migliaia 42 3 3 2 2" xfId="5680" xr:uid="{00000000-0005-0000-0000-00002D160000}"/>
    <cellStyle name="Migliaia 42 3 3 3" xfId="5681" xr:uid="{00000000-0005-0000-0000-00002E160000}"/>
    <cellStyle name="Migliaia 42 3 4" xfId="5682" xr:uid="{00000000-0005-0000-0000-00002F160000}"/>
    <cellStyle name="Migliaia 42 3 4 2" xfId="5683" xr:uid="{00000000-0005-0000-0000-000030160000}"/>
    <cellStyle name="Migliaia 42 3 4 2 2" xfId="5684" xr:uid="{00000000-0005-0000-0000-000031160000}"/>
    <cellStyle name="Migliaia 42 3 4 3" xfId="5685" xr:uid="{00000000-0005-0000-0000-000032160000}"/>
    <cellStyle name="Migliaia 42 3 5" xfId="5686" xr:uid="{00000000-0005-0000-0000-000033160000}"/>
    <cellStyle name="Migliaia 42 3 5 2" xfId="5687" xr:uid="{00000000-0005-0000-0000-000034160000}"/>
    <cellStyle name="Migliaia 42 3 6" xfId="5688" xr:uid="{00000000-0005-0000-0000-000035160000}"/>
    <cellStyle name="Migliaia 42 3 6 2" xfId="5689" xr:uid="{00000000-0005-0000-0000-000036160000}"/>
    <cellStyle name="Migliaia 42 3 7" xfId="5690" xr:uid="{00000000-0005-0000-0000-000037160000}"/>
    <cellStyle name="Migliaia 42 4" xfId="5691" xr:uid="{00000000-0005-0000-0000-000038160000}"/>
    <cellStyle name="Migliaia 42 4 2" xfId="5692" xr:uid="{00000000-0005-0000-0000-000039160000}"/>
    <cellStyle name="Migliaia 42 4 2 2" xfId="5693" xr:uid="{00000000-0005-0000-0000-00003A160000}"/>
    <cellStyle name="Migliaia 42 4 2 2 2" xfId="5694" xr:uid="{00000000-0005-0000-0000-00003B160000}"/>
    <cellStyle name="Migliaia 42 4 2 3" xfId="5695" xr:uid="{00000000-0005-0000-0000-00003C160000}"/>
    <cellStyle name="Migliaia 42 4 2 4" xfId="5696" xr:uid="{00000000-0005-0000-0000-00003D160000}"/>
    <cellStyle name="Migliaia 42 4 2 5" xfId="5697" xr:uid="{00000000-0005-0000-0000-00003E160000}"/>
    <cellStyle name="Migliaia 42 4 3" xfId="5698" xr:uid="{00000000-0005-0000-0000-00003F160000}"/>
    <cellStyle name="Migliaia 42 4 4" xfId="5699" xr:uid="{00000000-0005-0000-0000-000040160000}"/>
    <cellStyle name="Migliaia 42 4 5" xfId="5700" xr:uid="{00000000-0005-0000-0000-000041160000}"/>
    <cellStyle name="Migliaia 42 5" xfId="5701" xr:uid="{00000000-0005-0000-0000-000042160000}"/>
    <cellStyle name="Migliaia 42 5 2" xfId="5702" xr:uid="{00000000-0005-0000-0000-000043160000}"/>
    <cellStyle name="Migliaia 42 5 3" xfId="5703" xr:uid="{00000000-0005-0000-0000-000044160000}"/>
    <cellStyle name="Migliaia 42 6" xfId="5704" xr:uid="{00000000-0005-0000-0000-000045160000}"/>
    <cellStyle name="Migliaia 42 6 2" xfId="5705" xr:uid="{00000000-0005-0000-0000-000046160000}"/>
    <cellStyle name="Migliaia 42 6 2 2" xfId="5706" xr:uid="{00000000-0005-0000-0000-000047160000}"/>
    <cellStyle name="Migliaia 42 6 3" xfId="5707" xr:uid="{00000000-0005-0000-0000-000048160000}"/>
    <cellStyle name="Migliaia 42 7" xfId="5708" xr:uid="{00000000-0005-0000-0000-000049160000}"/>
    <cellStyle name="Migliaia 42 7 2" xfId="5709" xr:uid="{00000000-0005-0000-0000-00004A160000}"/>
    <cellStyle name="Migliaia 42 8" xfId="5710" xr:uid="{00000000-0005-0000-0000-00004B160000}"/>
    <cellStyle name="Migliaia 42 8 2" xfId="5711" xr:uid="{00000000-0005-0000-0000-00004C160000}"/>
    <cellStyle name="Migliaia 43" xfId="5712" xr:uid="{00000000-0005-0000-0000-00004D160000}"/>
    <cellStyle name="Migliaia 43 2" xfId="5713" xr:uid="{00000000-0005-0000-0000-00004E160000}"/>
    <cellStyle name="Migliaia 43 2 2" xfId="5714" xr:uid="{00000000-0005-0000-0000-00004F160000}"/>
    <cellStyle name="Migliaia 43 2 2 2" xfId="5715" xr:uid="{00000000-0005-0000-0000-000050160000}"/>
    <cellStyle name="Migliaia 43 2 2 2 2" xfId="5716" xr:uid="{00000000-0005-0000-0000-000051160000}"/>
    <cellStyle name="Migliaia 43 2 2 2 3" xfId="5717" xr:uid="{00000000-0005-0000-0000-000052160000}"/>
    <cellStyle name="Migliaia 43 2 2 3" xfId="5718" xr:uid="{00000000-0005-0000-0000-000053160000}"/>
    <cellStyle name="Migliaia 43 2 2 4" xfId="5719" xr:uid="{00000000-0005-0000-0000-000054160000}"/>
    <cellStyle name="Migliaia 43 2 3" xfId="5720" xr:uid="{00000000-0005-0000-0000-000055160000}"/>
    <cellStyle name="Migliaia 43 2 3 2" xfId="5721" xr:uid="{00000000-0005-0000-0000-000056160000}"/>
    <cellStyle name="Migliaia 43 2 4" xfId="5722" xr:uid="{00000000-0005-0000-0000-000057160000}"/>
    <cellStyle name="Migliaia 43 2 4 2" xfId="5723" xr:uid="{00000000-0005-0000-0000-000058160000}"/>
    <cellStyle name="Migliaia 43 2 5" xfId="5724" xr:uid="{00000000-0005-0000-0000-000059160000}"/>
    <cellStyle name="Migliaia 43 3" xfId="5725" xr:uid="{00000000-0005-0000-0000-00005A160000}"/>
    <cellStyle name="Migliaia 43 3 2" xfId="5726" xr:uid="{00000000-0005-0000-0000-00005B160000}"/>
    <cellStyle name="Migliaia 43 3 2 2" xfId="5727" xr:uid="{00000000-0005-0000-0000-00005C160000}"/>
    <cellStyle name="Migliaia 43 3 2 2 2" xfId="5728" xr:uid="{00000000-0005-0000-0000-00005D160000}"/>
    <cellStyle name="Migliaia 43 3 2 2 3" xfId="5729" xr:uid="{00000000-0005-0000-0000-00005E160000}"/>
    <cellStyle name="Migliaia 43 3 2 3" xfId="5730" xr:uid="{00000000-0005-0000-0000-00005F160000}"/>
    <cellStyle name="Migliaia 43 3 2 3 2" xfId="5731" xr:uid="{00000000-0005-0000-0000-000060160000}"/>
    <cellStyle name="Migliaia 43 3 2 4" xfId="5732" xr:uid="{00000000-0005-0000-0000-000061160000}"/>
    <cellStyle name="Migliaia 43 3 3" xfId="5733" xr:uid="{00000000-0005-0000-0000-000062160000}"/>
    <cellStyle name="Migliaia 43 3 3 2" xfId="5734" xr:uid="{00000000-0005-0000-0000-000063160000}"/>
    <cellStyle name="Migliaia 43 3 3 2 2" xfId="5735" xr:uid="{00000000-0005-0000-0000-000064160000}"/>
    <cellStyle name="Migliaia 43 3 3 3" xfId="5736" xr:uid="{00000000-0005-0000-0000-000065160000}"/>
    <cellStyle name="Migliaia 43 3 4" xfId="5737" xr:uid="{00000000-0005-0000-0000-000066160000}"/>
    <cellStyle name="Migliaia 43 3 4 2" xfId="5738" xr:uid="{00000000-0005-0000-0000-000067160000}"/>
    <cellStyle name="Migliaia 43 3 4 2 2" xfId="5739" xr:uid="{00000000-0005-0000-0000-000068160000}"/>
    <cellStyle name="Migliaia 43 3 4 3" xfId="5740" xr:uid="{00000000-0005-0000-0000-000069160000}"/>
    <cellStyle name="Migliaia 43 3 5" xfId="5741" xr:uid="{00000000-0005-0000-0000-00006A160000}"/>
    <cellStyle name="Migliaia 43 3 5 2" xfId="5742" xr:uid="{00000000-0005-0000-0000-00006B160000}"/>
    <cellStyle name="Migliaia 43 3 6" xfId="5743" xr:uid="{00000000-0005-0000-0000-00006C160000}"/>
    <cellStyle name="Migliaia 43 3 6 2" xfId="5744" xr:uid="{00000000-0005-0000-0000-00006D160000}"/>
    <cellStyle name="Migliaia 43 3 7" xfId="5745" xr:uid="{00000000-0005-0000-0000-00006E160000}"/>
    <cellStyle name="Migliaia 43 4" xfId="5746" xr:uid="{00000000-0005-0000-0000-00006F160000}"/>
    <cellStyle name="Migliaia 43 4 2" xfId="5747" xr:uid="{00000000-0005-0000-0000-000070160000}"/>
    <cellStyle name="Migliaia 43 4 2 2" xfId="5748" xr:uid="{00000000-0005-0000-0000-000071160000}"/>
    <cellStyle name="Migliaia 43 4 2 2 2" xfId="5749" xr:uid="{00000000-0005-0000-0000-000072160000}"/>
    <cellStyle name="Migliaia 43 4 2 3" xfId="5750" xr:uid="{00000000-0005-0000-0000-000073160000}"/>
    <cellStyle name="Migliaia 43 4 2 4" xfId="5751" xr:uid="{00000000-0005-0000-0000-000074160000}"/>
    <cellStyle name="Migliaia 43 4 2 5" xfId="5752" xr:uid="{00000000-0005-0000-0000-000075160000}"/>
    <cellStyle name="Migliaia 43 4 3" xfId="5753" xr:uid="{00000000-0005-0000-0000-000076160000}"/>
    <cellStyle name="Migliaia 43 4 4" xfId="5754" xr:uid="{00000000-0005-0000-0000-000077160000}"/>
    <cellStyle name="Migliaia 43 4 5" xfId="5755" xr:uid="{00000000-0005-0000-0000-000078160000}"/>
    <cellStyle name="Migliaia 43 5" xfId="5756" xr:uid="{00000000-0005-0000-0000-000079160000}"/>
    <cellStyle name="Migliaia 43 5 2" xfId="5757" xr:uid="{00000000-0005-0000-0000-00007A160000}"/>
    <cellStyle name="Migliaia 43 5 3" xfId="5758" xr:uid="{00000000-0005-0000-0000-00007B160000}"/>
    <cellStyle name="Migliaia 43 6" xfId="5759" xr:uid="{00000000-0005-0000-0000-00007C160000}"/>
    <cellStyle name="Migliaia 43 6 2" xfId="5760" xr:uid="{00000000-0005-0000-0000-00007D160000}"/>
    <cellStyle name="Migliaia 43 6 2 2" xfId="5761" xr:uid="{00000000-0005-0000-0000-00007E160000}"/>
    <cellStyle name="Migliaia 43 6 3" xfId="5762" xr:uid="{00000000-0005-0000-0000-00007F160000}"/>
    <cellStyle name="Migliaia 43 7" xfId="5763" xr:uid="{00000000-0005-0000-0000-000080160000}"/>
    <cellStyle name="Migliaia 43 7 2" xfId="5764" xr:uid="{00000000-0005-0000-0000-000081160000}"/>
    <cellStyle name="Migliaia 43 8" xfId="5765" xr:uid="{00000000-0005-0000-0000-000082160000}"/>
    <cellStyle name="Migliaia 43 8 2" xfId="5766" xr:uid="{00000000-0005-0000-0000-000083160000}"/>
    <cellStyle name="Migliaia 44" xfId="5767" xr:uid="{00000000-0005-0000-0000-000084160000}"/>
    <cellStyle name="Migliaia 44 2" xfId="5768" xr:uid="{00000000-0005-0000-0000-000085160000}"/>
    <cellStyle name="Migliaia 44 2 2" xfId="5769" xr:uid="{00000000-0005-0000-0000-000086160000}"/>
    <cellStyle name="Migliaia 44 2 2 2" xfId="5770" xr:uid="{00000000-0005-0000-0000-000087160000}"/>
    <cellStyle name="Migliaia 44 2 2 2 2" xfId="5771" xr:uid="{00000000-0005-0000-0000-000088160000}"/>
    <cellStyle name="Migliaia 44 2 2 2 3" xfId="5772" xr:uid="{00000000-0005-0000-0000-000089160000}"/>
    <cellStyle name="Migliaia 44 2 2 3" xfId="5773" xr:uid="{00000000-0005-0000-0000-00008A160000}"/>
    <cellStyle name="Migliaia 44 2 2 4" xfId="5774" xr:uid="{00000000-0005-0000-0000-00008B160000}"/>
    <cellStyle name="Migliaia 44 2 3" xfId="5775" xr:uid="{00000000-0005-0000-0000-00008C160000}"/>
    <cellStyle name="Migliaia 44 2 3 2" xfId="5776" xr:uid="{00000000-0005-0000-0000-00008D160000}"/>
    <cellStyle name="Migliaia 44 2 4" xfId="5777" xr:uid="{00000000-0005-0000-0000-00008E160000}"/>
    <cellStyle name="Migliaia 44 2 4 2" xfId="5778" xr:uid="{00000000-0005-0000-0000-00008F160000}"/>
    <cellStyle name="Migliaia 44 2 5" xfId="5779" xr:uid="{00000000-0005-0000-0000-000090160000}"/>
    <cellStyle name="Migliaia 44 3" xfId="5780" xr:uid="{00000000-0005-0000-0000-000091160000}"/>
    <cellStyle name="Migliaia 44 3 2" xfId="5781" xr:uid="{00000000-0005-0000-0000-000092160000}"/>
    <cellStyle name="Migliaia 44 3 2 2" xfId="5782" xr:uid="{00000000-0005-0000-0000-000093160000}"/>
    <cellStyle name="Migliaia 44 3 2 2 2" xfId="5783" xr:uid="{00000000-0005-0000-0000-000094160000}"/>
    <cellStyle name="Migliaia 44 3 2 2 3" xfId="5784" xr:uid="{00000000-0005-0000-0000-000095160000}"/>
    <cellStyle name="Migliaia 44 3 2 3" xfId="5785" xr:uid="{00000000-0005-0000-0000-000096160000}"/>
    <cellStyle name="Migliaia 44 3 2 3 2" xfId="5786" xr:uid="{00000000-0005-0000-0000-000097160000}"/>
    <cellStyle name="Migliaia 44 3 2 4" xfId="5787" xr:uid="{00000000-0005-0000-0000-000098160000}"/>
    <cellStyle name="Migliaia 44 3 3" xfId="5788" xr:uid="{00000000-0005-0000-0000-000099160000}"/>
    <cellStyle name="Migliaia 44 3 3 2" xfId="5789" xr:uid="{00000000-0005-0000-0000-00009A160000}"/>
    <cellStyle name="Migliaia 44 3 3 2 2" xfId="5790" xr:uid="{00000000-0005-0000-0000-00009B160000}"/>
    <cellStyle name="Migliaia 44 3 3 3" xfId="5791" xr:uid="{00000000-0005-0000-0000-00009C160000}"/>
    <cellStyle name="Migliaia 44 3 4" xfId="5792" xr:uid="{00000000-0005-0000-0000-00009D160000}"/>
    <cellStyle name="Migliaia 44 3 4 2" xfId="5793" xr:uid="{00000000-0005-0000-0000-00009E160000}"/>
    <cellStyle name="Migliaia 44 3 4 2 2" xfId="5794" xr:uid="{00000000-0005-0000-0000-00009F160000}"/>
    <cellStyle name="Migliaia 44 3 4 3" xfId="5795" xr:uid="{00000000-0005-0000-0000-0000A0160000}"/>
    <cellStyle name="Migliaia 44 3 5" xfId="5796" xr:uid="{00000000-0005-0000-0000-0000A1160000}"/>
    <cellStyle name="Migliaia 44 3 5 2" xfId="5797" xr:uid="{00000000-0005-0000-0000-0000A2160000}"/>
    <cellStyle name="Migliaia 44 3 6" xfId="5798" xr:uid="{00000000-0005-0000-0000-0000A3160000}"/>
    <cellStyle name="Migliaia 44 3 6 2" xfId="5799" xr:uid="{00000000-0005-0000-0000-0000A4160000}"/>
    <cellStyle name="Migliaia 44 3 7" xfId="5800" xr:uid="{00000000-0005-0000-0000-0000A5160000}"/>
    <cellStyle name="Migliaia 44 4" xfId="5801" xr:uid="{00000000-0005-0000-0000-0000A6160000}"/>
    <cellStyle name="Migliaia 44 4 2" xfId="5802" xr:uid="{00000000-0005-0000-0000-0000A7160000}"/>
    <cellStyle name="Migliaia 44 4 2 2" xfId="5803" xr:uid="{00000000-0005-0000-0000-0000A8160000}"/>
    <cellStyle name="Migliaia 44 4 2 2 2" xfId="5804" xr:uid="{00000000-0005-0000-0000-0000A9160000}"/>
    <cellStyle name="Migliaia 44 4 2 3" xfId="5805" xr:uid="{00000000-0005-0000-0000-0000AA160000}"/>
    <cellStyle name="Migliaia 44 4 2 4" xfId="5806" xr:uid="{00000000-0005-0000-0000-0000AB160000}"/>
    <cellStyle name="Migliaia 44 4 2 5" xfId="5807" xr:uid="{00000000-0005-0000-0000-0000AC160000}"/>
    <cellStyle name="Migliaia 44 4 3" xfId="5808" xr:uid="{00000000-0005-0000-0000-0000AD160000}"/>
    <cellStyle name="Migliaia 44 4 4" xfId="5809" xr:uid="{00000000-0005-0000-0000-0000AE160000}"/>
    <cellStyle name="Migliaia 44 4 5" xfId="5810" xr:uid="{00000000-0005-0000-0000-0000AF160000}"/>
    <cellStyle name="Migliaia 44 5" xfId="5811" xr:uid="{00000000-0005-0000-0000-0000B0160000}"/>
    <cellStyle name="Migliaia 44 5 2" xfId="5812" xr:uid="{00000000-0005-0000-0000-0000B1160000}"/>
    <cellStyle name="Migliaia 44 5 3" xfId="5813" xr:uid="{00000000-0005-0000-0000-0000B2160000}"/>
    <cellStyle name="Migliaia 44 6" xfId="5814" xr:uid="{00000000-0005-0000-0000-0000B3160000}"/>
    <cellStyle name="Migliaia 44 6 2" xfId="5815" xr:uid="{00000000-0005-0000-0000-0000B4160000}"/>
    <cellStyle name="Migliaia 44 6 2 2" xfId="5816" xr:uid="{00000000-0005-0000-0000-0000B5160000}"/>
    <cellStyle name="Migliaia 44 6 3" xfId="5817" xr:uid="{00000000-0005-0000-0000-0000B6160000}"/>
    <cellStyle name="Migliaia 44 7" xfId="5818" xr:uid="{00000000-0005-0000-0000-0000B7160000}"/>
    <cellStyle name="Migliaia 44 7 2" xfId="5819" xr:uid="{00000000-0005-0000-0000-0000B8160000}"/>
    <cellStyle name="Migliaia 44 8" xfId="5820" xr:uid="{00000000-0005-0000-0000-0000B9160000}"/>
    <cellStyle name="Migliaia 44 8 2" xfId="5821" xr:uid="{00000000-0005-0000-0000-0000BA160000}"/>
    <cellStyle name="Migliaia 45" xfId="5822" xr:uid="{00000000-0005-0000-0000-0000BB160000}"/>
    <cellStyle name="Migliaia 45 2" xfId="5823" xr:uid="{00000000-0005-0000-0000-0000BC160000}"/>
    <cellStyle name="Migliaia 45 2 2" xfId="5824" xr:uid="{00000000-0005-0000-0000-0000BD160000}"/>
    <cellStyle name="Migliaia 45 2 2 2" xfId="5825" xr:uid="{00000000-0005-0000-0000-0000BE160000}"/>
    <cellStyle name="Migliaia 45 2 2 2 2" xfId="5826" xr:uid="{00000000-0005-0000-0000-0000BF160000}"/>
    <cellStyle name="Migliaia 45 2 2 2 3" xfId="5827" xr:uid="{00000000-0005-0000-0000-0000C0160000}"/>
    <cellStyle name="Migliaia 45 2 2 3" xfId="5828" xr:uid="{00000000-0005-0000-0000-0000C1160000}"/>
    <cellStyle name="Migliaia 45 2 2 4" xfId="5829" xr:uid="{00000000-0005-0000-0000-0000C2160000}"/>
    <cellStyle name="Migliaia 45 2 3" xfId="5830" xr:uid="{00000000-0005-0000-0000-0000C3160000}"/>
    <cellStyle name="Migliaia 45 2 3 2" xfId="5831" xr:uid="{00000000-0005-0000-0000-0000C4160000}"/>
    <cellStyle name="Migliaia 45 2 4" xfId="5832" xr:uid="{00000000-0005-0000-0000-0000C5160000}"/>
    <cellStyle name="Migliaia 45 2 4 2" xfId="5833" xr:uid="{00000000-0005-0000-0000-0000C6160000}"/>
    <cellStyle name="Migliaia 45 2 5" xfId="5834" xr:uid="{00000000-0005-0000-0000-0000C7160000}"/>
    <cellStyle name="Migliaia 45 3" xfId="5835" xr:uid="{00000000-0005-0000-0000-0000C8160000}"/>
    <cellStyle name="Migliaia 45 3 2" xfId="5836" xr:uid="{00000000-0005-0000-0000-0000C9160000}"/>
    <cellStyle name="Migliaia 45 3 2 2" xfId="5837" xr:uid="{00000000-0005-0000-0000-0000CA160000}"/>
    <cellStyle name="Migliaia 45 3 2 2 2" xfId="5838" xr:uid="{00000000-0005-0000-0000-0000CB160000}"/>
    <cellStyle name="Migliaia 45 3 2 2 3" xfId="5839" xr:uid="{00000000-0005-0000-0000-0000CC160000}"/>
    <cellStyle name="Migliaia 45 3 2 3" xfId="5840" xr:uid="{00000000-0005-0000-0000-0000CD160000}"/>
    <cellStyle name="Migliaia 45 3 2 3 2" xfId="5841" xr:uid="{00000000-0005-0000-0000-0000CE160000}"/>
    <cellStyle name="Migliaia 45 3 2 4" xfId="5842" xr:uid="{00000000-0005-0000-0000-0000CF160000}"/>
    <cellStyle name="Migliaia 45 3 3" xfId="5843" xr:uid="{00000000-0005-0000-0000-0000D0160000}"/>
    <cellStyle name="Migliaia 45 3 3 2" xfId="5844" xr:uid="{00000000-0005-0000-0000-0000D1160000}"/>
    <cellStyle name="Migliaia 45 3 3 2 2" xfId="5845" xr:uid="{00000000-0005-0000-0000-0000D2160000}"/>
    <cellStyle name="Migliaia 45 3 3 3" xfId="5846" xr:uid="{00000000-0005-0000-0000-0000D3160000}"/>
    <cellStyle name="Migliaia 45 3 4" xfId="5847" xr:uid="{00000000-0005-0000-0000-0000D4160000}"/>
    <cellStyle name="Migliaia 45 3 4 2" xfId="5848" xr:uid="{00000000-0005-0000-0000-0000D5160000}"/>
    <cellStyle name="Migliaia 45 3 4 2 2" xfId="5849" xr:uid="{00000000-0005-0000-0000-0000D6160000}"/>
    <cellStyle name="Migliaia 45 3 4 3" xfId="5850" xr:uid="{00000000-0005-0000-0000-0000D7160000}"/>
    <cellStyle name="Migliaia 45 3 5" xfId="5851" xr:uid="{00000000-0005-0000-0000-0000D8160000}"/>
    <cellStyle name="Migliaia 45 3 5 2" xfId="5852" xr:uid="{00000000-0005-0000-0000-0000D9160000}"/>
    <cellStyle name="Migliaia 45 3 6" xfId="5853" xr:uid="{00000000-0005-0000-0000-0000DA160000}"/>
    <cellStyle name="Migliaia 45 3 6 2" xfId="5854" xr:uid="{00000000-0005-0000-0000-0000DB160000}"/>
    <cellStyle name="Migliaia 45 3 7" xfId="5855" xr:uid="{00000000-0005-0000-0000-0000DC160000}"/>
    <cellStyle name="Migliaia 45 4" xfId="5856" xr:uid="{00000000-0005-0000-0000-0000DD160000}"/>
    <cellStyle name="Migliaia 45 4 2" xfId="5857" xr:uid="{00000000-0005-0000-0000-0000DE160000}"/>
    <cellStyle name="Migliaia 45 4 2 2" xfId="5858" xr:uid="{00000000-0005-0000-0000-0000DF160000}"/>
    <cellStyle name="Migliaia 45 4 2 2 2" xfId="5859" xr:uid="{00000000-0005-0000-0000-0000E0160000}"/>
    <cellStyle name="Migliaia 45 4 2 3" xfId="5860" xr:uid="{00000000-0005-0000-0000-0000E1160000}"/>
    <cellStyle name="Migliaia 45 4 2 4" xfId="5861" xr:uid="{00000000-0005-0000-0000-0000E2160000}"/>
    <cellStyle name="Migliaia 45 4 2 5" xfId="5862" xr:uid="{00000000-0005-0000-0000-0000E3160000}"/>
    <cellStyle name="Migliaia 45 4 3" xfId="5863" xr:uid="{00000000-0005-0000-0000-0000E4160000}"/>
    <cellStyle name="Migliaia 45 4 4" xfId="5864" xr:uid="{00000000-0005-0000-0000-0000E5160000}"/>
    <cellStyle name="Migliaia 45 4 5" xfId="5865" xr:uid="{00000000-0005-0000-0000-0000E6160000}"/>
    <cellStyle name="Migliaia 45 5" xfId="5866" xr:uid="{00000000-0005-0000-0000-0000E7160000}"/>
    <cellStyle name="Migliaia 45 5 2" xfId="5867" xr:uid="{00000000-0005-0000-0000-0000E8160000}"/>
    <cellStyle name="Migliaia 45 5 3" xfId="5868" xr:uid="{00000000-0005-0000-0000-0000E9160000}"/>
    <cellStyle name="Migliaia 45 6" xfId="5869" xr:uid="{00000000-0005-0000-0000-0000EA160000}"/>
    <cellStyle name="Migliaia 45 6 2" xfId="5870" xr:uid="{00000000-0005-0000-0000-0000EB160000}"/>
    <cellStyle name="Migliaia 45 6 2 2" xfId="5871" xr:uid="{00000000-0005-0000-0000-0000EC160000}"/>
    <cellStyle name="Migliaia 45 6 3" xfId="5872" xr:uid="{00000000-0005-0000-0000-0000ED160000}"/>
    <cellStyle name="Migliaia 45 7" xfId="5873" xr:uid="{00000000-0005-0000-0000-0000EE160000}"/>
    <cellStyle name="Migliaia 45 7 2" xfId="5874" xr:uid="{00000000-0005-0000-0000-0000EF160000}"/>
    <cellStyle name="Migliaia 45 8" xfId="5875" xr:uid="{00000000-0005-0000-0000-0000F0160000}"/>
    <cellStyle name="Migliaia 45 8 2" xfId="5876" xr:uid="{00000000-0005-0000-0000-0000F1160000}"/>
    <cellStyle name="Migliaia 46" xfId="5877" xr:uid="{00000000-0005-0000-0000-0000F2160000}"/>
    <cellStyle name="Migliaia 46 2" xfId="5878" xr:uid="{00000000-0005-0000-0000-0000F3160000}"/>
    <cellStyle name="Migliaia 46 2 2" xfId="5879" xr:uid="{00000000-0005-0000-0000-0000F4160000}"/>
    <cellStyle name="Migliaia 46 2 2 2" xfId="5880" xr:uid="{00000000-0005-0000-0000-0000F5160000}"/>
    <cellStyle name="Migliaia 46 2 2 2 2" xfId="5881" xr:uid="{00000000-0005-0000-0000-0000F6160000}"/>
    <cellStyle name="Migliaia 46 2 2 2 3" xfId="5882" xr:uid="{00000000-0005-0000-0000-0000F7160000}"/>
    <cellStyle name="Migliaia 46 2 2 3" xfId="5883" xr:uid="{00000000-0005-0000-0000-0000F8160000}"/>
    <cellStyle name="Migliaia 46 2 2 4" xfId="5884" xr:uid="{00000000-0005-0000-0000-0000F9160000}"/>
    <cellStyle name="Migliaia 46 2 3" xfId="5885" xr:uid="{00000000-0005-0000-0000-0000FA160000}"/>
    <cellStyle name="Migliaia 46 2 3 2" xfId="5886" xr:uid="{00000000-0005-0000-0000-0000FB160000}"/>
    <cellStyle name="Migliaia 46 2 4" xfId="5887" xr:uid="{00000000-0005-0000-0000-0000FC160000}"/>
    <cellStyle name="Migliaia 46 2 4 2" xfId="5888" xr:uid="{00000000-0005-0000-0000-0000FD160000}"/>
    <cellStyle name="Migliaia 46 2 5" xfId="5889" xr:uid="{00000000-0005-0000-0000-0000FE160000}"/>
    <cellStyle name="Migliaia 46 3" xfId="5890" xr:uid="{00000000-0005-0000-0000-0000FF160000}"/>
    <cellStyle name="Migliaia 46 3 2" xfId="5891" xr:uid="{00000000-0005-0000-0000-000000170000}"/>
    <cellStyle name="Migliaia 46 3 2 2" xfId="5892" xr:uid="{00000000-0005-0000-0000-000001170000}"/>
    <cellStyle name="Migliaia 46 3 2 2 2" xfId="5893" xr:uid="{00000000-0005-0000-0000-000002170000}"/>
    <cellStyle name="Migliaia 46 3 2 2 3" xfId="5894" xr:uid="{00000000-0005-0000-0000-000003170000}"/>
    <cellStyle name="Migliaia 46 3 2 3" xfId="5895" xr:uid="{00000000-0005-0000-0000-000004170000}"/>
    <cellStyle name="Migliaia 46 3 2 3 2" xfId="5896" xr:uid="{00000000-0005-0000-0000-000005170000}"/>
    <cellStyle name="Migliaia 46 3 2 4" xfId="5897" xr:uid="{00000000-0005-0000-0000-000006170000}"/>
    <cellStyle name="Migliaia 46 3 3" xfId="5898" xr:uid="{00000000-0005-0000-0000-000007170000}"/>
    <cellStyle name="Migliaia 46 3 3 2" xfId="5899" xr:uid="{00000000-0005-0000-0000-000008170000}"/>
    <cellStyle name="Migliaia 46 3 3 2 2" xfId="5900" xr:uid="{00000000-0005-0000-0000-000009170000}"/>
    <cellStyle name="Migliaia 46 3 3 3" xfId="5901" xr:uid="{00000000-0005-0000-0000-00000A170000}"/>
    <cellStyle name="Migliaia 46 3 4" xfId="5902" xr:uid="{00000000-0005-0000-0000-00000B170000}"/>
    <cellStyle name="Migliaia 46 3 4 2" xfId="5903" xr:uid="{00000000-0005-0000-0000-00000C170000}"/>
    <cellStyle name="Migliaia 46 3 4 2 2" xfId="5904" xr:uid="{00000000-0005-0000-0000-00000D170000}"/>
    <cellStyle name="Migliaia 46 3 4 3" xfId="5905" xr:uid="{00000000-0005-0000-0000-00000E170000}"/>
    <cellStyle name="Migliaia 46 3 5" xfId="5906" xr:uid="{00000000-0005-0000-0000-00000F170000}"/>
    <cellStyle name="Migliaia 46 3 5 2" xfId="5907" xr:uid="{00000000-0005-0000-0000-000010170000}"/>
    <cellStyle name="Migliaia 46 3 6" xfId="5908" xr:uid="{00000000-0005-0000-0000-000011170000}"/>
    <cellStyle name="Migliaia 46 3 6 2" xfId="5909" xr:uid="{00000000-0005-0000-0000-000012170000}"/>
    <cellStyle name="Migliaia 46 3 7" xfId="5910" xr:uid="{00000000-0005-0000-0000-000013170000}"/>
    <cellStyle name="Migliaia 46 4" xfId="5911" xr:uid="{00000000-0005-0000-0000-000014170000}"/>
    <cellStyle name="Migliaia 46 4 2" xfId="5912" xr:uid="{00000000-0005-0000-0000-000015170000}"/>
    <cellStyle name="Migliaia 46 4 2 2" xfId="5913" xr:uid="{00000000-0005-0000-0000-000016170000}"/>
    <cellStyle name="Migliaia 46 4 2 2 2" xfId="5914" xr:uid="{00000000-0005-0000-0000-000017170000}"/>
    <cellStyle name="Migliaia 46 4 2 3" xfId="5915" xr:uid="{00000000-0005-0000-0000-000018170000}"/>
    <cellStyle name="Migliaia 46 4 2 4" xfId="5916" xr:uid="{00000000-0005-0000-0000-000019170000}"/>
    <cellStyle name="Migliaia 46 4 2 5" xfId="5917" xr:uid="{00000000-0005-0000-0000-00001A170000}"/>
    <cellStyle name="Migliaia 46 4 3" xfId="5918" xr:uid="{00000000-0005-0000-0000-00001B170000}"/>
    <cellStyle name="Migliaia 46 4 4" xfId="5919" xr:uid="{00000000-0005-0000-0000-00001C170000}"/>
    <cellStyle name="Migliaia 46 4 5" xfId="5920" xr:uid="{00000000-0005-0000-0000-00001D170000}"/>
    <cellStyle name="Migliaia 46 5" xfId="5921" xr:uid="{00000000-0005-0000-0000-00001E170000}"/>
    <cellStyle name="Migliaia 46 5 2" xfId="5922" xr:uid="{00000000-0005-0000-0000-00001F170000}"/>
    <cellStyle name="Migliaia 46 5 3" xfId="5923" xr:uid="{00000000-0005-0000-0000-000020170000}"/>
    <cellStyle name="Migliaia 46 6" xfId="5924" xr:uid="{00000000-0005-0000-0000-000021170000}"/>
    <cellStyle name="Migliaia 46 6 2" xfId="5925" xr:uid="{00000000-0005-0000-0000-000022170000}"/>
    <cellStyle name="Migliaia 46 6 2 2" xfId="5926" xr:uid="{00000000-0005-0000-0000-000023170000}"/>
    <cellStyle name="Migliaia 46 6 3" xfId="5927" xr:uid="{00000000-0005-0000-0000-000024170000}"/>
    <cellStyle name="Migliaia 46 7" xfId="5928" xr:uid="{00000000-0005-0000-0000-000025170000}"/>
    <cellStyle name="Migliaia 46 7 2" xfId="5929" xr:uid="{00000000-0005-0000-0000-000026170000}"/>
    <cellStyle name="Migliaia 46 8" xfId="5930" xr:uid="{00000000-0005-0000-0000-000027170000}"/>
    <cellStyle name="Migliaia 46 8 2" xfId="5931" xr:uid="{00000000-0005-0000-0000-000028170000}"/>
    <cellStyle name="Migliaia 47" xfId="5932" xr:uid="{00000000-0005-0000-0000-000029170000}"/>
    <cellStyle name="Migliaia 47 2" xfId="5933" xr:uid="{00000000-0005-0000-0000-00002A170000}"/>
    <cellStyle name="Migliaia 47 2 2" xfId="5934" xr:uid="{00000000-0005-0000-0000-00002B170000}"/>
    <cellStyle name="Migliaia 47 2 2 2" xfId="5935" xr:uid="{00000000-0005-0000-0000-00002C170000}"/>
    <cellStyle name="Migliaia 47 2 2 2 2" xfId="5936" xr:uid="{00000000-0005-0000-0000-00002D170000}"/>
    <cellStyle name="Migliaia 47 2 2 2 3" xfId="5937" xr:uid="{00000000-0005-0000-0000-00002E170000}"/>
    <cellStyle name="Migliaia 47 2 2 3" xfId="5938" xr:uid="{00000000-0005-0000-0000-00002F170000}"/>
    <cellStyle name="Migliaia 47 2 2 4" xfId="5939" xr:uid="{00000000-0005-0000-0000-000030170000}"/>
    <cellStyle name="Migliaia 47 2 3" xfId="5940" xr:uid="{00000000-0005-0000-0000-000031170000}"/>
    <cellStyle name="Migliaia 47 2 3 2" xfId="5941" xr:uid="{00000000-0005-0000-0000-000032170000}"/>
    <cellStyle name="Migliaia 47 2 4" xfId="5942" xr:uid="{00000000-0005-0000-0000-000033170000}"/>
    <cellStyle name="Migliaia 47 2 4 2" xfId="5943" xr:uid="{00000000-0005-0000-0000-000034170000}"/>
    <cellStyle name="Migliaia 47 2 5" xfId="5944" xr:uid="{00000000-0005-0000-0000-000035170000}"/>
    <cellStyle name="Migliaia 47 3" xfId="5945" xr:uid="{00000000-0005-0000-0000-000036170000}"/>
    <cellStyle name="Migliaia 47 3 2" xfId="5946" xr:uid="{00000000-0005-0000-0000-000037170000}"/>
    <cellStyle name="Migliaia 47 3 2 2" xfId="5947" xr:uid="{00000000-0005-0000-0000-000038170000}"/>
    <cellStyle name="Migliaia 47 3 2 2 2" xfId="5948" xr:uid="{00000000-0005-0000-0000-000039170000}"/>
    <cellStyle name="Migliaia 47 3 2 2 3" xfId="5949" xr:uid="{00000000-0005-0000-0000-00003A170000}"/>
    <cellStyle name="Migliaia 47 3 2 3" xfId="5950" xr:uid="{00000000-0005-0000-0000-00003B170000}"/>
    <cellStyle name="Migliaia 47 3 2 3 2" xfId="5951" xr:uid="{00000000-0005-0000-0000-00003C170000}"/>
    <cellStyle name="Migliaia 47 3 2 4" xfId="5952" xr:uid="{00000000-0005-0000-0000-00003D170000}"/>
    <cellStyle name="Migliaia 47 3 3" xfId="5953" xr:uid="{00000000-0005-0000-0000-00003E170000}"/>
    <cellStyle name="Migliaia 47 3 3 2" xfId="5954" xr:uid="{00000000-0005-0000-0000-00003F170000}"/>
    <cellStyle name="Migliaia 47 3 3 2 2" xfId="5955" xr:uid="{00000000-0005-0000-0000-000040170000}"/>
    <cellStyle name="Migliaia 47 3 3 3" xfId="5956" xr:uid="{00000000-0005-0000-0000-000041170000}"/>
    <cellStyle name="Migliaia 47 3 4" xfId="5957" xr:uid="{00000000-0005-0000-0000-000042170000}"/>
    <cellStyle name="Migliaia 47 3 4 2" xfId="5958" xr:uid="{00000000-0005-0000-0000-000043170000}"/>
    <cellStyle name="Migliaia 47 3 4 2 2" xfId="5959" xr:uid="{00000000-0005-0000-0000-000044170000}"/>
    <cellStyle name="Migliaia 47 3 4 3" xfId="5960" xr:uid="{00000000-0005-0000-0000-000045170000}"/>
    <cellStyle name="Migliaia 47 3 5" xfId="5961" xr:uid="{00000000-0005-0000-0000-000046170000}"/>
    <cellStyle name="Migliaia 47 3 5 2" xfId="5962" xr:uid="{00000000-0005-0000-0000-000047170000}"/>
    <cellStyle name="Migliaia 47 3 6" xfId="5963" xr:uid="{00000000-0005-0000-0000-000048170000}"/>
    <cellStyle name="Migliaia 47 3 6 2" xfId="5964" xr:uid="{00000000-0005-0000-0000-000049170000}"/>
    <cellStyle name="Migliaia 47 3 7" xfId="5965" xr:uid="{00000000-0005-0000-0000-00004A170000}"/>
    <cellStyle name="Migliaia 47 4" xfId="5966" xr:uid="{00000000-0005-0000-0000-00004B170000}"/>
    <cellStyle name="Migliaia 47 4 2" xfId="5967" xr:uid="{00000000-0005-0000-0000-00004C170000}"/>
    <cellStyle name="Migliaia 47 4 2 2" xfId="5968" xr:uid="{00000000-0005-0000-0000-00004D170000}"/>
    <cellStyle name="Migliaia 47 4 2 2 2" xfId="5969" xr:uid="{00000000-0005-0000-0000-00004E170000}"/>
    <cellStyle name="Migliaia 47 4 2 3" xfId="5970" xr:uid="{00000000-0005-0000-0000-00004F170000}"/>
    <cellStyle name="Migliaia 47 4 2 4" xfId="5971" xr:uid="{00000000-0005-0000-0000-000050170000}"/>
    <cellStyle name="Migliaia 47 4 2 5" xfId="5972" xr:uid="{00000000-0005-0000-0000-000051170000}"/>
    <cellStyle name="Migliaia 47 4 3" xfId="5973" xr:uid="{00000000-0005-0000-0000-000052170000}"/>
    <cellStyle name="Migliaia 47 4 4" xfId="5974" xr:uid="{00000000-0005-0000-0000-000053170000}"/>
    <cellStyle name="Migliaia 47 4 5" xfId="5975" xr:uid="{00000000-0005-0000-0000-000054170000}"/>
    <cellStyle name="Migliaia 47 5" xfId="5976" xr:uid="{00000000-0005-0000-0000-000055170000}"/>
    <cellStyle name="Migliaia 47 5 2" xfId="5977" xr:uid="{00000000-0005-0000-0000-000056170000}"/>
    <cellStyle name="Migliaia 47 5 3" xfId="5978" xr:uid="{00000000-0005-0000-0000-000057170000}"/>
    <cellStyle name="Migliaia 47 6" xfId="5979" xr:uid="{00000000-0005-0000-0000-000058170000}"/>
    <cellStyle name="Migliaia 47 6 2" xfId="5980" xr:uid="{00000000-0005-0000-0000-000059170000}"/>
    <cellStyle name="Migliaia 47 6 2 2" xfId="5981" xr:uid="{00000000-0005-0000-0000-00005A170000}"/>
    <cellStyle name="Migliaia 47 6 3" xfId="5982" xr:uid="{00000000-0005-0000-0000-00005B170000}"/>
    <cellStyle name="Migliaia 47 7" xfId="5983" xr:uid="{00000000-0005-0000-0000-00005C170000}"/>
    <cellStyle name="Migliaia 47 7 2" xfId="5984" xr:uid="{00000000-0005-0000-0000-00005D170000}"/>
    <cellStyle name="Migliaia 47 8" xfId="5985" xr:uid="{00000000-0005-0000-0000-00005E170000}"/>
    <cellStyle name="Migliaia 47 8 2" xfId="5986" xr:uid="{00000000-0005-0000-0000-00005F170000}"/>
    <cellStyle name="Migliaia 48" xfId="5987" xr:uid="{00000000-0005-0000-0000-000060170000}"/>
    <cellStyle name="Migliaia 48 2" xfId="5988" xr:uid="{00000000-0005-0000-0000-000061170000}"/>
    <cellStyle name="Migliaia 48 2 2" xfId="5989" xr:uid="{00000000-0005-0000-0000-000062170000}"/>
    <cellStyle name="Migliaia 48 2 2 2" xfId="5990" xr:uid="{00000000-0005-0000-0000-000063170000}"/>
    <cellStyle name="Migliaia 48 2 2 2 2" xfId="5991" xr:uid="{00000000-0005-0000-0000-000064170000}"/>
    <cellStyle name="Migliaia 48 2 2 2 3" xfId="5992" xr:uid="{00000000-0005-0000-0000-000065170000}"/>
    <cellStyle name="Migliaia 48 2 2 3" xfId="5993" xr:uid="{00000000-0005-0000-0000-000066170000}"/>
    <cellStyle name="Migliaia 48 2 2 4" xfId="5994" xr:uid="{00000000-0005-0000-0000-000067170000}"/>
    <cellStyle name="Migliaia 48 2 3" xfId="5995" xr:uid="{00000000-0005-0000-0000-000068170000}"/>
    <cellStyle name="Migliaia 48 2 3 2" xfId="5996" xr:uid="{00000000-0005-0000-0000-000069170000}"/>
    <cellStyle name="Migliaia 48 2 4" xfId="5997" xr:uid="{00000000-0005-0000-0000-00006A170000}"/>
    <cellStyle name="Migliaia 48 2 4 2" xfId="5998" xr:uid="{00000000-0005-0000-0000-00006B170000}"/>
    <cellStyle name="Migliaia 48 2 5" xfId="5999" xr:uid="{00000000-0005-0000-0000-00006C170000}"/>
    <cellStyle name="Migliaia 48 3" xfId="6000" xr:uid="{00000000-0005-0000-0000-00006D170000}"/>
    <cellStyle name="Migliaia 48 3 2" xfId="6001" xr:uid="{00000000-0005-0000-0000-00006E170000}"/>
    <cellStyle name="Migliaia 48 3 2 2" xfId="6002" xr:uid="{00000000-0005-0000-0000-00006F170000}"/>
    <cellStyle name="Migliaia 48 3 2 2 2" xfId="6003" xr:uid="{00000000-0005-0000-0000-000070170000}"/>
    <cellStyle name="Migliaia 48 3 2 2 3" xfId="6004" xr:uid="{00000000-0005-0000-0000-000071170000}"/>
    <cellStyle name="Migliaia 48 3 2 3" xfId="6005" xr:uid="{00000000-0005-0000-0000-000072170000}"/>
    <cellStyle name="Migliaia 48 3 2 3 2" xfId="6006" xr:uid="{00000000-0005-0000-0000-000073170000}"/>
    <cellStyle name="Migliaia 48 3 2 4" xfId="6007" xr:uid="{00000000-0005-0000-0000-000074170000}"/>
    <cellStyle name="Migliaia 48 3 3" xfId="6008" xr:uid="{00000000-0005-0000-0000-000075170000}"/>
    <cellStyle name="Migliaia 48 3 3 2" xfId="6009" xr:uid="{00000000-0005-0000-0000-000076170000}"/>
    <cellStyle name="Migliaia 48 3 3 2 2" xfId="6010" xr:uid="{00000000-0005-0000-0000-000077170000}"/>
    <cellStyle name="Migliaia 48 3 3 3" xfId="6011" xr:uid="{00000000-0005-0000-0000-000078170000}"/>
    <cellStyle name="Migliaia 48 3 4" xfId="6012" xr:uid="{00000000-0005-0000-0000-000079170000}"/>
    <cellStyle name="Migliaia 48 3 4 2" xfId="6013" xr:uid="{00000000-0005-0000-0000-00007A170000}"/>
    <cellStyle name="Migliaia 48 3 4 2 2" xfId="6014" xr:uid="{00000000-0005-0000-0000-00007B170000}"/>
    <cellStyle name="Migliaia 48 3 4 3" xfId="6015" xr:uid="{00000000-0005-0000-0000-00007C170000}"/>
    <cellStyle name="Migliaia 48 3 5" xfId="6016" xr:uid="{00000000-0005-0000-0000-00007D170000}"/>
    <cellStyle name="Migliaia 48 3 5 2" xfId="6017" xr:uid="{00000000-0005-0000-0000-00007E170000}"/>
    <cellStyle name="Migliaia 48 3 6" xfId="6018" xr:uid="{00000000-0005-0000-0000-00007F170000}"/>
    <cellStyle name="Migliaia 48 3 6 2" xfId="6019" xr:uid="{00000000-0005-0000-0000-000080170000}"/>
    <cellStyle name="Migliaia 48 3 7" xfId="6020" xr:uid="{00000000-0005-0000-0000-000081170000}"/>
    <cellStyle name="Migliaia 48 4" xfId="6021" xr:uid="{00000000-0005-0000-0000-000082170000}"/>
    <cellStyle name="Migliaia 48 4 2" xfId="6022" xr:uid="{00000000-0005-0000-0000-000083170000}"/>
    <cellStyle name="Migliaia 48 4 2 2" xfId="6023" xr:uid="{00000000-0005-0000-0000-000084170000}"/>
    <cellStyle name="Migliaia 48 4 2 2 2" xfId="6024" xr:uid="{00000000-0005-0000-0000-000085170000}"/>
    <cellStyle name="Migliaia 48 4 2 3" xfId="6025" xr:uid="{00000000-0005-0000-0000-000086170000}"/>
    <cellStyle name="Migliaia 48 4 2 4" xfId="6026" xr:uid="{00000000-0005-0000-0000-000087170000}"/>
    <cellStyle name="Migliaia 48 4 2 5" xfId="6027" xr:uid="{00000000-0005-0000-0000-000088170000}"/>
    <cellStyle name="Migliaia 48 4 3" xfId="6028" xr:uid="{00000000-0005-0000-0000-000089170000}"/>
    <cellStyle name="Migliaia 48 4 4" xfId="6029" xr:uid="{00000000-0005-0000-0000-00008A170000}"/>
    <cellStyle name="Migliaia 48 4 5" xfId="6030" xr:uid="{00000000-0005-0000-0000-00008B170000}"/>
    <cellStyle name="Migliaia 48 5" xfId="6031" xr:uid="{00000000-0005-0000-0000-00008C170000}"/>
    <cellStyle name="Migliaia 48 5 2" xfId="6032" xr:uid="{00000000-0005-0000-0000-00008D170000}"/>
    <cellStyle name="Migliaia 48 5 3" xfId="6033" xr:uid="{00000000-0005-0000-0000-00008E170000}"/>
    <cellStyle name="Migliaia 48 6" xfId="6034" xr:uid="{00000000-0005-0000-0000-00008F170000}"/>
    <cellStyle name="Migliaia 48 6 2" xfId="6035" xr:uid="{00000000-0005-0000-0000-000090170000}"/>
    <cellStyle name="Migliaia 48 6 2 2" xfId="6036" xr:uid="{00000000-0005-0000-0000-000091170000}"/>
    <cellStyle name="Migliaia 48 6 3" xfId="6037" xr:uid="{00000000-0005-0000-0000-000092170000}"/>
    <cellStyle name="Migliaia 48 7" xfId="6038" xr:uid="{00000000-0005-0000-0000-000093170000}"/>
    <cellStyle name="Migliaia 48 7 2" xfId="6039" xr:uid="{00000000-0005-0000-0000-000094170000}"/>
    <cellStyle name="Migliaia 48 8" xfId="6040" xr:uid="{00000000-0005-0000-0000-000095170000}"/>
    <cellStyle name="Migliaia 48 8 2" xfId="6041" xr:uid="{00000000-0005-0000-0000-000096170000}"/>
    <cellStyle name="Migliaia 49" xfId="6042" xr:uid="{00000000-0005-0000-0000-000097170000}"/>
    <cellStyle name="Migliaia 49 2" xfId="6043" xr:uid="{00000000-0005-0000-0000-000098170000}"/>
    <cellStyle name="Migliaia 49 2 2" xfId="6044" xr:uid="{00000000-0005-0000-0000-000099170000}"/>
    <cellStyle name="Migliaia 49 2 2 2" xfId="6045" xr:uid="{00000000-0005-0000-0000-00009A170000}"/>
    <cellStyle name="Migliaia 49 2 2 2 2" xfId="6046" xr:uid="{00000000-0005-0000-0000-00009B170000}"/>
    <cellStyle name="Migliaia 49 2 2 2 3" xfId="6047" xr:uid="{00000000-0005-0000-0000-00009C170000}"/>
    <cellStyle name="Migliaia 49 2 2 3" xfId="6048" xr:uid="{00000000-0005-0000-0000-00009D170000}"/>
    <cellStyle name="Migliaia 49 2 2 4" xfId="6049" xr:uid="{00000000-0005-0000-0000-00009E170000}"/>
    <cellStyle name="Migliaia 49 2 3" xfId="6050" xr:uid="{00000000-0005-0000-0000-00009F170000}"/>
    <cellStyle name="Migliaia 49 2 3 2" xfId="6051" xr:uid="{00000000-0005-0000-0000-0000A0170000}"/>
    <cellStyle name="Migliaia 49 2 4" xfId="6052" xr:uid="{00000000-0005-0000-0000-0000A1170000}"/>
    <cellStyle name="Migliaia 49 2 4 2" xfId="6053" xr:uid="{00000000-0005-0000-0000-0000A2170000}"/>
    <cellStyle name="Migliaia 49 2 5" xfId="6054" xr:uid="{00000000-0005-0000-0000-0000A3170000}"/>
    <cellStyle name="Migliaia 49 3" xfId="6055" xr:uid="{00000000-0005-0000-0000-0000A4170000}"/>
    <cellStyle name="Migliaia 49 3 2" xfId="6056" xr:uid="{00000000-0005-0000-0000-0000A5170000}"/>
    <cellStyle name="Migliaia 49 3 2 2" xfId="6057" xr:uid="{00000000-0005-0000-0000-0000A6170000}"/>
    <cellStyle name="Migliaia 49 3 2 2 2" xfId="6058" xr:uid="{00000000-0005-0000-0000-0000A7170000}"/>
    <cellStyle name="Migliaia 49 3 2 2 3" xfId="6059" xr:uid="{00000000-0005-0000-0000-0000A8170000}"/>
    <cellStyle name="Migliaia 49 3 2 3" xfId="6060" xr:uid="{00000000-0005-0000-0000-0000A9170000}"/>
    <cellStyle name="Migliaia 49 3 2 3 2" xfId="6061" xr:uid="{00000000-0005-0000-0000-0000AA170000}"/>
    <cellStyle name="Migliaia 49 3 2 4" xfId="6062" xr:uid="{00000000-0005-0000-0000-0000AB170000}"/>
    <cellStyle name="Migliaia 49 3 3" xfId="6063" xr:uid="{00000000-0005-0000-0000-0000AC170000}"/>
    <cellStyle name="Migliaia 49 3 3 2" xfId="6064" xr:uid="{00000000-0005-0000-0000-0000AD170000}"/>
    <cellStyle name="Migliaia 49 3 3 2 2" xfId="6065" xr:uid="{00000000-0005-0000-0000-0000AE170000}"/>
    <cellStyle name="Migliaia 49 3 3 3" xfId="6066" xr:uid="{00000000-0005-0000-0000-0000AF170000}"/>
    <cellStyle name="Migliaia 49 3 4" xfId="6067" xr:uid="{00000000-0005-0000-0000-0000B0170000}"/>
    <cellStyle name="Migliaia 49 3 4 2" xfId="6068" xr:uid="{00000000-0005-0000-0000-0000B1170000}"/>
    <cellStyle name="Migliaia 49 3 4 2 2" xfId="6069" xr:uid="{00000000-0005-0000-0000-0000B2170000}"/>
    <cellStyle name="Migliaia 49 3 4 3" xfId="6070" xr:uid="{00000000-0005-0000-0000-0000B3170000}"/>
    <cellStyle name="Migliaia 49 3 5" xfId="6071" xr:uid="{00000000-0005-0000-0000-0000B4170000}"/>
    <cellStyle name="Migliaia 49 3 5 2" xfId="6072" xr:uid="{00000000-0005-0000-0000-0000B5170000}"/>
    <cellStyle name="Migliaia 49 3 6" xfId="6073" xr:uid="{00000000-0005-0000-0000-0000B6170000}"/>
    <cellStyle name="Migliaia 49 3 6 2" xfId="6074" xr:uid="{00000000-0005-0000-0000-0000B7170000}"/>
    <cellStyle name="Migliaia 49 3 7" xfId="6075" xr:uid="{00000000-0005-0000-0000-0000B8170000}"/>
    <cellStyle name="Migliaia 49 4" xfId="6076" xr:uid="{00000000-0005-0000-0000-0000B9170000}"/>
    <cellStyle name="Migliaia 49 4 2" xfId="6077" xr:uid="{00000000-0005-0000-0000-0000BA170000}"/>
    <cellStyle name="Migliaia 49 4 2 2" xfId="6078" xr:uid="{00000000-0005-0000-0000-0000BB170000}"/>
    <cellStyle name="Migliaia 49 4 2 2 2" xfId="6079" xr:uid="{00000000-0005-0000-0000-0000BC170000}"/>
    <cellStyle name="Migliaia 49 4 2 3" xfId="6080" xr:uid="{00000000-0005-0000-0000-0000BD170000}"/>
    <cellStyle name="Migliaia 49 4 2 4" xfId="6081" xr:uid="{00000000-0005-0000-0000-0000BE170000}"/>
    <cellStyle name="Migliaia 49 4 2 5" xfId="6082" xr:uid="{00000000-0005-0000-0000-0000BF170000}"/>
    <cellStyle name="Migliaia 49 4 3" xfId="6083" xr:uid="{00000000-0005-0000-0000-0000C0170000}"/>
    <cellStyle name="Migliaia 49 4 4" xfId="6084" xr:uid="{00000000-0005-0000-0000-0000C1170000}"/>
    <cellStyle name="Migliaia 49 4 5" xfId="6085" xr:uid="{00000000-0005-0000-0000-0000C2170000}"/>
    <cellStyle name="Migliaia 49 5" xfId="6086" xr:uid="{00000000-0005-0000-0000-0000C3170000}"/>
    <cellStyle name="Migliaia 49 5 2" xfId="6087" xr:uid="{00000000-0005-0000-0000-0000C4170000}"/>
    <cellStyle name="Migliaia 49 5 3" xfId="6088" xr:uid="{00000000-0005-0000-0000-0000C5170000}"/>
    <cellStyle name="Migliaia 49 6" xfId="6089" xr:uid="{00000000-0005-0000-0000-0000C6170000}"/>
    <cellStyle name="Migliaia 49 6 2" xfId="6090" xr:uid="{00000000-0005-0000-0000-0000C7170000}"/>
    <cellStyle name="Migliaia 49 6 2 2" xfId="6091" xr:uid="{00000000-0005-0000-0000-0000C8170000}"/>
    <cellStyle name="Migliaia 49 6 3" xfId="6092" xr:uid="{00000000-0005-0000-0000-0000C9170000}"/>
    <cellStyle name="Migliaia 49 7" xfId="6093" xr:uid="{00000000-0005-0000-0000-0000CA170000}"/>
    <cellStyle name="Migliaia 49 7 2" xfId="6094" xr:uid="{00000000-0005-0000-0000-0000CB170000}"/>
    <cellStyle name="Migliaia 49 8" xfId="6095" xr:uid="{00000000-0005-0000-0000-0000CC170000}"/>
    <cellStyle name="Migliaia 49 8 2" xfId="6096" xr:uid="{00000000-0005-0000-0000-0000CD170000}"/>
    <cellStyle name="Migliaia 5" xfId="6097" xr:uid="{00000000-0005-0000-0000-0000CE170000}"/>
    <cellStyle name="Migliaia 5 2" xfId="6098" xr:uid="{00000000-0005-0000-0000-0000CF170000}"/>
    <cellStyle name="Migliaia 5 2 2" xfId="6099" xr:uid="{00000000-0005-0000-0000-0000D0170000}"/>
    <cellStyle name="Migliaia 5 2 2 2" xfId="6100" xr:uid="{00000000-0005-0000-0000-0000D1170000}"/>
    <cellStyle name="Migliaia 5 2 2 2 2" xfId="6101" xr:uid="{00000000-0005-0000-0000-0000D2170000}"/>
    <cellStyle name="Migliaia 5 2 2 2 3" xfId="6102" xr:uid="{00000000-0005-0000-0000-0000D3170000}"/>
    <cellStyle name="Migliaia 5 2 2 3" xfId="6103" xr:uid="{00000000-0005-0000-0000-0000D4170000}"/>
    <cellStyle name="Migliaia 5 2 2 4" xfId="6104" xr:uid="{00000000-0005-0000-0000-0000D5170000}"/>
    <cellStyle name="Migliaia 5 2 3" xfId="6105" xr:uid="{00000000-0005-0000-0000-0000D6170000}"/>
    <cellStyle name="Migliaia 5 2 3 2" xfId="6106" xr:uid="{00000000-0005-0000-0000-0000D7170000}"/>
    <cellStyle name="Migliaia 5 2 4" xfId="6107" xr:uid="{00000000-0005-0000-0000-0000D8170000}"/>
    <cellStyle name="Migliaia 5 2 4 2" xfId="6108" xr:uid="{00000000-0005-0000-0000-0000D9170000}"/>
    <cellStyle name="Migliaia 5 2 5" xfId="6109" xr:uid="{00000000-0005-0000-0000-0000DA170000}"/>
    <cellStyle name="Migliaia 5 3" xfId="6110" xr:uid="{00000000-0005-0000-0000-0000DB170000}"/>
    <cellStyle name="Migliaia 5 3 2" xfId="6111" xr:uid="{00000000-0005-0000-0000-0000DC170000}"/>
    <cellStyle name="Migliaia 5 3 2 2" xfId="6112" xr:uid="{00000000-0005-0000-0000-0000DD170000}"/>
    <cellStyle name="Migliaia 5 3 2 2 2" xfId="6113" xr:uid="{00000000-0005-0000-0000-0000DE170000}"/>
    <cellStyle name="Migliaia 5 3 2 2 3" xfId="6114" xr:uid="{00000000-0005-0000-0000-0000DF170000}"/>
    <cellStyle name="Migliaia 5 3 2 3" xfId="6115" xr:uid="{00000000-0005-0000-0000-0000E0170000}"/>
    <cellStyle name="Migliaia 5 3 2 3 2" xfId="6116" xr:uid="{00000000-0005-0000-0000-0000E1170000}"/>
    <cellStyle name="Migliaia 5 3 2 4" xfId="6117" xr:uid="{00000000-0005-0000-0000-0000E2170000}"/>
    <cellStyle name="Migliaia 5 3 3" xfId="6118" xr:uid="{00000000-0005-0000-0000-0000E3170000}"/>
    <cellStyle name="Migliaia 5 3 3 2" xfId="6119" xr:uid="{00000000-0005-0000-0000-0000E4170000}"/>
    <cellStyle name="Migliaia 5 3 3 2 2" xfId="6120" xr:uid="{00000000-0005-0000-0000-0000E5170000}"/>
    <cellStyle name="Migliaia 5 3 3 3" xfId="6121" xr:uid="{00000000-0005-0000-0000-0000E6170000}"/>
    <cellStyle name="Migliaia 5 3 4" xfId="6122" xr:uid="{00000000-0005-0000-0000-0000E7170000}"/>
    <cellStyle name="Migliaia 5 3 4 2" xfId="6123" xr:uid="{00000000-0005-0000-0000-0000E8170000}"/>
    <cellStyle name="Migliaia 5 3 4 2 2" xfId="6124" xr:uid="{00000000-0005-0000-0000-0000E9170000}"/>
    <cellStyle name="Migliaia 5 3 4 3" xfId="6125" xr:uid="{00000000-0005-0000-0000-0000EA170000}"/>
    <cellStyle name="Migliaia 5 3 5" xfId="6126" xr:uid="{00000000-0005-0000-0000-0000EB170000}"/>
    <cellStyle name="Migliaia 5 3 5 2" xfId="6127" xr:uid="{00000000-0005-0000-0000-0000EC170000}"/>
    <cellStyle name="Migliaia 5 3 6" xfId="6128" xr:uid="{00000000-0005-0000-0000-0000ED170000}"/>
    <cellStyle name="Migliaia 5 3 6 2" xfId="6129" xr:uid="{00000000-0005-0000-0000-0000EE170000}"/>
    <cellStyle name="Migliaia 5 3 7" xfId="6130" xr:uid="{00000000-0005-0000-0000-0000EF170000}"/>
    <cellStyle name="Migliaia 5 4" xfId="6131" xr:uid="{00000000-0005-0000-0000-0000F0170000}"/>
    <cellStyle name="Migliaia 5 4 2" xfId="6132" xr:uid="{00000000-0005-0000-0000-0000F1170000}"/>
    <cellStyle name="Migliaia 5 4 2 2" xfId="6133" xr:uid="{00000000-0005-0000-0000-0000F2170000}"/>
    <cellStyle name="Migliaia 5 4 2 2 2" xfId="6134" xr:uid="{00000000-0005-0000-0000-0000F3170000}"/>
    <cellStyle name="Migliaia 5 4 2 3" xfId="6135" xr:uid="{00000000-0005-0000-0000-0000F4170000}"/>
    <cellStyle name="Migliaia 5 4 2 4" xfId="6136" xr:uid="{00000000-0005-0000-0000-0000F5170000}"/>
    <cellStyle name="Migliaia 5 4 2 5" xfId="6137" xr:uid="{00000000-0005-0000-0000-0000F6170000}"/>
    <cellStyle name="Migliaia 5 4 3" xfId="6138" xr:uid="{00000000-0005-0000-0000-0000F7170000}"/>
    <cellStyle name="Migliaia 5 4 4" xfId="6139" xr:uid="{00000000-0005-0000-0000-0000F8170000}"/>
    <cellStyle name="Migliaia 5 4 5" xfId="6140" xr:uid="{00000000-0005-0000-0000-0000F9170000}"/>
    <cellStyle name="Migliaia 5 5" xfId="6141" xr:uid="{00000000-0005-0000-0000-0000FA170000}"/>
    <cellStyle name="Migliaia 5 5 2" xfId="6142" xr:uid="{00000000-0005-0000-0000-0000FB170000}"/>
    <cellStyle name="Migliaia 5 5 3" xfId="6143" xr:uid="{00000000-0005-0000-0000-0000FC170000}"/>
    <cellStyle name="Migliaia 5 6" xfId="6144" xr:uid="{00000000-0005-0000-0000-0000FD170000}"/>
    <cellStyle name="Migliaia 5 6 2" xfId="6145" xr:uid="{00000000-0005-0000-0000-0000FE170000}"/>
    <cellStyle name="Migliaia 5 6 2 2" xfId="6146" xr:uid="{00000000-0005-0000-0000-0000FF170000}"/>
    <cellStyle name="Migliaia 5 6 3" xfId="6147" xr:uid="{00000000-0005-0000-0000-000000180000}"/>
    <cellStyle name="Migliaia 5 7" xfId="6148" xr:uid="{00000000-0005-0000-0000-000001180000}"/>
    <cellStyle name="Migliaia 5 7 2" xfId="6149" xr:uid="{00000000-0005-0000-0000-000002180000}"/>
    <cellStyle name="Migliaia 5 8" xfId="6150" xr:uid="{00000000-0005-0000-0000-000003180000}"/>
    <cellStyle name="Migliaia 5 8 2" xfId="6151" xr:uid="{00000000-0005-0000-0000-000004180000}"/>
    <cellStyle name="Migliaia 50" xfId="6152" xr:uid="{00000000-0005-0000-0000-000005180000}"/>
    <cellStyle name="Migliaia 50 2" xfId="6153" xr:uid="{00000000-0005-0000-0000-000006180000}"/>
    <cellStyle name="Migliaia 50 2 2" xfId="6154" xr:uid="{00000000-0005-0000-0000-000007180000}"/>
    <cellStyle name="Migliaia 50 2 2 2" xfId="6155" xr:uid="{00000000-0005-0000-0000-000008180000}"/>
    <cellStyle name="Migliaia 50 2 2 2 2" xfId="6156" xr:uid="{00000000-0005-0000-0000-000009180000}"/>
    <cellStyle name="Migliaia 50 2 2 2 3" xfId="6157" xr:uid="{00000000-0005-0000-0000-00000A180000}"/>
    <cellStyle name="Migliaia 50 2 2 3" xfId="6158" xr:uid="{00000000-0005-0000-0000-00000B180000}"/>
    <cellStyle name="Migliaia 50 2 2 4" xfId="6159" xr:uid="{00000000-0005-0000-0000-00000C180000}"/>
    <cellStyle name="Migliaia 50 2 3" xfId="6160" xr:uid="{00000000-0005-0000-0000-00000D180000}"/>
    <cellStyle name="Migliaia 50 2 3 2" xfId="6161" xr:uid="{00000000-0005-0000-0000-00000E180000}"/>
    <cellStyle name="Migliaia 50 2 4" xfId="6162" xr:uid="{00000000-0005-0000-0000-00000F180000}"/>
    <cellStyle name="Migliaia 50 2 4 2" xfId="6163" xr:uid="{00000000-0005-0000-0000-000010180000}"/>
    <cellStyle name="Migliaia 50 2 5" xfId="6164" xr:uid="{00000000-0005-0000-0000-000011180000}"/>
    <cellStyle name="Migliaia 50 3" xfId="6165" xr:uid="{00000000-0005-0000-0000-000012180000}"/>
    <cellStyle name="Migliaia 50 3 2" xfId="6166" xr:uid="{00000000-0005-0000-0000-000013180000}"/>
    <cellStyle name="Migliaia 50 3 2 2" xfId="6167" xr:uid="{00000000-0005-0000-0000-000014180000}"/>
    <cellStyle name="Migliaia 50 3 2 2 2" xfId="6168" xr:uid="{00000000-0005-0000-0000-000015180000}"/>
    <cellStyle name="Migliaia 50 3 2 2 3" xfId="6169" xr:uid="{00000000-0005-0000-0000-000016180000}"/>
    <cellStyle name="Migliaia 50 3 2 3" xfId="6170" xr:uid="{00000000-0005-0000-0000-000017180000}"/>
    <cellStyle name="Migliaia 50 3 2 3 2" xfId="6171" xr:uid="{00000000-0005-0000-0000-000018180000}"/>
    <cellStyle name="Migliaia 50 3 2 4" xfId="6172" xr:uid="{00000000-0005-0000-0000-000019180000}"/>
    <cellStyle name="Migliaia 50 3 3" xfId="6173" xr:uid="{00000000-0005-0000-0000-00001A180000}"/>
    <cellStyle name="Migliaia 50 3 3 2" xfId="6174" xr:uid="{00000000-0005-0000-0000-00001B180000}"/>
    <cellStyle name="Migliaia 50 3 3 2 2" xfId="6175" xr:uid="{00000000-0005-0000-0000-00001C180000}"/>
    <cellStyle name="Migliaia 50 3 3 3" xfId="6176" xr:uid="{00000000-0005-0000-0000-00001D180000}"/>
    <cellStyle name="Migliaia 50 3 4" xfId="6177" xr:uid="{00000000-0005-0000-0000-00001E180000}"/>
    <cellStyle name="Migliaia 50 3 4 2" xfId="6178" xr:uid="{00000000-0005-0000-0000-00001F180000}"/>
    <cellStyle name="Migliaia 50 3 4 2 2" xfId="6179" xr:uid="{00000000-0005-0000-0000-000020180000}"/>
    <cellStyle name="Migliaia 50 3 4 3" xfId="6180" xr:uid="{00000000-0005-0000-0000-000021180000}"/>
    <cellStyle name="Migliaia 50 3 5" xfId="6181" xr:uid="{00000000-0005-0000-0000-000022180000}"/>
    <cellStyle name="Migliaia 50 3 5 2" xfId="6182" xr:uid="{00000000-0005-0000-0000-000023180000}"/>
    <cellStyle name="Migliaia 50 3 6" xfId="6183" xr:uid="{00000000-0005-0000-0000-000024180000}"/>
    <cellStyle name="Migliaia 50 3 6 2" xfId="6184" xr:uid="{00000000-0005-0000-0000-000025180000}"/>
    <cellStyle name="Migliaia 50 3 7" xfId="6185" xr:uid="{00000000-0005-0000-0000-000026180000}"/>
    <cellStyle name="Migliaia 50 4" xfId="6186" xr:uid="{00000000-0005-0000-0000-000027180000}"/>
    <cellStyle name="Migliaia 50 4 2" xfId="6187" xr:uid="{00000000-0005-0000-0000-000028180000}"/>
    <cellStyle name="Migliaia 50 4 2 2" xfId="6188" xr:uid="{00000000-0005-0000-0000-000029180000}"/>
    <cellStyle name="Migliaia 50 4 2 2 2" xfId="6189" xr:uid="{00000000-0005-0000-0000-00002A180000}"/>
    <cellStyle name="Migliaia 50 4 2 3" xfId="6190" xr:uid="{00000000-0005-0000-0000-00002B180000}"/>
    <cellStyle name="Migliaia 50 4 2 4" xfId="6191" xr:uid="{00000000-0005-0000-0000-00002C180000}"/>
    <cellStyle name="Migliaia 50 4 2 5" xfId="6192" xr:uid="{00000000-0005-0000-0000-00002D180000}"/>
    <cellStyle name="Migliaia 50 4 3" xfId="6193" xr:uid="{00000000-0005-0000-0000-00002E180000}"/>
    <cellStyle name="Migliaia 50 4 4" xfId="6194" xr:uid="{00000000-0005-0000-0000-00002F180000}"/>
    <cellStyle name="Migliaia 50 4 5" xfId="6195" xr:uid="{00000000-0005-0000-0000-000030180000}"/>
    <cellStyle name="Migliaia 50 5" xfId="6196" xr:uid="{00000000-0005-0000-0000-000031180000}"/>
    <cellStyle name="Migliaia 50 5 2" xfId="6197" xr:uid="{00000000-0005-0000-0000-000032180000}"/>
    <cellStyle name="Migliaia 50 5 3" xfId="6198" xr:uid="{00000000-0005-0000-0000-000033180000}"/>
    <cellStyle name="Migliaia 50 6" xfId="6199" xr:uid="{00000000-0005-0000-0000-000034180000}"/>
    <cellStyle name="Migliaia 50 6 2" xfId="6200" xr:uid="{00000000-0005-0000-0000-000035180000}"/>
    <cellStyle name="Migliaia 50 6 2 2" xfId="6201" xr:uid="{00000000-0005-0000-0000-000036180000}"/>
    <cellStyle name="Migliaia 50 6 3" xfId="6202" xr:uid="{00000000-0005-0000-0000-000037180000}"/>
    <cellStyle name="Migliaia 50 7" xfId="6203" xr:uid="{00000000-0005-0000-0000-000038180000}"/>
    <cellStyle name="Migliaia 50 7 2" xfId="6204" xr:uid="{00000000-0005-0000-0000-000039180000}"/>
    <cellStyle name="Migliaia 50 8" xfId="6205" xr:uid="{00000000-0005-0000-0000-00003A180000}"/>
    <cellStyle name="Migliaia 50 8 2" xfId="6206" xr:uid="{00000000-0005-0000-0000-00003B180000}"/>
    <cellStyle name="Migliaia 51" xfId="6207" xr:uid="{00000000-0005-0000-0000-00003C180000}"/>
    <cellStyle name="Migliaia 51 2" xfId="6208" xr:uid="{00000000-0005-0000-0000-00003D180000}"/>
    <cellStyle name="Migliaia 51 2 2" xfId="6209" xr:uid="{00000000-0005-0000-0000-00003E180000}"/>
    <cellStyle name="Migliaia 51 2 2 2" xfId="6210" xr:uid="{00000000-0005-0000-0000-00003F180000}"/>
    <cellStyle name="Migliaia 51 2 2 2 2" xfId="6211" xr:uid="{00000000-0005-0000-0000-000040180000}"/>
    <cellStyle name="Migliaia 51 2 2 2 3" xfId="6212" xr:uid="{00000000-0005-0000-0000-000041180000}"/>
    <cellStyle name="Migliaia 51 2 2 3" xfId="6213" xr:uid="{00000000-0005-0000-0000-000042180000}"/>
    <cellStyle name="Migliaia 51 2 2 4" xfId="6214" xr:uid="{00000000-0005-0000-0000-000043180000}"/>
    <cellStyle name="Migliaia 51 2 3" xfId="6215" xr:uid="{00000000-0005-0000-0000-000044180000}"/>
    <cellStyle name="Migliaia 51 2 3 2" xfId="6216" xr:uid="{00000000-0005-0000-0000-000045180000}"/>
    <cellStyle name="Migliaia 51 2 4" xfId="6217" xr:uid="{00000000-0005-0000-0000-000046180000}"/>
    <cellStyle name="Migliaia 51 2 4 2" xfId="6218" xr:uid="{00000000-0005-0000-0000-000047180000}"/>
    <cellStyle name="Migliaia 51 2 5" xfId="6219" xr:uid="{00000000-0005-0000-0000-000048180000}"/>
    <cellStyle name="Migliaia 51 3" xfId="6220" xr:uid="{00000000-0005-0000-0000-000049180000}"/>
    <cellStyle name="Migliaia 51 3 2" xfId="6221" xr:uid="{00000000-0005-0000-0000-00004A180000}"/>
    <cellStyle name="Migliaia 51 3 2 2" xfId="6222" xr:uid="{00000000-0005-0000-0000-00004B180000}"/>
    <cellStyle name="Migliaia 51 3 2 2 2" xfId="6223" xr:uid="{00000000-0005-0000-0000-00004C180000}"/>
    <cellStyle name="Migliaia 51 3 2 2 3" xfId="6224" xr:uid="{00000000-0005-0000-0000-00004D180000}"/>
    <cellStyle name="Migliaia 51 3 2 3" xfId="6225" xr:uid="{00000000-0005-0000-0000-00004E180000}"/>
    <cellStyle name="Migliaia 51 3 2 3 2" xfId="6226" xr:uid="{00000000-0005-0000-0000-00004F180000}"/>
    <cellStyle name="Migliaia 51 3 2 4" xfId="6227" xr:uid="{00000000-0005-0000-0000-000050180000}"/>
    <cellStyle name="Migliaia 51 3 3" xfId="6228" xr:uid="{00000000-0005-0000-0000-000051180000}"/>
    <cellStyle name="Migliaia 51 3 3 2" xfId="6229" xr:uid="{00000000-0005-0000-0000-000052180000}"/>
    <cellStyle name="Migliaia 51 3 3 2 2" xfId="6230" xr:uid="{00000000-0005-0000-0000-000053180000}"/>
    <cellStyle name="Migliaia 51 3 3 3" xfId="6231" xr:uid="{00000000-0005-0000-0000-000054180000}"/>
    <cellStyle name="Migliaia 51 3 4" xfId="6232" xr:uid="{00000000-0005-0000-0000-000055180000}"/>
    <cellStyle name="Migliaia 51 3 4 2" xfId="6233" xr:uid="{00000000-0005-0000-0000-000056180000}"/>
    <cellStyle name="Migliaia 51 3 4 2 2" xfId="6234" xr:uid="{00000000-0005-0000-0000-000057180000}"/>
    <cellStyle name="Migliaia 51 3 4 3" xfId="6235" xr:uid="{00000000-0005-0000-0000-000058180000}"/>
    <cellStyle name="Migliaia 51 3 5" xfId="6236" xr:uid="{00000000-0005-0000-0000-000059180000}"/>
    <cellStyle name="Migliaia 51 3 5 2" xfId="6237" xr:uid="{00000000-0005-0000-0000-00005A180000}"/>
    <cellStyle name="Migliaia 51 3 6" xfId="6238" xr:uid="{00000000-0005-0000-0000-00005B180000}"/>
    <cellStyle name="Migliaia 51 3 6 2" xfId="6239" xr:uid="{00000000-0005-0000-0000-00005C180000}"/>
    <cellStyle name="Migliaia 51 3 7" xfId="6240" xr:uid="{00000000-0005-0000-0000-00005D180000}"/>
    <cellStyle name="Migliaia 51 4" xfId="6241" xr:uid="{00000000-0005-0000-0000-00005E180000}"/>
    <cellStyle name="Migliaia 51 4 2" xfId="6242" xr:uid="{00000000-0005-0000-0000-00005F180000}"/>
    <cellStyle name="Migliaia 51 4 2 2" xfId="6243" xr:uid="{00000000-0005-0000-0000-000060180000}"/>
    <cellStyle name="Migliaia 51 4 2 2 2" xfId="6244" xr:uid="{00000000-0005-0000-0000-000061180000}"/>
    <cellStyle name="Migliaia 51 4 2 3" xfId="6245" xr:uid="{00000000-0005-0000-0000-000062180000}"/>
    <cellStyle name="Migliaia 51 4 2 4" xfId="6246" xr:uid="{00000000-0005-0000-0000-000063180000}"/>
    <cellStyle name="Migliaia 51 4 2 5" xfId="6247" xr:uid="{00000000-0005-0000-0000-000064180000}"/>
    <cellStyle name="Migliaia 51 4 3" xfId="6248" xr:uid="{00000000-0005-0000-0000-000065180000}"/>
    <cellStyle name="Migliaia 51 4 4" xfId="6249" xr:uid="{00000000-0005-0000-0000-000066180000}"/>
    <cellStyle name="Migliaia 51 4 5" xfId="6250" xr:uid="{00000000-0005-0000-0000-000067180000}"/>
    <cellStyle name="Migliaia 51 5" xfId="6251" xr:uid="{00000000-0005-0000-0000-000068180000}"/>
    <cellStyle name="Migliaia 51 5 2" xfId="6252" xr:uid="{00000000-0005-0000-0000-000069180000}"/>
    <cellStyle name="Migliaia 51 5 3" xfId="6253" xr:uid="{00000000-0005-0000-0000-00006A180000}"/>
    <cellStyle name="Migliaia 51 6" xfId="6254" xr:uid="{00000000-0005-0000-0000-00006B180000}"/>
    <cellStyle name="Migliaia 51 6 2" xfId="6255" xr:uid="{00000000-0005-0000-0000-00006C180000}"/>
    <cellStyle name="Migliaia 51 6 2 2" xfId="6256" xr:uid="{00000000-0005-0000-0000-00006D180000}"/>
    <cellStyle name="Migliaia 51 6 3" xfId="6257" xr:uid="{00000000-0005-0000-0000-00006E180000}"/>
    <cellStyle name="Migliaia 51 7" xfId="6258" xr:uid="{00000000-0005-0000-0000-00006F180000}"/>
    <cellStyle name="Migliaia 51 7 2" xfId="6259" xr:uid="{00000000-0005-0000-0000-000070180000}"/>
    <cellStyle name="Migliaia 51 8" xfId="6260" xr:uid="{00000000-0005-0000-0000-000071180000}"/>
    <cellStyle name="Migliaia 51 8 2" xfId="6261" xr:uid="{00000000-0005-0000-0000-000072180000}"/>
    <cellStyle name="Migliaia 52" xfId="6262" xr:uid="{00000000-0005-0000-0000-000073180000}"/>
    <cellStyle name="Migliaia 52 2" xfId="6263" xr:uid="{00000000-0005-0000-0000-000074180000}"/>
    <cellStyle name="Migliaia 52 2 2" xfId="6264" xr:uid="{00000000-0005-0000-0000-000075180000}"/>
    <cellStyle name="Migliaia 52 2 2 2" xfId="6265" xr:uid="{00000000-0005-0000-0000-000076180000}"/>
    <cellStyle name="Migliaia 52 2 2 2 2" xfId="6266" xr:uid="{00000000-0005-0000-0000-000077180000}"/>
    <cellStyle name="Migliaia 52 2 2 2 3" xfId="6267" xr:uid="{00000000-0005-0000-0000-000078180000}"/>
    <cellStyle name="Migliaia 52 2 2 3" xfId="6268" xr:uid="{00000000-0005-0000-0000-000079180000}"/>
    <cellStyle name="Migliaia 52 2 2 4" xfId="6269" xr:uid="{00000000-0005-0000-0000-00007A180000}"/>
    <cellStyle name="Migliaia 52 2 3" xfId="6270" xr:uid="{00000000-0005-0000-0000-00007B180000}"/>
    <cellStyle name="Migliaia 52 2 3 2" xfId="6271" xr:uid="{00000000-0005-0000-0000-00007C180000}"/>
    <cellStyle name="Migliaia 52 2 4" xfId="6272" xr:uid="{00000000-0005-0000-0000-00007D180000}"/>
    <cellStyle name="Migliaia 52 2 4 2" xfId="6273" xr:uid="{00000000-0005-0000-0000-00007E180000}"/>
    <cellStyle name="Migliaia 52 2 5" xfId="6274" xr:uid="{00000000-0005-0000-0000-00007F180000}"/>
    <cellStyle name="Migliaia 52 3" xfId="6275" xr:uid="{00000000-0005-0000-0000-000080180000}"/>
    <cellStyle name="Migliaia 52 3 2" xfId="6276" xr:uid="{00000000-0005-0000-0000-000081180000}"/>
    <cellStyle name="Migliaia 52 3 2 2" xfId="6277" xr:uid="{00000000-0005-0000-0000-000082180000}"/>
    <cellStyle name="Migliaia 52 3 2 2 2" xfId="6278" xr:uid="{00000000-0005-0000-0000-000083180000}"/>
    <cellStyle name="Migliaia 52 3 2 2 3" xfId="6279" xr:uid="{00000000-0005-0000-0000-000084180000}"/>
    <cellStyle name="Migliaia 52 3 2 3" xfId="6280" xr:uid="{00000000-0005-0000-0000-000085180000}"/>
    <cellStyle name="Migliaia 52 3 2 3 2" xfId="6281" xr:uid="{00000000-0005-0000-0000-000086180000}"/>
    <cellStyle name="Migliaia 52 3 2 4" xfId="6282" xr:uid="{00000000-0005-0000-0000-000087180000}"/>
    <cellStyle name="Migliaia 52 3 3" xfId="6283" xr:uid="{00000000-0005-0000-0000-000088180000}"/>
    <cellStyle name="Migliaia 52 3 3 2" xfId="6284" xr:uid="{00000000-0005-0000-0000-000089180000}"/>
    <cellStyle name="Migliaia 52 3 3 2 2" xfId="6285" xr:uid="{00000000-0005-0000-0000-00008A180000}"/>
    <cellStyle name="Migliaia 52 3 3 3" xfId="6286" xr:uid="{00000000-0005-0000-0000-00008B180000}"/>
    <cellStyle name="Migliaia 52 3 4" xfId="6287" xr:uid="{00000000-0005-0000-0000-00008C180000}"/>
    <cellStyle name="Migliaia 52 3 4 2" xfId="6288" xr:uid="{00000000-0005-0000-0000-00008D180000}"/>
    <cellStyle name="Migliaia 52 3 4 2 2" xfId="6289" xr:uid="{00000000-0005-0000-0000-00008E180000}"/>
    <cellStyle name="Migliaia 52 3 4 3" xfId="6290" xr:uid="{00000000-0005-0000-0000-00008F180000}"/>
    <cellStyle name="Migliaia 52 3 5" xfId="6291" xr:uid="{00000000-0005-0000-0000-000090180000}"/>
    <cellStyle name="Migliaia 52 3 5 2" xfId="6292" xr:uid="{00000000-0005-0000-0000-000091180000}"/>
    <cellStyle name="Migliaia 52 3 6" xfId="6293" xr:uid="{00000000-0005-0000-0000-000092180000}"/>
    <cellStyle name="Migliaia 52 3 6 2" xfId="6294" xr:uid="{00000000-0005-0000-0000-000093180000}"/>
    <cellStyle name="Migliaia 52 3 7" xfId="6295" xr:uid="{00000000-0005-0000-0000-000094180000}"/>
    <cellStyle name="Migliaia 52 4" xfId="6296" xr:uid="{00000000-0005-0000-0000-000095180000}"/>
    <cellStyle name="Migliaia 52 4 2" xfId="6297" xr:uid="{00000000-0005-0000-0000-000096180000}"/>
    <cellStyle name="Migliaia 52 4 2 2" xfId="6298" xr:uid="{00000000-0005-0000-0000-000097180000}"/>
    <cellStyle name="Migliaia 52 4 2 2 2" xfId="6299" xr:uid="{00000000-0005-0000-0000-000098180000}"/>
    <cellStyle name="Migliaia 52 4 2 3" xfId="6300" xr:uid="{00000000-0005-0000-0000-000099180000}"/>
    <cellStyle name="Migliaia 52 4 2 4" xfId="6301" xr:uid="{00000000-0005-0000-0000-00009A180000}"/>
    <cellStyle name="Migliaia 52 4 2 5" xfId="6302" xr:uid="{00000000-0005-0000-0000-00009B180000}"/>
    <cellStyle name="Migliaia 52 4 3" xfId="6303" xr:uid="{00000000-0005-0000-0000-00009C180000}"/>
    <cellStyle name="Migliaia 52 4 4" xfId="6304" xr:uid="{00000000-0005-0000-0000-00009D180000}"/>
    <cellStyle name="Migliaia 52 4 5" xfId="6305" xr:uid="{00000000-0005-0000-0000-00009E180000}"/>
    <cellStyle name="Migliaia 52 5" xfId="6306" xr:uid="{00000000-0005-0000-0000-00009F180000}"/>
    <cellStyle name="Migliaia 52 5 2" xfId="6307" xr:uid="{00000000-0005-0000-0000-0000A0180000}"/>
    <cellStyle name="Migliaia 52 5 3" xfId="6308" xr:uid="{00000000-0005-0000-0000-0000A1180000}"/>
    <cellStyle name="Migliaia 52 6" xfId="6309" xr:uid="{00000000-0005-0000-0000-0000A2180000}"/>
    <cellStyle name="Migliaia 52 6 2" xfId="6310" xr:uid="{00000000-0005-0000-0000-0000A3180000}"/>
    <cellStyle name="Migliaia 52 6 2 2" xfId="6311" xr:uid="{00000000-0005-0000-0000-0000A4180000}"/>
    <cellStyle name="Migliaia 52 6 3" xfId="6312" xr:uid="{00000000-0005-0000-0000-0000A5180000}"/>
    <cellStyle name="Migliaia 52 7" xfId="6313" xr:uid="{00000000-0005-0000-0000-0000A6180000}"/>
    <cellStyle name="Migliaia 52 7 2" xfId="6314" xr:uid="{00000000-0005-0000-0000-0000A7180000}"/>
    <cellStyle name="Migliaia 52 8" xfId="6315" xr:uid="{00000000-0005-0000-0000-0000A8180000}"/>
    <cellStyle name="Migliaia 52 8 2" xfId="6316" xr:uid="{00000000-0005-0000-0000-0000A9180000}"/>
    <cellStyle name="Migliaia 53" xfId="6317" xr:uid="{00000000-0005-0000-0000-0000AA180000}"/>
    <cellStyle name="Migliaia 53 2" xfId="6318" xr:uid="{00000000-0005-0000-0000-0000AB180000}"/>
    <cellStyle name="Migliaia 53 2 2" xfId="6319" xr:uid="{00000000-0005-0000-0000-0000AC180000}"/>
    <cellStyle name="Migliaia 53 2 2 2" xfId="6320" xr:uid="{00000000-0005-0000-0000-0000AD180000}"/>
    <cellStyle name="Migliaia 53 2 2 2 2" xfId="6321" xr:uid="{00000000-0005-0000-0000-0000AE180000}"/>
    <cellStyle name="Migliaia 53 2 2 2 3" xfId="6322" xr:uid="{00000000-0005-0000-0000-0000AF180000}"/>
    <cellStyle name="Migliaia 53 2 2 3" xfId="6323" xr:uid="{00000000-0005-0000-0000-0000B0180000}"/>
    <cellStyle name="Migliaia 53 2 2 4" xfId="6324" xr:uid="{00000000-0005-0000-0000-0000B1180000}"/>
    <cellStyle name="Migliaia 53 2 3" xfId="6325" xr:uid="{00000000-0005-0000-0000-0000B2180000}"/>
    <cellStyle name="Migliaia 53 2 3 2" xfId="6326" xr:uid="{00000000-0005-0000-0000-0000B3180000}"/>
    <cellStyle name="Migliaia 53 2 4" xfId="6327" xr:uid="{00000000-0005-0000-0000-0000B4180000}"/>
    <cellStyle name="Migliaia 53 2 4 2" xfId="6328" xr:uid="{00000000-0005-0000-0000-0000B5180000}"/>
    <cellStyle name="Migliaia 53 2 5" xfId="6329" xr:uid="{00000000-0005-0000-0000-0000B6180000}"/>
    <cellStyle name="Migliaia 53 3" xfId="6330" xr:uid="{00000000-0005-0000-0000-0000B7180000}"/>
    <cellStyle name="Migliaia 53 3 2" xfId="6331" xr:uid="{00000000-0005-0000-0000-0000B8180000}"/>
    <cellStyle name="Migliaia 53 3 2 2" xfId="6332" xr:uid="{00000000-0005-0000-0000-0000B9180000}"/>
    <cellStyle name="Migliaia 53 3 2 2 2" xfId="6333" xr:uid="{00000000-0005-0000-0000-0000BA180000}"/>
    <cellStyle name="Migliaia 53 3 2 2 3" xfId="6334" xr:uid="{00000000-0005-0000-0000-0000BB180000}"/>
    <cellStyle name="Migliaia 53 3 2 3" xfId="6335" xr:uid="{00000000-0005-0000-0000-0000BC180000}"/>
    <cellStyle name="Migliaia 53 3 2 3 2" xfId="6336" xr:uid="{00000000-0005-0000-0000-0000BD180000}"/>
    <cellStyle name="Migliaia 53 3 2 4" xfId="6337" xr:uid="{00000000-0005-0000-0000-0000BE180000}"/>
    <cellStyle name="Migliaia 53 3 3" xfId="6338" xr:uid="{00000000-0005-0000-0000-0000BF180000}"/>
    <cellStyle name="Migliaia 53 3 3 2" xfId="6339" xr:uid="{00000000-0005-0000-0000-0000C0180000}"/>
    <cellStyle name="Migliaia 53 3 3 2 2" xfId="6340" xr:uid="{00000000-0005-0000-0000-0000C1180000}"/>
    <cellStyle name="Migliaia 53 3 3 3" xfId="6341" xr:uid="{00000000-0005-0000-0000-0000C2180000}"/>
    <cellStyle name="Migliaia 53 3 4" xfId="6342" xr:uid="{00000000-0005-0000-0000-0000C3180000}"/>
    <cellStyle name="Migliaia 53 3 4 2" xfId="6343" xr:uid="{00000000-0005-0000-0000-0000C4180000}"/>
    <cellStyle name="Migliaia 53 3 4 2 2" xfId="6344" xr:uid="{00000000-0005-0000-0000-0000C5180000}"/>
    <cellStyle name="Migliaia 53 3 4 3" xfId="6345" xr:uid="{00000000-0005-0000-0000-0000C6180000}"/>
    <cellStyle name="Migliaia 53 3 5" xfId="6346" xr:uid="{00000000-0005-0000-0000-0000C7180000}"/>
    <cellStyle name="Migliaia 53 3 5 2" xfId="6347" xr:uid="{00000000-0005-0000-0000-0000C8180000}"/>
    <cellStyle name="Migliaia 53 3 6" xfId="6348" xr:uid="{00000000-0005-0000-0000-0000C9180000}"/>
    <cellStyle name="Migliaia 53 3 6 2" xfId="6349" xr:uid="{00000000-0005-0000-0000-0000CA180000}"/>
    <cellStyle name="Migliaia 53 3 7" xfId="6350" xr:uid="{00000000-0005-0000-0000-0000CB180000}"/>
    <cellStyle name="Migliaia 53 4" xfId="6351" xr:uid="{00000000-0005-0000-0000-0000CC180000}"/>
    <cellStyle name="Migliaia 53 4 2" xfId="6352" xr:uid="{00000000-0005-0000-0000-0000CD180000}"/>
    <cellStyle name="Migliaia 53 4 2 2" xfId="6353" xr:uid="{00000000-0005-0000-0000-0000CE180000}"/>
    <cellStyle name="Migliaia 53 4 2 2 2" xfId="6354" xr:uid="{00000000-0005-0000-0000-0000CF180000}"/>
    <cellStyle name="Migliaia 53 4 2 3" xfId="6355" xr:uid="{00000000-0005-0000-0000-0000D0180000}"/>
    <cellStyle name="Migliaia 53 4 2 4" xfId="6356" xr:uid="{00000000-0005-0000-0000-0000D1180000}"/>
    <cellStyle name="Migliaia 53 4 2 5" xfId="6357" xr:uid="{00000000-0005-0000-0000-0000D2180000}"/>
    <cellStyle name="Migliaia 53 4 3" xfId="6358" xr:uid="{00000000-0005-0000-0000-0000D3180000}"/>
    <cellStyle name="Migliaia 53 4 4" xfId="6359" xr:uid="{00000000-0005-0000-0000-0000D4180000}"/>
    <cellStyle name="Migliaia 53 4 5" xfId="6360" xr:uid="{00000000-0005-0000-0000-0000D5180000}"/>
    <cellStyle name="Migliaia 53 5" xfId="6361" xr:uid="{00000000-0005-0000-0000-0000D6180000}"/>
    <cellStyle name="Migliaia 53 5 2" xfId="6362" xr:uid="{00000000-0005-0000-0000-0000D7180000}"/>
    <cellStyle name="Migliaia 53 5 3" xfId="6363" xr:uid="{00000000-0005-0000-0000-0000D8180000}"/>
    <cellStyle name="Migliaia 53 6" xfId="6364" xr:uid="{00000000-0005-0000-0000-0000D9180000}"/>
    <cellStyle name="Migliaia 53 6 2" xfId="6365" xr:uid="{00000000-0005-0000-0000-0000DA180000}"/>
    <cellStyle name="Migliaia 53 6 2 2" xfId="6366" xr:uid="{00000000-0005-0000-0000-0000DB180000}"/>
    <cellStyle name="Migliaia 53 6 3" xfId="6367" xr:uid="{00000000-0005-0000-0000-0000DC180000}"/>
    <cellStyle name="Migliaia 53 7" xfId="6368" xr:uid="{00000000-0005-0000-0000-0000DD180000}"/>
    <cellStyle name="Migliaia 53 7 2" xfId="6369" xr:uid="{00000000-0005-0000-0000-0000DE180000}"/>
    <cellStyle name="Migliaia 53 8" xfId="6370" xr:uid="{00000000-0005-0000-0000-0000DF180000}"/>
    <cellStyle name="Migliaia 53 8 2" xfId="6371" xr:uid="{00000000-0005-0000-0000-0000E0180000}"/>
    <cellStyle name="Migliaia 54" xfId="6372" xr:uid="{00000000-0005-0000-0000-0000E1180000}"/>
    <cellStyle name="Migliaia 54 2" xfId="6373" xr:uid="{00000000-0005-0000-0000-0000E2180000}"/>
    <cellStyle name="Migliaia 54 2 2" xfId="6374" xr:uid="{00000000-0005-0000-0000-0000E3180000}"/>
    <cellStyle name="Migliaia 54 2 2 2" xfId="6375" xr:uid="{00000000-0005-0000-0000-0000E4180000}"/>
    <cellStyle name="Migliaia 54 2 2 2 2" xfId="6376" xr:uid="{00000000-0005-0000-0000-0000E5180000}"/>
    <cellStyle name="Migliaia 54 2 2 2 3" xfId="6377" xr:uid="{00000000-0005-0000-0000-0000E6180000}"/>
    <cellStyle name="Migliaia 54 2 2 3" xfId="6378" xr:uid="{00000000-0005-0000-0000-0000E7180000}"/>
    <cellStyle name="Migliaia 54 2 2 4" xfId="6379" xr:uid="{00000000-0005-0000-0000-0000E8180000}"/>
    <cellStyle name="Migliaia 54 2 3" xfId="6380" xr:uid="{00000000-0005-0000-0000-0000E9180000}"/>
    <cellStyle name="Migliaia 54 2 3 2" xfId="6381" xr:uid="{00000000-0005-0000-0000-0000EA180000}"/>
    <cellStyle name="Migliaia 54 2 4" xfId="6382" xr:uid="{00000000-0005-0000-0000-0000EB180000}"/>
    <cellStyle name="Migliaia 54 2 4 2" xfId="6383" xr:uid="{00000000-0005-0000-0000-0000EC180000}"/>
    <cellStyle name="Migliaia 54 2 5" xfId="6384" xr:uid="{00000000-0005-0000-0000-0000ED180000}"/>
    <cellStyle name="Migliaia 54 3" xfId="6385" xr:uid="{00000000-0005-0000-0000-0000EE180000}"/>
    <cellStyle name="Migliaia 54 3 2" xfId="6386" xr:uid="{00000000-0005-0000-0000-0000EF180000}"/>
    <cellStyle name="Migliaia 54 3 2 2" xfId="6387" xr:uid="{00000000-0005-0000-0000-0000F0180000}"/>
    <cellStyle name="Migliaia 54 3 2 2 2" xfId="6388" xr:uid="{00000000-0005-0000-0000-0000F1180000}"/>
    <cellStyle name="Migliaia 54 3 2 2 3" xfId="6389" xr:uid="{00000000-0005-0000-0000-0000F2180000}"/>
    <cellStyle name="Migliaia 54 3 2 3" xfId="6390" xr:uid="{00000000-0005-0000-0000-0000F3180000}"/>
    <cellStyle name="Migliaia 54 3 2 3 2" xfId="6391" xr:uid="{00000000-0005-0000-0000-0000F4180000}"/>
    <cellStyle name="Migliaia 54 3 2 4" xfId="6392" xr:uid="{00000000-0005-0000-0000-0000F5180000}"/>
    <cellStyle name="Migliaia 54 3 3" xfId="6393" xr:uid="{00000000-0005-0000-0000-0000F6180000}"/>
    <cellStyle name="Migliaia 54 3 3 2" xfId="6394" xr:uid="{00000000-0005-0000-0000-0000F7180000}"/>
    <cellStyle name="Migliaia 54 3 3 2 2" xfId="6395" xr:uid="{00000000-0005-0000-0000-0000F8180000}"/>
    <cellStyle name="Migliaia 54 3 3 3" xfId="6396" xr:uid="{00000000-0005-0000-0000-0000F9180000}"/>
    <cellStyle name="Migliaia 54 3 4" xfId="6397" xr:uid="{00000000-0005-0000-0000-0000FA180000}"/>
    <cellStyle name="Migliaia 54 3 4 2" xfId="6398" xr:uid="{00000000-0005-0000-0000-0000FB180000}"/>
    <cellStyle name="Migliaia 54 3 4 2 2" xfId="6399" xr:uid="{00000000-0005-0000-0000-0000FC180000}"/>
    <cellStyle name="Migliaia 54 3 4 3" xfId="6400" xr:uid="{00000000-0005-0000-0000-0000FD180000}"/>
    <cellStyle name="Migliaia 54 3 5" xfId="6401" xr:uid="{00000000-0005-0000-0000-0000FE180000}"/>
    <cellStyle name="Migliaia 54 3 5 2" xfId="6402" xr:uid="{00000000-0005-0000-0000-0000FF180000}"/>
    <cellStyle name="Migliaia 54 3 6" xfId="6403" xr:uid="{00000000-0005-0000-0000-000000190000}"/>
    <cellStyle name="Migliaia 54 3 6 2" xfId="6404" xr:uid="{00000000-0005-0000-0000-000001190000}"/>
    <cellStyle name="Migliaia 54 3 7" xfId="6405" xr:uid="{00000000-0005-0000-0000-000002190000}"/>
    <cellStyle name="Migliaia 54 4" xfId="6406" xr:uid="{00000000-0005-0000-0000-000003190000}"/>
    <cellStyle name="Migliaia 54 4 2" xfId="6407" xr:uid="{00000000-0005-0000-0000-000004190000}"/>
    <cellStyle name="Migliaia 54 4 2 2" xfId="6408" xr:uid="{00000000-0005-0000-0000-000005190000}"/>
    <cellStyle name="Migliaia 54 4 2 2 2" xfId="6409" xr:uid="{00000000-0005-0000-0000-000006190000}"/>
    <cellStyle name="Migliaia 54 4 2 3" xfId="6410" xr:uid="{00000000-0005-0000-0000-000007190000}"/>
    <cellStyle name="Migliaia 54 4 2 4" xfId="6411" xr:uid="{00000000-0005-0000-0000-000008190000}"/>
    <cellStyle name="Migliaia 54 4 2 5" xfId="6412" xr:uid="{00000000-0005-0000-0000-000009190000}"/>
    <cellStyle name="Migliaia 54 4 3" xfId="6413" xr:uid="{00000000-0005-0000-0000-00000A190000}"/>
    <cellStyle name="Migliaia 54 4 4" xfId="6414" xr:uid="{00000000-0005-0000-0000-00000B190000}"/>
    <cellStyle name="Migliaia 54 4 5" xfId="6415" xr:uid="{00000000-0005-0000-0000-00000C190000}"/>
    <cellStyle name="Migliaia 54 5" xfId="6416" xr:uid="{00000000-0005-0000-0000-00000D190000}"/>
    <cellStyle name="Migliaia 54 5 2" xfId="6417" xr:uid="{00000000-0005-0000-0000-00000E190000}"/>
    <cellStyle name="Migliaia 54 5 3" xfId="6418" xr:uid="{00000000-0005-0000-0000-00000F190000}"/>
    <cellStyle name="Migliaia 54 6" xfId="6419" xr:uid="{00000000-0005-0000-0000-000010190000}"/>
    <cellStyle name="Migliaia 54 6 2" xfId="6420" xr:uid="{00000000-0005-0000-0000-000011190000}"/>
    <cellStyle name="Migliaia 54 6 2 2" xfId="6421" xr:uid="{00000000-0005-0000-0000-000012190000}"/>
    <cellStyle name="Migliaia 54 6 3" xfId="6422" xr:uid="{00000000-0005-0000-0000-000013190000}"/>
    <cellStyle name="Migliaia 54 7" xfId="6423" xr:uid="{00000000-0005-0000-0000-000014190000}"/>
    <cellStyle name="Migliaia 54 7 2" xfId="6424" xr:uid="{00000000-0005-0000-0000-000015190000}"/>
    <cellStyle name="Migliaia 54 8" xfId="6425" xr:uid="{00000000-0005-0000-0000-000016190000}"/>
    <cellStyle name="Migliaia 54 8 2" xfId="6426" xr:uid="{00000000-0005-0000-0000-000017190000}"/>
    <cellStyle name="Migliaia 55" xfId="6427" xr:uid="{00000000-0005-0000-0000-000018190000}"/>
    <cellStyle name="Migliaia 55 2" xfId="6428" xr:uid="{00000000-0005-0000-0000-000019190000}"/>
    <cellStyle name="Migliaia 55 2 2" xfId="6429" xr:uid="{00000000-0005-0000-0000-00001A190000}"/>
    <cellStyle name="Migliaia 55 2 2 2" xfId="6430" xr:uid="{00000000-0005-0000-0000-00001B190000}"/>
    <cellStyle name="Migliaia 55 2 2 2 2" xfId="6431" xr:uid="{00000000-0005-0000-0000-00001C190000}"/>
    <cellStyle name="Migliaia 55 2 2 2 3" xfId="6432" xr:uid="{00000000-0005-0000-0000-00001D190000}"/>
    <cellStyle name="Migliaia 55 2 2 3" xfId="6433" xr:uid="{00000000-0005-0000-0000-00001E190000}"/>
    <cellStyle name="Migliaia 55 2 2 4" xfId="6434" xr:uid="{00000000-0005-0000-0000-00001F190000}"/>
    <cellStyle name="Migliaia 55 2 3" xfId="6435" xr:uid="{00000000-0005-0000-0000-000020190000}"/>
    <cellStyle name="Migliaia 55 2 3 2" xfId="6436" xr:uid="{00000000-0005-0000-0000-000021190000}"/>
    <cellStyle name="Migliaia 55 2 4" xfId="6437" xr:uid="{00000000-0005-0000-0000-000022190000}"/>
    <cellStyle name="Migliaia 55 2 4 2" xfId="6438" xr:uid="{00000000-0005-0000-0000-000023190000}"/>
    <cellStyle name="Migliaia 55 2 5" xfId="6439" xr:uid="{00000000-0005-0000-0000-000024190000}"/>
    <cellStyle name="Migliaia 55 3" xfId="6440" xr:uid="{00000000-0005-0000-0000-000025190000}"/>
    <cellStyle name="Migliaia 55 3 2" xfId="6441" xr:uid="{00000000-0005-0000-0000-000026190000}"/>
    <cellStyle name="Migliaia 55 3 2 2" xfId="6442" xr:uid="{00000000-0005-0000-0000-000027190000}"/>
    <cellStyle name="Migliaia 55 3 2 2 2" xfId="6443" xr:uid="{00000000-0005-0000-0000-000028190000}"/>
    <cellStyle name="Migliaia 55 3 2 2 3" xfId="6444" xr:uid="{00000000-0005-0000-0000-000029190000}"/>
    <cellStyle name="Migliaia 55 3 2 3" xfId="6445" xr:uid="{00000000-0005-0000-0000-00002A190000}"/>
    <cellStyle name="Migliaia 55 3 2 3 2" xfId="6446" xr:uid="{00000000-0005-0000-0000-00002B190000}"/>
    <cellStyle name="Migliaia 55 3 2 4" xfId="6447" xr:uid="{00000000-0005-0000-0000-00002C190000}"/>
    <cellStyle name="Migliaia 55 3 3" xfId="6448" xr:uid="{00000000-0005-0000-0000-00002D190000}"/>
    <cellStyle name="Migliaia 55 3 3 2" xfId="6449" xr:uid="{00000000-0005-0000-0000-00002E190000}"/>
    <cellStyle name="Migliaia 55 3 3 2 2" xfId="6450" xr:uid="{00000000-0005-0000-0000-00002F190000}"/>
    <cellStyle name="Migliaia 55 3 3 3" xfId="6451" xr:uid="{00000000-0005-0000-0000-000030190000}"/>
    <cellStyle name="Migliaia 55 3 4" xfId="6452" xr:uid="{00000000-0005-0000-0000-000031190000}"/>
    <cellStyle name="Migliaia 55 3 4 2" xfId="6453" xr:uid="{00000000-0005-0000-0000-000032190000}"/>
    <cellStyle name="Migliaia 55 3 4 2 2" xfId="6454" xr:uid="{00000000-0005-0000-0000-000033190000}"/>
    <cellStyle name="Migliaia 55 3 4 3" xfId="6455" xr:uid="{00000000-0005-0000-0000-000034190000}"/>
    <cellStyle name="Migliaia 55 3 5" xfId="6456" xr:uid="{00000000-0005-0000-0000-000035190000}"/>
    <cellStyle name="Migliaia 55 3 5 2" xfId="6457" xr:uid="{00000000-0005-0000-0000-000036190000}"/>
    <cellStyle name="Migliaia 55 3 6" xfId="6458" xr:uid="{00000000-0005-0000-0000-000037190000}"/>
    <cellStyle name="Migliaia 55 3 6 2" xfId="6459" xr:uid="{00000000-0005-0000-0000-000038190000}"/>
    <cellStyle name="Migliaia 55 3 7" xfId="6460" xr:uid="{00000000-0005-0000-0000-000039190000}"/>
    <cellStyle name="Migliaia 55 4" xfId="6461" xr:uid="{00000000-0005-0000-0000-00003A190000}"/>
    <cellStyle name="Migliaia 55 4 2" xfId="6462" xr:uid="{00000000-0005-0000-0000-00003B190000}"/>
    <cellStyle name="Migliaia 55 4 2 2" xfId="6463" xr:uid="{00000000-0005-0000-0000-00003C190000}"/>
    <cellStyle name="Migliaia 55 4 2 2 2" xfId="6464" xr:uid="{00000000-0005-0000-0000-00003D190000}"/>
    <cellStyle name="Migliaia 55 4 2 3" xfId="6465" xr:uid="{00000000-0005-0000-0000-00003E190000}"/>
    <cellStyle name="Migliaia 55 4 2 4" xfId="6466" xr:uid="{00000000-0005-0000-0000-00003F190000}"/>
    <cellStyle name="Migliaia 55 4 2 5" xfId="6467" xr:uid="{00000000-0005-0000-0000-000040190000}"/>
    <cellStyle name="Migliaia 55 4 3" xfId="6468" xr:uid="{00000000-0005-0000-0000-000041190000}"/>
    <cellStyle name="Migliaia 55 4 4" xfId="6469" xr:uid="{00000000-0005-0000-0000-000042190000}"/>
    <cellStyle name="Migliaia 55 4 5" xfId="6470" xr:uid="{00000000-0005-0000-0000-000043190000}"/>
    <cellStyle name="Migliaia 55 5" xfId="6471" xr:uid="{00000000-0005-0000-0000-000044190000}"/>
    <cellStyle name="Migliaia 55 5 2" xfId="6472" xr:uid="{00000000-0005-0000-0000-000045190000}"/>
    <cellStyle name="Migliaia 55 5 3" xfId="6473" xr:uid="{00000000-0005-0000-0000-000046190000}"/>
    <cellStyle name="Migliaia 55 6" xfId="6474" xr:uid="{00000000-0005-0000-0000-000047190000}"/>
    <cellStyle name="Migliaia 55 6 2" xfId="6475" xr:uid="{00000000-0005-0000-0000-000048190000}"/>
    <cellStyle name="Migliaia 55 6 2 2" xfId="6476" xr:uid="{00000000-0005-0000-0000-000049190000}"/>
    <cellStyle name="Migliaia 55 6 3" xfId="6477" xr:uid="{00000000-0005-0000-0000-00004A190000}"/>
    <cellStyle name="Migliaia 55 7" xfId="6478" xr:uid="{00000000-0005-0000-0000-00004B190000}"/>
    <cellStyle name="Migliaia 55 7 2" xfId="6479" xr:uid="{00000000-0005-0000-0000-00004C190000}"/>
    <cellStyle name="Migliaia 55 8" xfId="6480" xr:uid="{00000000-0005-0000-0000-00004D190000}"/>
    <cellStyle name="Migliaia 55 8 2" xfId="6481" xr:uid="{00000000-0005-0000-0000-00004E190000}"/>
    <cellStyle name="Migliaia 56" xfId="6482" xr:uid="{00000000-0005-0000-0000-00004F190000}"/>
    <cellStyle name="Migliaia 56 2" xfId="6483" xr:uid="{00000000-0005-0000-0000-000050190000}"/>
    <cellStyle name="Migliaia 56 2 2" xfId="6484" xr:uid="{00000000-0005-0000-0000-000051190000}"/>
    <cellStyle name="Migliaia 56 2 2 2" xfId="6485" xr:uid="{00000000-0005-0000-0000-000052190000}"/>
    <cellStyle name="Migliaia 56 2 2 2 2" xfId="6486" xr:uid="{00000000-0005-0000-0000-000053190000}"/>
    <cellStyle name="Migliaia 56 2 2 2 3" xfId="6487" xr:uid="{00000000-0005-0000-0000-000054190000}"/>
    <cellStyle name="Migliaia 56 2 2 3" xfId="6488" xr:uid="{00000000-0005-0000-0000-000055190000}"/>
    <cellStyle name="Migliaia 56 2 2 4" xfId="6489" xr:uid="{00000000-0005-0000-0000-000056190000}"/>
    <cellStyle name="Migliaia 56 2 3" xfId="6490" xr:uid="{00000000-0005-0000-0000-000057190000}"/>
    <cellStyle name="Migliaia 56 2 3 2" xfId="6491" xr:uid="{00000000-0005-0000-0000-000058190000}"/>
    <cellStyle name="Migliaia 56 2 4" xfId="6492" xr:uid="{00000000-0005-0000-0000-000059190000}"/>
    <cellStyle name="Migliaia 56 2 4 2" xfId="6493" xr:uid="{00000000-0005-0000-0000-00005A190000}"/>
    <cellStyle name="Migliaia 56 2 5" xfId="6494" xr:uid="{00000000-0005-0000-0000-00005B190000}"/>
    <cellStyle name="Migliaia 56 3" xfId="6495" xr:uid="{00000000-0005-0000-0000-00005C190000}"/>
    <cellStyle name="Migliaia 56 3 2" xfId="6496" xr:uid="{00000000-0005-0000-0000-00005D190000}"/>
    <cellStyle name="Migliaia 56 3 2 2" xfId="6497" xr:uid="{00000000-0005-0000-0000-00005E190000}"/>
    <cellStyle name="Migliaia 56 3 2 2 2" xfId="6498" xr:uid="{00000000-0005-0000-0000-00005F190000}"/>
    <cellStyle name="Migliaia 56 3 2 2 3" xfId="6499" xr:uid="{00000000-0005-0000-0000-000060190000}"/>
    <cellStyle name="Migliaia 56 3 2 3" xfId="6500" xr:uid="{00000000-0005-0000-0000-000061190000}"/>
    <cellStyle name="Migliaia 56 3 2 3 2" xfId="6501" xr:uid="{00000000-0005-0000-0000-000062190000}"/>
    <cellStyle name="Migliaia 56 3 2 4" xfId="6502" xr:uid="{00000000-0005-0000-0000-000063190000}"/>
    <cellStyle name="Migliaia 56 3 3" xfId="6503" xr:uid="{00000000-0005-0000-0000-000064190000}"/>
    <cellStyle name="Migliaia 56 3 3 2" xfId="6504" xr:uid="{00000000-0005-0000-0000-000065190000}"/>
    <cellStyle name="Migliaia 56 3 3 2 2" xfId="6505" xr:uid="{00000000-0005-0000-0000-000066190000}"/>
    <cellStyle name="Migliaia 56 3 3 3" xfId="6506" xr:uid="{00000000-0005-0000-0000-000067190000}"/>
    <cellStyle name="Migliaia 56 3 4" xfId="6507" xr:uid="{00000000-0005-0000-0000-000068190000}"/>
    <cellStyle name="Migliaia 56 3 4 2" xfId="6508" xr:uid="{00000000-0005-0000-0000-000069190000}"/>
    <cellStyle name="Migliaia 56 3 4 2 2" xfId="6509" xr:uid="{00000000-0005-0000-0000-00006A190000}"/>
    <cellStyle name="Migliaia 56 3 4 3" xfId="6510" xr:uid="{00000000-0005-0000-0000-00006B190000}"/>
    <cellStyle name="Migliaia 56 3 5" xfId="6511" xr:uid="{00000000-0005-0000-0000-00006C190000}"/>
    <cellStyle name="Migliaia 56 3 5 2" xfId="6512" xr:uid="{00000000-0005-0000-0000-00006D190000}"/>
    <cellStyle name="Migliaia 56 3 6" xfId="6513" xr:uid="{00000000-0005-0000-0000-00006E190000}"/>
    <cellStyle name="Migliaia 56 3 6 2" xfId="6514" xr:uid="{00000000-0005-0000-0000-00006F190000}"/>
    <cellStyle name="Migliaia 56 3 7" xfId="6515" xr:uid="{00000000-0005-0000-0000-000070190000}"/>
    <cellStyle name="Migliaia 56 4" xfId="6516" xr:uid="{00000000-0005-0000-0000-000071190000}"/>
    <cellStyle name="Migliaia 56 4 2" xfId="6517" xr:uid="{00000000-0005-0000-0000-000072190000}"/>
    <cellStyle name="Migliaia 56 4 2 2" xfId="6518" xr:uid="{00000000-0005-0000-0000-000073190000}"/>
    <cellStyle name="Migliaia 56 4 2 2 2" xfId="6519" xr:uid="{00000000-0005-0000-0000-000074190000}"/>
    <cellStyle name="Migliaia 56 4 2 3" xfId="6520" xr:uid="{00000000-0005-0000-0000-000075190000}"/>
    <cellStyle name="Migliaia 56 4 2 4" xfId="6521" xr:uid="{00000000-0005-0000-0000-000076190000}"/>
    <cellStyle name="Migliaia 56 4 2 5" xfId="6522" xr:uid="{00000000-0005-0000-0000-000077190000}"/>
    <cellStyle name="Migliaia 56 4 3" xfId="6523" xr:uid="{00000000-0005-0000-0000-000078190000}"/>
    <cellStyle name="Migliaia 56 4 4" xfId="6524" xr:uid="{00000000-0005-0000-0000-000079190000}"/>
    <cellStyle name="Migliaia 56 4 5" xfId="6525" xr:uid="{00000000-0005-0000-0000-00007A190000}"/>
    <cellStyle name="Migliaia 56 5" xfId="6526" xr:uid="{00000000-0005-0000-0000-00007B190000}"/>
    <cellStyle name="Migliaia 56 5 2" xfId="6527" xr:uid="{00000000-0005-0000-0000-00007C190000}"/>
    <cellStyle name="Migliaia 56 5 3" xfId="6528" xr:uid="{00000000-0005-0000-0000-00007D190000}"/>
    <cellStyle name="Migliaia 56 6" xfId="6529" xr:uid="{00000000-0005-0000-0000-00007E190000}"/>
    <cellStyle name="Migliaia 56 6 2" xfId="6530" xr:uid="{00000000-0005-0000-0000-00007F190000}"/>
    <cellStyle name="Migliaia 56 6 2 2" xfId="6531" xr:uid="{00000000-0005-0000-0000-000080190000}"/>
    <cellStyle name="Migliaia 56 6 3" xfId="6532" xr:uid="{00000000-0005-0000-0000-000081190000}"/>
    <cellStyle name="Migliaia 56 7" xfId="6533" xr:uid="{00000000-0005-0000-0000-000082190000}"/>
    <cellStyle name="Migliaia 56 7 2" xfId="6534" xr:uid="{00000000-0005-0000-0000-000083190000}"/>
    <cellStyle name="Migliaia 56 8" xfId="6535" xr:uid="{00000000-0005-0000-0000-000084190000}"/>
    <cellStyle name="Migliaia 56 8 2" xfId="6536" xr:uid="{00000000-0005-0000-0000-000085190000}"/>
    <cellStyle name="Migliaia 57" xfId="6537" xr:uid="{00000000-0005-0000-0000-000086190000}"/>
    <cellStyle name="Migliaia 57 2" xfId="6538" xr:uid="{00000000-0005-0000-0000-000087190000}"/>
    <cellStyle name="Migliaia 57 2 2" xfId="6539" xr:uid="{00000000-0005-0000-0000-000088190000}"/>
    <cellStyle name="Migliaia 57 2 2 2" xfId="6540" xr:uid="{00000000-0005-0000-0000-000089190000}"/>
    <cellStyle name="Migliaia 57 2 2 2 2" xfId="6541" xr:uid="{00000000-0005-0000-0000-00008A190000}"/>
    <cellStyle name="Migliaia 57 2 2 2 3" xfId="6542" xr:uid="{00000000-0005-0000-0000-00008B190000}"/>
    <cellStyle name="Migliaia 57 2 2 3" xfId="6543" xr:uid="{00000000-0005-0000-0000-00008C190000}"/>
    <cellStyle name="Migliaia 57 2 2 4" xfId="6544" xr:uid="{00000000-0005-0000-0000-00008D190000}"/>
    <cellStyle name="Migliaia 57 2 3" xfId="6545" xr:uid="{00000000-0005-0000-0000-00008E190000}"/>
    <cellStyle name="Migliaia 57 2 3 2" xfId="6546" xr:uid="{00000000-0005-0000-0000-00008F190000}"/>
    <cellStyle name="Migliaia 57 2 4" xfId="6547" xr:uid="{00000000-0005-0000-0000-000090190000}"/>
    <cellStyle name="Migliaia 57 2 4 2" xfId="6548" xr:uid="{00000000-0005-0000-0000-000091190000}"/>
    <cellStyle name="Migliaia 57 2 5" xfId="6549" xr:uid="{00000000-0005-0000-0000-000092190000}"/>
    <cellStyle name="Migliaia 57 3" xfId="6550" xr:uid="{00000000-0005-0000-0000-000093190000}"/>
    <cellStyle name="Migliaia 57 3 2" xfId="6551" xr:uid="{00000000-0005-0000-0000-000094190000}"/>
    <cellStyle name="Migliaia 57 3 2 2" xfId="6552" xr:uid="{00000000-0005-0000-0000-000095190000}"/>
    <cellStyle name="Migliaia 57 3 2 2 2" xfId="6553" xr:uid="{00000000-0005-0000-0000-000096190000}"/>
    <cellStyle name="Migliaia 57 3 2 2 3" xfId="6554" xr:uid="{00000000-0005-0000-0000-000097190000}"/>
    <cellStyle name="Migliaia 57 3 2 3" xfId="6555" xr:uid="{00000000-0005-0000-0000-000098190000}"/>
    <cellStyle name="Migliaia 57 3 2 3 2" xfId="6556" xr:uid="{00000000-0005-0000-0000-000099190000}"/>
    <cellStyle name="Migliaia 57 3 2 4" xfId="6557" xr:uid="{00000000-0005-0000-0000-00009A190000}"/>
    <cellStyle name="Migliaia 57 3 3" xfId="6558" xr:uid="{00000000-0005-0000-0000-00009B190000}"/>
    <cellStyle name="Migliaia 57 3 3 2" xfId="6559" xr:uid="{00000000-0005-0000-0000-00009C190000}"/>
    <cellStyle name="Migliaia 57 3 3 2 2" xfId="6560" xr:uid="{00000000-0005-0000-0000-00009D190000}"/>
    <cellStyle name="Migliaia 57 3 3 3" xfId="6561" xr:uid="{00000000-0005-0000-0000-00009E190000}"/>
    <cellStyle name="Migliaia 57 3 4" xfId="6562" xr:uid="{00000000-0005-0000-0000-00009F190000}"/>
    <cellStyle name="Migliaia 57 3 4 2" xfId="6563" xr:uid="{00000000-0005-0000-0000-0000A0190000}"/>
    <cellStyle name="Migliaia 57 3 4 2 2" xfId="6564" xr:uid="{00000000-0005-0000-0000-0000A1190000}"/>
    <cellStyle name="Migliaia 57 3 4 3" xfId="6565" xr:uid="{00000000-0005-0000-0000-0000A2190000}"/>
    <cellStyle name="Migliaia 57 3 5" xfId="6566" xr:uid="{00000000-0005-0000-0000-0000A3190000}"/>
    <cellStyle name="Migliaia 57 3 5 2" xfId="6567" xr:uid="{00000000-0005-0000-0000-0000A4190000}"/>
    <cellStyle name="Migliaia 57 3 6" xfId="6568" xr:uid="{00000000-0005-0000-0000-0000A5190000}"/>
    <cellStyle name="Migliaia 57 3 6 2" xfId="6569" xr:uid="{00000000-0005-0000-0000-0000A6190000}"/>
    <cellStyle name="Migliaia 57 3 7" xfId="6570" xr:uid="{00000000-0005-0000-0000-0000A7190000}"/>
    <cellStyle name="Migliaia 57 4" xfId="6571" xr:uid="{00000000-0005-0000-0000-0000A8190000}"/>
    <cellStyle name="Migliaia 57 4 2" xfId="6572" xr:uid="{00000000-0005-0000-0000-0000A9190000}"/>
    <cellStyle name="Migliaia 57 4 2 2" xfId="6573" xr:uid="{00000000-0005-0000-0000-0000AA190000}"/>
    <cellStyle name="Migliaia 57 4 2 2 2" xfId="6574" xr:uid="{00000000-0005-0000-0000-0000AB190000}"/>
    <cellStyle name="Migliaia 57 4 2 3" xfId="6575" xr:uid="{00000000-0005-0000-0000-0000AC190000}"/>
    <cellStyle name="Migliaia 57 4 2 4" xfId="6576" xr:uid="{00000000-0005-0000-0000-0000AD190000}"/>
    <cellStyle name="Migliaia 57 4 2 5" xfId="6577" xr:uid="{00000000-0005-0000-0000-0000AE190000}"/>
    <cellStyle name="Migliaia 57 4 3" xfId="6578" xr:uid="{00000000-0005-0000-0000-0000AF190000}"/>
    <cellStyle name="Migliaia 57 4 4" xfId="6579" xr:uid="{00000000-0005-0000-0000-0000B0190000}"/>
    <cellStyle name="Migliaia 57 4 5" xfId="6580" xr:uid="{00000000-0005-0000-0000-0000B1190000}"/>
    <cellStyle name="Migliaia 57 5" xfId="6581" xr:uid="{00000000-0005-0000-0000-0000B2190000}"/>
    <cellStyle name="Migliaia 57 5 2" xfId="6582" xr:uid="{00000000-0005-0000-0000-0000B3190000}"/>
    <cellStyle name="Migliaia 57 5 3" xfId="6583" xr:uid="{00000000-0005-0000-0000-0000B4190000}"/>
    <cellStyle name="Migliaia 57 6" xfId="6584" xr:uid="{00000000-0005-0000-0000-0000B5190000}"/>
    <cellStyle name="Migliaia 57 6 2" xfId="6585" xr:uid="{00000000-0005-0000-0000-0000B6190000}"/>
    <cellStyle name="Migliaia 57 6 2 2" xfId="6586" xr:uid="{00000000-0005-0000-0000-0000B7190000}"/>
    <cellStyle name="Migliaia 57 6 3" xfId="6587" xr:uid="{00000000-0005-0000-0000-0000B8190000}"/>
    <cellStyle name="Migliaia 57 7" xfId="6588" xr:uid="{00000000-0005-0000-0000-0000B9190000}"/>
    <cellStyle name="Migliaia 57 7 2" xfId="6589" xr:uid="{00000000-0005-0000-0000-0000BA190000}"/>
    <cellStyle name="Migliaia 57 8" xfId="6590" xr:uid="{00000000-0005-0000-0000-0000BB190000}"/>
    <cellStyle name="Migliaia 57 8 2" xfId="6591" xr:uid="{00000000-0005-0000-0000-0000BC190000}"/>
    <cellStyle name="Migliaia 58" xfId="6592" xr:uid="{00000000-0005-0000-0000-0000BD190000}"/>
    <cellStyle name="Migliaia 58 2" xfId="6593" xr:uid="{00000000-0005-0000-0000-0000BE190000}"/>
    <cellStyle name="Migliaia 58 2 2" xfId="6594" xr:uid="{00000000-0005-0000-0000-0000BF190000}"/>
    <cellStyle name="Migliaia 58 2 2 2" xfId="6595" xr:uid="{00000000-0005-0000-0000-0000C0190000}"/>
    <cellStyle name="Migliaia 58 2 2 2 2" xfId="6596" xr:uid="{00000000-0005-0000-0000-0000C1190000}"/>
    <cellStyle name="Migliaia 58 2 2 2 3" xfId="6597" xr:uid="{00000000-0005-0000-0000-0000C2190000}"/>
    <cellStyle name="Migliaia 58 2 2 3" xfId="6598" xr:uid="{00000000-0005-0000-0000-0000C3190000}"/>
    <cellStyle name="Migliaia 58 2 2 4" xfId="6599" xr:uid="{00000000-0005-0000-0000-0000C4190000}"/>
    <cellStyle name="Migliaia 58 2 3" xfId="6600" xr:uid="{00000000-0005-0000-0000-0000C5190000}"/>
    <cellStyle name="Migliaia 58 2 3 2" xfId="6601" xr:uid="{00000000-0005-0000-0000-0000C6190000}"/>
    <cellStyle name="Migliaia 58 2 4" xfId="6602" xr:uid="{00000000-0005-0000-0000-0000C7190000}"/>
    <cellStyle name="Migliaia 58 2 4 2" xfId="6603" xr:uid="{00000000-0005-0000-0000-0000C8190000}"/>
    <cellStyle name="Migliaia 58 2 5" xfId="6604" xr:uid="{00000000-0005-0000-0000-0000C9190000}"/>
    <cellStyle name="Migliaia 58 3" xfId="6605" xr:uid="{00000000-0005-0000-0000-0000CA190000}"/>
    <cellStyle name="Migliaia 58 3 2" xfId="6606" xr:uid="{00000000-0005-0000-0000-0000CB190000}"/>
    <cellStyle name="Migliaia 58 3 2 2" xfId="6607" xr:uid="{00000000-0005-0000-0000-0000CC190000}"/>
    <cellStyle name="Migliaia 58 3 2 2 2" xfId="6608" xr:uid="{00000000-0005-0000-0000-0000CD190000}"/>
    <cellStyle name="Migliaia 58 3 2 2 3" xfId="6609" xr:uid="{00000000-0005-0000-0000-0000CE190000}"/>
    <cellStyle name="Migliaia 58 3 2 3" xfId="6610" xr:uid="{00000000-0005-0000-0000-0000CF190000}"/>
    <cellStyle name="Migliaia 58 3 2 3 2" xfId="6611" xr:uid="{00000000-0005-0000-0000-0000D0190000}"/>
    <cellStyle name="Migliaia 58 3 2 4" xfId="6612" xr:uid="{00000000-0005-0000-0000-0000D1190000}"/>
    <cellStyle name="Migliaia 58 3 3" xfId="6613" xr:uid="{00000000-0005-0000-0000-0000D2190000}"/>
    <cellStyle name="Migliaia 58 3 3 2" xfId="6614" xr:uid="{00000000-0005-0000-0000-0000D3190000}"/>
    <cellStyle name="Migliaia 58 3 3 2 2" xfId="6615" xr:uid="{00000000-0005-0000-0000-0000D4190000}"/>
    <cellStyle name="Migliaia 58 3 3 3" xfId="6616" xr:uid="{00000000-0005-0000-0000-0000D5190000}"/>
    <cellStyle name="Migliaia 58 3 4" xfId="6617" xr:uid="{00000000-0005-0000-0000-0000D6190000}"/>
    <cellStyle name="Migliaia 58 3 4 2" xfId="6618" xr:uid="{00000000-0005-0000-0000-0000D7190000}"/>
    <cellStyle name="Migliaia 58 3 4 2 2" xfId="6619" xr:uid="{00000000-0005-0000-0000-0000D8190000}"/>
    <cellStyle name="Migliaia 58 3 4 3" xfId="6620" xr:uid="{00000000-0005-0000-0000-0000D9190000}"/>
    <cellStyle name="Migliaia 58 3 5" xfId="6621" xr:uid="{00000000-0005-0000-0000-0000DA190000}"/>
    <cellStyle name="Migliaia 58 3 5 2" xfId="6622" xr:uid="{00000000-0005-0000-0000-0000DB190000}"/>
    <cellStyle name="Migliaia 58 3 6" xfId="6623" xr:uid="{00000000-0005-0000-0000-0000DC190000}"/>
    <cellStyle name="Migliaia 58 3 6 2" xfId="6624" xr:uid="{00000000-0005-0000-0000-0000DD190000}"/>
    <cellStyle name="Migliaia 58 3 7" xfId="6625" xr:uid="{00000000-0005-0000-0000-0000DE190000}"/>
    <cellStyle name="Migliaia 58 4" xfId="6626" xr:uid="{00000000-0005-0000-0000-0000DF190000}"/>
    <cellStyle name="Migliaia 58 4 2" xfId="6627" xr:uid="{00000000-0005-0000-0000-0000E0190000}"/>
    <cellStyle name="Migliaia 58 4 2 2" xfId="6628" xr:uid="{00000000-0005-0000-0000-0000E1190000}"/>
    <cellStyle name="Migliaia 58 4 2 2 2" xfId="6629" xr:uid="{00000000-0005-0000-0000-0000E2190000}"/>
    <cellStyle name="Migliaia 58 4 2 3" xfId="6630" xr:uid="{00000000-0005-0000-0000-0000E3190000}"/>
    <cellStyle name="Migliaia 58 4 2 4" xfId="6631" xr:uid="{00000000-0005-0000-0000-0000E4190000}"/>
    <cellStyle name="Migliaia 58 4 2 5" xfId="6632" xr:uid="{00000000-0005-0000-0000-0000E5190000}"/>
    <cellStyle name="Migliaia 58 4 3" xfId="6633" xr:uid="{00000000-0005-0000-0000-0000E6190000}"/>
    <cellStyle name="Migliaia 58 4 4" xfId="6634" xr:uid="{00000000-0005-0000-0000-0000E7190000}"/>
    <cellStyle name="Migliaia 58 4 5" xfId="6635" xr:uid="{00000000-0005-0000-0000-0000E8190000}"/>
    <cellStyle name="Migliaia 58 5" xfId="6636" xr:uid="{00000000-0005-0000-0000-0000E9190000}"/>
    <cellStyle name="Migliaia 58 5 2" xfId="6637" xr:uid="{00000000-0005-0000-0000-0000EA190000}"/>
    <cellStyle name="Migliaia 58 5 3" xfId="6638" xr:uid="{00000000-0005-0000-0000-0000EB190000}"/>
    <cellStyle name="Migliaia 58 6" xfId="6639" xr:uid="{00000000-0005-0000-0000-0000EC190000}"/>
    <cellStyle name="Migliaia 58 6 2" xfId="6640" xr:uid="{00000000-0005-0000-0000-0000ED190000}"/>
    <cellStyle name="Migliaia 58 6 2 2" xfId="6641" xr:uid="{00000000-0005-0000-0000-0000EE190000}"/>
    <cellStyle name="Migliaia 58 6 3" xfId="6642" xr:uid="{00000000-0005-0000-0000-0000EF190000}"/>
    <cellStyle name="Migliaia 58 7" xfId="6643" xr:uid="{00000000-0005-0000-0000-0000F0190000}"/>
    <cellStyle name="Migliaia 58 7 2" xfId="6644" xr:uid="{00000000-0005-0000-0000-0000F1190000}"/>
    <cellStyle name="Migliaia 58 8" xfId="6645" xr:uid="{00000000-0005-0000-0000-0000F2190000}"/>
    <cellStyle name="Migliaia 58 8 2" xfId="6646" xr:uid="{00000000-0005-0000-0000-0000F3190000}"/>
    <cellStyle name="Migliaia 59" xfId="6647" xr:uid="{00000000-0005-0000-0000-0000F4190000}"/>
    <cellStyle name="Migliaia 59 2" xfId="6648" xr:uid="{00000000-0005-0000-0000-0000F5190000}"/>
    <cellStyle name="Migliaia 59 2 2" xfId="6649" xr:uid="{00000000-0005-0000-0000-0000F6190000}"/>
    <cellStyle name="Migliaia 59 2 2 2" xfId="6650" xr:uid="{00000000-0005-0000-0000-0000F7190000}"/>
    <cellStyle name="Migliaia 59 2 2 2 2" xfId="6651" xr:uid="{00000000-0005-0000-0000-0000F8190000}"/>
    <cellStyle name="Migliaia 59 2 2 2 3" xfId="6652" xr:uid="{00000000-0005-0000-0000-0000F9190000}"/>
    <cellStyle name="Migliaia 59 2 2 3" xfId="6653" xr:uid="{00000000-0005-0000-0000-0000FA190000}"/>
    <cellStyle name="Migliaia 59 2 2 4" xfId="6654" xr:uid="{00000000-0005-0000-0000-0000FB190000}"/>
    <cellStyle name="Migliaia 59 2 3" xfId="6655" xr:uid="{00000000-0005-0000-0000-0000FC190000}"/>
    <cellStyle name="Migliaia 59 2 3 2" xfId="6656" xr:uid="{00000000-0005-0000-0000-0000FD190000}"/>
    <cellStyle name="Migliaia 59 2 4" xfId="6657" xr:uid="{00000000-0005-0000-0000-0000FE190000}"/>
    <cellStyle name="Migliaia 59 2 4 2" xfId="6658" xr:uid="{00000000-0005-0000-0000-0000FF190000}"/>
    <cellStyle name="Migliaia 59 2 5" xfId="6659" xr:uid="{00000000-0005-0000-0000-0000001A0000}"/>
    <cellStyle name="Migliaia 59 3" xfId="6660" xr:uid="{00000000-0005-0000-0000-0000011A0000}"/>
    <cellStyle name="Migliaia 59 3 2" xfId="6661" xr:uid="{00000000-0005-0000-0000-0000021A0000}"/>
    <cellStyle name="Migliaia 59 3 2 2" xfId="6662" xr:uid="{00000000-0005-0000-0000-0000031A0000}"/>
    <cellStyle name="Migliaia 59 3 2 2 2" xfId="6663" xr:uid="{00000000-0005-0000-0000-0000041A0000}"/>
    <cellStyle name="Migliaia 59 3 2 2 3" xfId="6664" xr:uid="{00000000-0005-0000-0000-0000051A0000}"/>
    <cellStyle name="Migliaia 59 3 2 3" xfId="6665" xr:uid="{00000000-0005-0000-0000-0000061A0000}"/>
    <cellStyle name="Migliaia 59 3 2 3 2" xfId="6666" xr:uid="{00000000-0005-0000-0000-0000071A0000}"/>
    <cellStyle name="Migliaia 59 3 2 4" xfId="6667" xr:uid="{00000000-0005-0000-0000-0000081A0000}"/>
    <cellStyle name="Migliaia 59 3 3" xfId="6668" xr:uid="{00000000-0005-0000-0000-0000091A0000}"/>
    <cellStyle name="Migliaia 59 3 3 2" xfId="6669" xr:uid="{00000000-0005-0000-0000-00000A1A0000}"/>
    <cellStyle name="Migliaia 59 3 3 2 2" xfId="6670" xr:uid="{00000000-0005-0000-0000-00000B1A0000}"/>
    <cellStyle name="Migliaia 59 3 3 3" xfId="6671" xr:uid="{00000000-0005-0000-0000-00000C1A0000}"/>
    <cellStyle name="Migliaia 59 3 4" xfId="6672" xr:uid="{00000000-0005-0000-0000-00000D1A0000}"/>
    <cellStyle name="Migliaia 59 3 4 2" xfId="6673" xr:uid="{00000000-0005-0000-0000-00000E1A0000}"/>
    <cellStyle name="Migliaia 59 3 4 2 2" xfId="6674" xr:uid="{00000000-0005-0000-0000-00000F1A0000}"/>
    <cellStyle name="Migliaia 59 3 4 3" xfId="6675" xr:uid="{00000000-0005-0000-0000-0000101A0000}"/>
    <cellStyle name="Migliaia 59 3 5" xfId="6676" xr:uid="{00000000-0005-0000-0000-0000111A0000}"/>
    <cellStyle name="Migliaia 59 3 5 2" xfId="6677" xr:uid="{00000000-0005-0000-0000-0000121A0000}"/>
    <cellStyle name="Migliaia 59 3 6" xfId="6678" xr:uid="{00000000-0005-0000-0000-0000131A0000}"/>
    <cellStyle name="Migliaia 59 3 6 2" xfId="6679" xr:uid="{00000000-0005-0000-0000-0000141A0000}"/>
    <cellStyle name="Migliaia 59 3 7" xfId="6680" xr:uid="{00000000-0005-0000-0000-0000151A0000}"/>
    <cellStyle name="Migliaia 59 4" xfId="6681" xr:uid="{00000000-0005-0000-0000-0000161A0000}"/>
    <cellStyle name="Migliaia 59 4 2" xfId="6682" xr:uid="{00000000-0005-0000-0000-0000171A0000}"/>
    <cellStyle name="Migliaia 59 4 2 2" xfId="6683" xr:uid="{00000000-0005-0000-0000-0000181A0000}"/>
    <cellStyle name="Migliaia 59 4 2 2 2" xfId="6684" xr:uid="{00000000-0005-0000-0000-0000191A0000}"/>
    <cellStyle name="Migliaia 59 4 2 3" xfId="6685" xr:uid="{00000000-0005-0000-0000-00001A1A0000}"/>
    <cellStyle name="Migliaia 59 4 2 4" xfId="6686" xr:uid="{00000000-0005-0000-0000-00001B1A0000}"/>
    <cellStyle name="Migliaia 59 4 2 5" xfId="6687" xr:uid="{00000000-0005-0000-0000-00001C1A0000}"/>
    <cellStyle name="Migliaia 59 4 3" xfId="6688" xr:uid="{00000000-0005-0000-0000-00001D1A0000}"/>
    <cellStyle name="Migliaia 59 4 4" xfId="6689" xr:uid="{00000000-0005-0000-0000-00001E1A0000}"/>
    <cellStyle name="Migliaia 59 4 5" xfId="6690" xr:uid="{00000000-0005-0000-0000-00001F1A0000}"/>
    <cellStyle name="Migliaia 59 5" xfId="6691" xr:uid="{00000000-0005-0000-0000-0000201A0000}"/>
    <cellStyle name="Migliaia 59 5 2" xfId="6692" xr:uid="{00000000-0005-0000-0000-0000211A0000}"/>
    <cellStyle name="Migliaia 59 5 3" xfId="6693" xr:uid="{00000000-0005-0000-0000-0000221A0000}"/>
    <cellStyle name="Migliaia 59 6" xfId="6694" xr:uid="{00000000-0005-0000-0000-0000231A0000}"/>
    <cellStyle name="Migliaia 59 6 2" xfId="6695" xr:uid="{00000000-0005-0000-0000-0000241A0000}"/>
    <cellStyle name="Migliaia 59 6 2 2" xfId="6696" xr:uid="{00000000-0005-0000-0000-0000251A0000}"/>
    <cellStyle name="Migliaia 59 6 3" xfId="6697" xr:uid="{00000000-0005-0000-0000-0000261A0000}"/>
    <cellStyle name="Migliaia 59 7" xfId="6698" xr:uid="{00000000-0005-0000-0000-0000271A0000}"/>
    <cellStyle name="Migliaia 59 7 2" xfId="6699" xr:uid="{00000000-0005-0000-0000-0000281A0000}"/>
    <cellStyle name="Migliaia 59 8" xfId="6700" xr:uid="{00000000-0005-0000-0000-0000291A0000}"/>
    <cellStyle name="Migliaia 59 8 2" xfId="6701" xr:uid="{00000000-0005-0000-0000-00002A1A0000}"/>
    <cellStyle name="Migliaia 6" xfId="6702" xr:uid="{00000000-0005-0000-0000-00002B1A0000}"/>
    <cellStyle name="Migliaia 6 2" xfId="6703" xr:uid="{00000000-0005-0000-0000-00002C1A0000}"/>
    <cellStyle name="Migliaia 6 2 2" xfId="6704" xr:uid="{00000000-0005-0000-0000-00002D1A0000}"/>
    <cellStyle name="Migliaia 6 2 2 2" xfId="6705" xr:uid="{00000000-0005-0000-0000-00002E1A0000}"/>
    <cellStyle name="Migliaia 6 2 2 2 2" xfId="6706" xr:uid="{00000000-0005-0000-0000-00002F1A0000}"/>
    <cellStyle name="Migliaia 6 2 2 2 3" xfId="6707" xr:uid="{00000000-0005-0000-0000-0000301A0000}"/>
    <cellStyle name="Migliaia 6 2 2 3" xfId="6708" xr:uid="{00000000-0005-0000-0000-0000311A0000}"/>
    <cellStyle name="Migliaia 6 2 2 4" xfId="6709" xr:uid="{00000000-0005-0000-0000-0000321A0000}"/>
    <cellStyle name="Migliaia 6 2 3" xfId="6710" xr:uid="{00000000-0005-0000-0000-0000331A0000}"/>
    <cellStyle name="Migliaia 6 2 3 2" xfId="6711" xr:uid="{00000000-0005-0000-0000-0000341A0000}"/>
    <cellStyle name="Migliaia 6 2 4" xfId="6712" xr:uid="{00000000-0005-0000-0000-0000351A0000}"/>
    <cellStyle name="Migliaia 6 2 4 2" xfId="6713" xr:uid="{00000000-0005-0000-0000-0000361A0000}"/>
    <cellStyle name="Migliaia 6 2 5" xfId="6714" xr:uid="{00000000-0005-0000-0000-0000371A0000}"/>
    <cellStyle name="Migliaia 6 3" xfId="6715" xr:uid="{00000000-0005-0000-0000-0000381A0000}"/>
    <cellStyle name="Migliaia 6 3 2" xfId="6716" xr:uid="{00000000-0005-0000-0000-0000391A0000}"/>
    <cellStyle name="Migliaia 6 3 2 2" xfId="6717" xr:uid="{00000000-0005-0000-0000-00003A1A0000}"/>
    <cellStyle name="Migliaia 6 3 2 2 2" xfId="6718" xr:uid="{00000000-0005-0000-0000-00003B1A0000}"/>
    <cellStyle name="Migliaia 6 3 2 2 3" xfId="6719" xr:uid="{00000000-0005-0000-0000-00003C1A0000}"/>
    <cellStyle name="Migliaia 6 3 2 3" xfId="6720" xr:uid="{00000000-0005-0000-0000-00003D1A0000}"/>
    <cellStyle name="Migliaia 6 3 2 3 2" xfId="6721" xr:uid="{00000000-0005-0000-0000-00003E1A0000}"/>
    <cellStyle name="Migliaia 6 3 2 4" xfId="6722" xr:uid="{00000000-0005-0000-0000-00003F1A0000}"/>
    <cellStyle name="Migliaia 6 3 3" xfId="6723" xr:uid="{00000000-0005-0000-0000-0000401A0000}"/>
    <cellStyle name="Migliaia 6 3 3 2" xfId="6724" xr:uid="{00000000-0005-0000-0000-0000411A0000}"/>
    <cellStyle name="Migliaia 6 3 3 2 2" xfId="6725" xr:uid="{00000000-0005-0000-0000-0000421A0000}"/>
    <cellStyle name="Migliaia 6 3 3 3" xfId="6726" xr:uid="{00000000-0005-0000-0000-0000431A0000}"/>
    <cellStyle name="Migliaia 6 3 4" xfId="6727" xr:uid="{00000000-0005-0000-0000-0000441A0000}"/>
    <cellStyle name="Migliaia 6 3 4 2" xfId="6728" xr:uid="{00000000-0005-0000-0000-0000451A0000}"/>
    <cellStyle name="Migliaia 6 3 4 2 2" xfId="6729" xr:uid="{00000000-0005-0000-0000-0000461A0000}"/>
    <cellStyle name="Migliaia 6 3 4 3" xfId="6730" xr:uid="{00000000-0005-0000-0000-0000471A0000}"/>
    <cellStyle name="Migliaia 6 3 5" xfId="6731" xr:uid="{00000000-0005-0000-0000-0000481A0000}"/>
    <cellStyle name="Migliaia 6 3 5 2" xfId="6732" xr:uid="{00000000-0005-0000-0000-0000491A0000}"/>
    <cellStyle name="Migliaia 6 3 6" xfId="6733" xr:uid="{00000000-0005-0000-0000-00004A1A0000}"/>
    <cellStyle name="Migliaia 6 3 6 2" xfId="6734" xr:uid="{00000000-0005-0000-0000-00004B1A0000}"/>
    <cellStyle name="Migliaia 6 3 7" xfId="6735" xr:uid="{00000000-0005-0000-0000-00004C1A0000}"/>
    <cellStyle name="Migliaia 6 4" xfId="6736" xr:uid="{00000000-0005-0000-0000-00004D1A0000}"/>
    <cellStyle name="Migliaia 6 4 2" xfId="6737" xr:uid="{00000000-0005-0000-0000-00004E1A0000}"/>
    <cellStyle name="Migliaia 6 4 2 2" xfId="6738" xr:uid="{00000000-0005-0000-0000-00004F1A0000}"/>
    <cellStyle name="Migliaia 6 4 2 2 2" xfId="6739" xr:uid="{00000000-0005-0000-0000-0000501A0000}"/>
    <cellStyle name="Migliaia 6 4 2 3" xfId="6740" xr:uid="{00000000-0005-0000-0000-0000511A0000}"/>
    <cellStyle name="Migliaia 6 4 2 4" xfId="6741" xr:uid="{00000000-0005-0000-0000-0000521A0000}"/>
    <cellStyle name="Migliaia 6 4 2 5" xfId="6742" xr:uid="{00000000-0005-0000-0000-0000531A0000}"/>
    <cellStyle name="Migliaia 6 4 3" xfId="6743" xr:uid="{00000000-0005-0000-0000-0000541A0000}"/>
    <cellStyle name="Migliaia 6 4 4" xfId="6744" xr:uid="{00000000-0005-0000-0000-0000551A0000}"/>
    <cellStyle name="Migliaia 6 4 5" xfId="6745" xr:uid="{00000000-0005-0000-0000-0000561A0000}"/>
    <cellStyle name="Migliaia 6 5" xfId="6746" xr:uid="{00000000-0005-0000-0000-0000571A0000}"/>
    <cellStyle name="Migliaia 6 5 2" xfId="6747" xr:uid="{00000000-0005-0000-0000-0000581A0000}"/>
    <cellStyle name="Migliaia 6 5 3" xfId="6748" xr:uid="{00000000-0005-0000-0000-0000591A0000}"/>
    <cellStyle name="Migliaia 6 6" xfId="6749" xr:uid="{00000000-0005-0000-0000-00005A1A0000}"/>
    <cellStyle name="Migliaia 6 6 2" xfId="6750" xr:uid="{00000000-0005-0000-0000-00005B1A0000}"/>
    <cellStyle name="Migliaia 6 6 2 2" xfId="6751" xr:uid="{00000000-0005-0000-0000-00005C1A0000}"/>
    <cellStyle name="Migliaia 6 6 3" xfId="6752" xr:uid="{00000000-0005-0000-0000-00005D1A0000}"/>
    <cellStyle name="Migliaia 6 7" xfId="6753" xr:uid="{00000000-0005-0000-0000-00005E1A0000}"/>
    <cellStyle name="Migliaia 6 7 2" xfId="6754" xr:uid="{00000000-0005-0000-0000-00005F1A0000}"/>
    <cellStyle name="Migliaia 6 8" xfId="6755" xr:uid="{00000000-0005-0000-0000-0000601A0000}"/>
    <cellStyle name="Migliaia 6 8 2" xfId="6756" xr:uid="{00000000-0005-0000-0000-0000611A0000}"/>
    <cellStyle name="Migliaia 60" xfId="6757" xr:uid="{00000000-0005-0000-0000-0000621A0000}"/>
    <cellStyle name="Migliaia 60 2" xfId="6758" xr:uid="{00000000-0005-0000-0000-0000631A0000}"/>
    <cellStyle name="Migliaia 60 2 2" xfId="6759" xr:uid="{00000000-0005-0000-0000-0000641A0000}"/>
    <cellStyle name="Migliaia 60 2 2 2" xfId="6760" xr:uid="{00000000-0005-0000-0000-0000651A0000}"/>
    <cellStyle name="Migliaia 60 2 2 2 2" xfId="6761" xr:uid="{00000000-0005-0000-0000-0000661A0000}"/>
    <cellStyle name="Migliaia 60 2 2 2 3" xfId="6762" xr:uid="{00000000-0005-0000-0000-0000671A0000}"/>
    <cellStyle name="Migliaia 60 2 2 3" xfId="6763" xr:uid="{00000000-0005-0000-0000-0000681A0000}"/>
    <cellStyle name="Migliaia 60 2 2 4" xfId="6764" xr:uid="{00000000-0005-0000-0000-0000691A0000}"/>
    <cellStyle name="Migliaia 60 2 3" xfId="6765" xr:uid="{00000000-0005-0000-0000-00006A1A0000}"/>
    <cellStyle name="Migliaia 60 2 3 2" xfId="6766" xr:uid="{00000000-0005-0000-0000-00006B1A0000}"/>
    <cellStyle name="Migliaia 60 2 4" xfId="6767" xr:uid="{00000000-0005-0000-0000-00006C1A0000}"/>
    <cellStyle name="Migliaia 60 2 4 2" xfId="6768" xr:uid="{00000000-0005-0000-0000-00006D1A0000}"/>
    <cellStyle name="Migliaia 60 2 5" xfId="6769" xr:uid="{00000000-0005-0000-0000-00006E1A0000}"/>
    <cellStyle name="Migliaia 60 3" xfId="6770" xr:uid="{00000000-0005-0000-0000-00006F1A0000}"/>
    <cellStyle name="Migliaia 60 3 2" xfId="6771" xr:uid="{00000000-0005-0000-0000-0000701A0000}"/>
    <cellStyle name="Migliaia 60 3 2 2" xfId="6772" xr:uid="{00000000-0005-0000-0000-0000711A0000}"/>
    <cellStyle name="Migliaia 60 3 2 2 2" xfId="6773" xr:uid="{00000000-0005-0000-0000-0000721A0000}"/>
    <cellStyle name="Migliaia 60 3 2 2 3" xfId="6774" xr:uid="{00000000-0005-0000-0000-0000731A0000}"/>
    <cellStyle name="Migliaia 60 3 2 3" xfId="6775" xr:uid="{00000000-0005-0000-0000-0000741A0000}"/>
    <cellStyle name="Migliaia 60 3 2 3 2" xfId="6776" xr:uid="{00000000-0005-0000-0000-0000751A0000}"/>
    <cellStyle name="Migliaia 60 3 2 4" xfId="6777" xr:uid="{00000000-0005-0000-0000-0000761A0000}"/>
    <cellStyle name="Migliaia 60 3 3" xfId="6778" xr:uid="{00000000-0005-0000-0000-0000771A0000}"/>
    <cellStyle name="Migliaia 60 3 3 2" xfId="6779" xr:uid="{00000000-0005-0000-0000-0000781A0000}"/>
    <cellStyle name="Migliaia 60 3 3 2 2" xfId="6780" xr:uid="{00000000-0005-0000-0000-0000791A0000}"/>
    <cellStyle name="Migliaia 60 3 3 3" xfId="6781" xr:uid="{00000000-0005-0000-0000-00007A1A0000}"/>
    <cellStyle name="Migliaia 60 3 4" xfId="6782" xr:uid="{00000000-0005-0000-0000-00007B1A0000}"/>
    <cellStyle name="Migliaia 60 3 4 2" xfId="6783" xr:uid="{00000000-0005-0000-0000-00007C1A0000}"/>
    <cellStyle name="Migliaia 60 3 4 2 2" xfId="6784" xr:uid="{00000000-0005-0000-0000-00007D1A0000}"/>
    <cellStyle name="Migliaia 60 3 4 3" xfId="6785" xr:uid="{00000000-0005-0000-0000-00007E1A0000}"/>
    <cellStyle name="Migliaia 60 3 5" xfId="6786" xr:uid="{00000000-0005-0000-0000-00007F1A0000}"/>
    <cellStyle name="Migliaia 60 3 5 2" xfId="6787" xr:uid="{00000000-0005-0000-0000-0000801A0000}"/>
    <cellStyle name="Migliaia 60 3 6" xfId="6788" xr:uid="{00000000-0005-0000-0000-0000811A0000}"/>
    <cellStyle name="Migliaia 60 3 6 2" xfId="6789" xr:uid="{00000000-0005-0000-0000-0000821A0000}"/>
    <cellStyle name="Migliaia 60 3 7" xfId="6790" xr:uid="{00000000-0005-0000-0000-0000831A0000}"/>
    <cellStyle name="Migliaia 60 4" xfId="6791" xr:uid="{00000000-0005-0000-0000-0000841A0000}"/>
    <cellStyle name="Migliaia 60 4 2" xfId="6792" xr:uid="{00000000-0005-0000-0000-0000851A0000}"/>
    <cellStyle name="Migliaia 60 4 2 2" xfId="6793" xr:uid="{00000000-0005-0000-0000-0000861A0000}"/>
    <cellStyle name="Migliaia 60 4 2 2 2" xfId="6794" xr:uid="{00000000-0005-0000-0000-0000871A0000}"/>
    <cellStyle name="Migliaia 60 4 2 3" xfId="6795" xr:uid="{00000000-0005-0000-0000-0000881A0000}"/>
    <cellStyle name="Migliaia 60 4 2 4" xfId="6796" xr:uid="{00000000-0005-0000-0000-0000891A0000}"/>
    <cellStyle name="Migliaia 60 4 2 5" xfId="6797" xr:uid="{00000000-0005-0000-0000-00008A1A0000}"/>
    <cellStyle name="Migliaia 60 4 3" xfId="6798" xr:uid="{00000000-0005-0000-0000-00008B1A0000}"/>
    <cellStyle name="Migliaia 60 4 4" xfId="6799" xr:uid="{00000000-0005-0000-0000-00008C1A0000}"/>
    <cellStyle name="Migliaia 60 4 5" xfId="6800" xr:uid="{00000000-0005-0000-0000-00008D1A0000}"/>
    <cellStyle name="Migliaia 60 5" xfId="6801" xr:uid="{00000000-0005-0000-0000-00008E1A0000}"/>
    <cellStyle name="Migliaia 60 5 2" xfId="6802" xr:uid="{00000000-0005-0000-0000-00008F1A0000}"/>
    <cellStyle name="Migliaia 60 5 3" xfId="6803" xr:uid="{00000000-0005-0000-0000-0000901A0000}"/>
    <cellStyle name="Migliaia 60 6" xfId="6804" xr:uid="{00000000-0005-0000-0000-0000911A0000}"/>
    <cellStyle name="Migliaia 60 6 2" xfId="6805" xr:uid="{00000000-0005-0000-0000-0000921A0000}"/>
    <cellStyle name="Migliaia 60 6 2 2" xfId="6806" xr:uid="{00000000-0005-0000-0000-0000931A0000}"/>
    <cellStyle name="Migliaia 60 6 3" xfId="6807" xr:uid="{00000000-0005-0000-0000-0000941A0000}"/>
    <cellStyle name="Migliaia 60 7" xfId="6808" xr:uid="{00000000-0005-0000-0000-0000951A0000}"/>
    <cellStyle name="Migliaia 60 7 2" xfId="6809" xr:uid="{00000000-0005-0000-0000-0000961A0000}"/>
    <cellStyle name="Migliaia 60 8" xfId="6810" xr:uid="{00000000-0005-0000-0000-0000971A0000}"/>
    <cellStyle name="Migliaia 60 8 2" xfId="6811" xr:uid="{00000000-0005-0000-0000-0000981A0000}"/>
    <cellStyle name="Migliaia 61" xfId="6812" xr:uid="{00000000-0005-0000-0000-0000991A0000}"/>
    <cellStyle name="Migliaia 61 2" xfId="6813" xr:uid="{00000000-0005-0000-0000-00009A1A0000}"/>
    <cellStyle name="Migliaia 61 2 2" xfId="6814" xr:uid="{00000000-0005-0000-0000-00009B1A0000}"/>
    <cellStyle name="Migliaia 61 2 2 2" xfId="6815" xr:uid="{00000000-0005-0000-0000-00009C1A0000}"/>
    <cellStyle name="Migliaia 61 2 2 2 2" xfId="6816" xr:uid="{00000000-0005-0000-0000-00009D1A0000}"/>
    <cellStyle name="Migliaia 61 2 2 2 3" xfId="6817" xr:uid="{00000000-0005-0000-0000-00009E1A0000}"/>
    <cellStyle name="Migliaia 61 2 2 3" xfId="6818" xr:uid="{00000000-0005-0000-0000-00009F1A0000}"/>
    <cellStyle name="Migliaia 61 2 2 4" xfId="6819" xr:uid="{00000000-0005-0000-0000-0000A01A0000}"/>
    <cellStyle name="Migliaia 61 2 3" xfId="6820" xr:uid="{00000000-0005-0000-0000-0000A11A0000}"/>
    <cellStyle name="Migliaia 61 2 3 2" xfId="6821" xr:uid="{00000000-0005-0000-0000-0000A21A0000}"/>
    <cellStyle name="Migliaia 61 2 4" xfId="6822" xr:uid="{00000000-0005-0000-0000-0000A31A0000}"/>
    <cellStyle name="Migliaia 61 2 4 2" xfId="6823" xr:uid="{00000000-0005-0000-0000-0000A41A0000}"/>
    <cellStyle name="Migliaia 61 2 5" xfId="6824" xr:uid="{00000000-0005-0000-0000-0000A51A0000}"/>
    <cellStyle name="Migliaia 61 3" xfId="6825" xr:uid="{00000000-0005-0000-0000-0000A61A0000}"/>
    <cellStyle name="Migliaia 61 3 2" xfId="6826" xr:uid="{00000000-0005-0000-0000-0000A71A0000}"/>
    <cellStyle name="Migliaia 61 3 2 2" xfId="6827" xr:uid="{00000000-0005-0000-0000-0000A81A0000}"/>
    <cellStyle name="Migliaia 61 3 2 2 2" xfId="6828" xr:uid="{00000000-0005-0000-0000-0000A91A0000}"/>
    <cellStyle name="Migliaia 61 3 2 2 3" xfId="6829" xr:uid="{00000000-0005-0000-0000-0000AA1A0000}"/>
    <cellStyle name="Migliaia 61 3 2 3" xfId="6830" xr:uid="{00000000-0005-0000-0000-0000AB1A0000}"/>
    <cellStyle name="Migliaia 61 3 2 3 2" xfId="6831" xr:uid="{00000000-0005-0000-0000-0000AC1A0000}"/>
    <cellStyle name="Migliaia 61 3 2 4" xfId="6832" xr:uid="{00000000-0005-0000-0000-0000AD1A0000}"/>
    <cellStyle name="Migliaia 61 3 3" xfId="6833" xr:uid="{00000000-0005-0000-0000-0000AE1A0000}"/>
    <cellStyle name="Migliaia 61 3 3 2" xfId="6834" xr:uid="{00000000-0005-0000-0000-0000AF1A0000}"/>
    <cellStyle name="Migliaia 61 3 3 2 2" xfId="6835" xr:uid="{00000000-0005-0000-0000-0000B01A0000}"/>
    <cellStyle name="Migliaia 61 3 3 3" xfId="6836" xr:uid="{00000000-0005-0000-0000-0000B11A0000}"/>
    <cellStyle name="Migliaia 61 3 4" xfId="6837" xr:uid="{00000000-0005-0000-0000-0000B21A0000}"/>
    <cellStyle name="Migliaia 61 3 4 2" xfId="6838" xr:uid="{00000000-0005-0000-0000-0000B31A0000}"/>
    <cellStyle name="Migliaia 61 3 4 2 2" xfId="6839" xr:uid="{00000000-0005-0000-0000-0000B41A0000}"/>
    <cellStyle name="Migliaia 61 3 4 3" xfId="6840" xr:uid="{00000000-0005-0000-0000-0000B51A0000}"/>
    <cellStyle name="Migliaia 61 3 5" xfId="6841" xr:uid="{00000000-0005-0000-0000-0000B61A0000}"/>
    <cellStyle name="Migliaia 61 3 5 2" xfId="6842" xr:uid="{00000000-0005-0000-0000-0000B71A0000}"/>
    <cellStyle name="Migliaia 61 3 6" xfId="6843" xr:uid="{00000000-0005-0000-0000-0000B81A0000}"/>
    <cellStyle name="Migliaia 61 3 6 2" xfId="6844" xr:uid="{00000000-0005-0000-0000-0000B91A0000}"/>
    <cellStyle name="Migliaia 61 3 7" xfId="6845" xr:uid="{00000000-0005-0000-0000-0000BA1A0000}"/>
    <cellStyle name="Migliaia 61 4" xfId="6846" xr:uid="{00000000-0005-0000-0000-0000BB1A0000}"/>
    <cellStyle name="Migliaia 61 4 2" xfId="6847" xr:uid="{00000000-0005-0000-0000-0000BC1A0000}"/>
    <cellStyle name="Migliaia 61 4 2 2" xfId="6848" xr:uid="{00000000-0005-0000-0000-0000BD1A0000}"/>
    <cellStyle name="Migliaia 61 4 2 2 2" xfId="6849" xr:uid="{00000000-0005-0000-0000-0000BE1A0000}"/>
    <cellStyle name="Migliaia 61 4 2 3" xfId="6850" xr:uid="{00000000-0005-0000-0000-0000BF1A0000}"/>
    <cellStyle name="Migliaia 61 4 2 4" xfId="6851" xr:uid="{00000000-0005-0000-0000-0000C01A0000}"/>
    <cellStyle name="Migliaia 61 4 2 5" xfId="6852" xr:uid="{00000000-0005-0000-0000-0000C11A0000}"/>
    <cellStyle name="Migliaia 61 4 3" xfId="6853" xr:uid="{00000000-0005-0000-0000-0000C21A0000}"/>
    <cellStyle name="Migliaia 61 4 4" xfId="6854" xr:uid="{00000000-0005-0000-0000-0000C31A0000}"/>
    <cellStyle name="Migliaia 61 4 5" xfId="6855" xr:uid="{00000000-0005-0000-0000-0000C41A0000}"/>
    <cellStyle name="Migliaia 61 5" xfId="6856" xr:uid="{00000000-0005-0000-0000-0000C51A0000}"/>
    <cellStyle name="Migliaia 61 5 2" xfId="6857" xr:uid="{00000000-0005-0000-0000-0000C61A0000}"/>
    <cellStyle name="Migliaia 61 5 3" xfId="6858" xr:uid="{00000000-0005-0000-0000-0000C71A0000}"/>
    <cellStyle name="Migliaia 61 6" xfId="6859" xr:uid="{00000000-0005-0000-0000-0000C81A0000}"/>
    <cellStyle name="Migliaia 61 6 2" xfId="6860" xr:uid="{00000000-0005-0000-0000-0000C91A0000}"/>
    <cellStyle name="Migliaia 61 6 2 2" xfId="6861" xr:uid="{00000000-0005-0000-0000-0000CA1A0000}"/>
    <cellStyle name="Migliaia 61 6 3" xfId="6862" xr:uid="{00000000-0005-0000-0000-0000CB1A0000}"/>
    <cellStyle name="Migliaia 61 7" xfId="6863" xr:uid="{00000000-0005-0000-0000-0000CC1A0000}"/>
    <cellStyle name="Migliaia 61 7 2" xfId="6864" xr:uid="{00000000-0005-0000-0000-0000CD1A0000}"/>
    <cellStyle name="Migliaia 61 8" xfId="6865" xr:uid="{00000000-0005-0000-0000-0000CE1A0000}"/>
    <cellStyle name="Migliaia 61 8 2" xfId="6866" xr:uid="{00000000-0005-0000-0000-0000CF1A0000}"/>
    <cellStyle name="Migliaia 7" xfId="6867" xr:uid="{00000000-0005-0000-0000-0000D01A0000}"/>
    <cellStyle name="Migliaia 7 2" xfId="6868" xr:uid="{00000000-0005-0000-0000-0000D11A0000}"/>
    <cellStyle name="Migliaia 7 2 2" xfId="6869" xr:uid="{00000000-0005-0000-0000-0000D21A0000}"/>
    <cellStyle name="Migliaia 7 2 2 2" xfId="6870" xr:uid="{00000000-0005-0000-0000-0000D31A0000}"/>
    <cellStyle name="Migliaia 7 2 2 2 2" xfId="6871" xr:uid="{00000000-0005-0000-0000-0000D41A0000}"/>
    <cellStyle name="Migliaia 7 2 2 2 3" xfId="6872" xr:uid="{00000000-0005-0000-0000-0000D51A0000}"/>
    <cellStyle name="Migliaia 7 2 2 3" xfId="6873" xr:uid="{00000000-0005-0000-0000-0000D61A0000}"/>
    <cellStyle name="Migliaia 7 2 2 4" xfId="6874" xr:uid="{00000000-0005-0000-0000-0000D71A0000}"/>
    <cellStyle name="Migliaia 7 2 3" xfId="6875" xr:uid="{00000000-0005-0000-0000-0000D81A0000}"/>
    <cellStyle name="Migliaia 7 2 3 2" xfId="6876" xr:uid="{00000000-0005-0000-0000-0000D91A0000}"/>
    <cellStyle name="Migliaia 7 2 4" xfId="6877" xr:uid="{00000000-0005-0000-0000-0000DA1A0000}"/>
    <cellStyle name="Migliaia 7 2 4 2" xfId="6878" xr:uid="{00000000-0005-0000-0000-0000DB1A0000}"/>
    <cellStyle name="Migliaia 7 2 5" xfId="6879" xr:uid="{00000000-0005-0000-0000-0000DC1A0000}"/>
    <cellStyle name="Migliaia 7 3" xfId="6880" xr:uid="{00000000-0005-0000-0000-0000DD1A0000}"/>
    <cellStyle name="Migliaia 7 3 2" xfId="6881" xr:uid="{00000000-0005-0000-0000-0000DE1A0000}"/>
    <cellStyle name="Migliaia 7 3 2 2" xfId="6882" xr:uid="{00000000-0005-0000-0000-0000DF1A0000}"/>
    <cellStyle name="Migliaia 7 3 2 2 2" xfId="6883" xr:uid="{00000000-0005-0000-0000-0000E01A0000}"/>
    <cellStyle name="Migliaia 7 3 2 2 3" xfId="6884" xr:uid="{00000000-0005-0000-0000-0000E11A0000}"/>
    <cellStyle name="Migliaia 7 3 2 3" xfId="6885" xr:uid="{00000000-0005-0000-0000-0000E21A0000}"/>
    <cellStyle name="Migliaia 7 3 2 3 2" xfId="6886" xr:uid="{00000000-0005-0000-0000-0000E31A0000}"/>
    <cellStyle name="Migliaia 7 3 2 4" xfId="6887" xr:uid="{00000000-0005-0000-0000-0000E41A0000}"/>
    <cellStyle name="Migliaia 7 3 3" xfId="6888" xr:uid="{00000000-0005-0000-0000-0000E51A0000}"/>
    <cellStyle name="Migliaia 7 3 3 2" xfId="6889" xr:uid="{00000000-0005-0000-0000-0000E61A0000}"/>
    <cellStyle name="Migliaia 7 3 3 2 2" xfId="6890" xr:uid="{00000000-0005-0000-0000-0000E71A0000}"/>
    <cellStyle name="Migliaia 7 3 3 3" xfId="6891" xr:uid="{00000000-0005-0000-0000-0000E81A0000}"/>
    <cellStyle name="Migliaia 7 3 4" xfId="6892" xr:uid="{00000000-0005-0000-0000-0000E91A0000}"/>
    <cellStyle name="Migliaia 7 3 4 2" xfId="6893" xr:uid="{00000000-0005-0000-0000-0000EA1A0000}"/>
    <cellStyle name="Migliaia 7 3 4 2 2" xfId="6894" xr:uid="{00000000-0005-0000-0000-0000EB1A0000}"/>
    <cellStyle name="Migliaia 7 3 4 3" xfId="6895" xr:uid="{00000000-0005-0000-0000-0000EC1A0000}"/>
    <cellStyle name="Migliaia 7 3 5" xfId="6896" xr:uid="{00000000-0005-0000-0000-0000ED1A0000}"/>
    <cellStyle name="Migliaia 7 3 5 2" xfId="6897" xr:uid="{00000000-0005-0000-0000-0000EE1A0000}"/>
    <cellStyle name="Migliaia 7 3 6" xfId="6898" xr:uid="{00000000-0005-0000-0000-0000EF1A0000}"/>
    <cellStyle name="Migliaia 7 3 6 2" xfId="6899" xr:uid="{00000000-0005-0000-0000-0000F01A0000}"/>
    <cellStyle name="Migliaia 7 3 7" xfId="6900" xr:uid="{00000000-0005-0000-0000-0000F11A0000}"/>
    <cellStyle name="Migliaia 7 4" xfId="6901" xr:uid="{00000000-0005-0000-0000-0000F21A0000}"/>
    <cellStyle name="Migliaia 7 4 2" xfId="6902" xr:uid="{00000000-0005-0000-0000-0000F31A0000}"/>
    <cellStyle name="Migliaia 7 4 2 2" xfId="6903" xr:uid="{00000000-0005-0000-0000-0000F41A0000}"/>
    <cellStyle name="Migliaia 7 4 2 2 2" xfId="6904" xr:uid="{00000000-0005-0000-0000-0000F51A0000}"/>
    <cellStyle name="Migliaia 7 4 2 3" xfId="6905" xr:uid="{00000000-0005-0000-0000-0000F61A0000}"/>
    <cellStyle name="Migliaia 7 4 2 4" xfId="6906" xr:uid="{00000000-0005-0000-0000-0000F71A0000}"/>
    <cellStyle name="Migliaia 7 4 2 5" xfId="6907" xr:uid="{00000000-0005-0000-0000-0000F81A0000}"/>
    <cellStyle name="Migliaia 7 4 3" xfId="6908" xr:uid="{00000000-0005-0000-0000-0000F91A0000}"/>
    <cellStyle name="Migliaia 7 4 4" xfId="6909" xr:uid="{00000000-0005-0000-0000-0000FA1A0000}"/>
    <cellStyle name="Migliaia 7 4 5" xfId="6910" xr:uid="{00000000-0005-0000-0000-0000FB1A0000}"/>
    <cellStyle name="Migliaia 7 5" xfId="6911" xr:uid="{00000000-0005-0000-0000-0000FC1A0000}"/>
    <cellStyle name="Migliaia 7 5 2" xfId="6912" xr:uid="{00000000-0005-0000-0000-0000FD1A0000}"/>
    <cellStyle name="Migliaia 7 5 3" xfId="6913" xr:uid="{00000000-0005-0000-0000-0000FE1A0000}"/>
    <cellStyle name="Migliaia 7 6" xfId="6914" xr:uid="{00000000-0005-0000-0000-0000FF1A0000}"/>
    <cellStyle name="Migliaia 7 6 2" xfId="6915" xr:uid="{00000000-0005-0000-0000-0000001B0000}"/>
    <cellStyle name="Migliaia 7 6 2 2" xfId="6916" xr:uid="{00000000-0005-0000-0000-0000011B0000}"/>
    <cellStyle name="Migliaia 7 6 3" xfId="6917" xr:uid="{00000000-0005-0000-0000-0000021B0000}"/>
    <cellStyle name="Migliaia 7 7" xfId="6918" xr:uid="{00000000-0005-0000-0000-0000031B0000}"/>
    <cellStyle name="Migliaia 7 7 2" xfId="6919" xr:uid="{00000000-0005-0000-0000-0000041B0000}"/>
    <cellStyle name="Migliaia 7 8" xfId="6920" xr:uid="{00000000-0005-0000-0000-0000051B0000}"/>
    <cellStyle name="Migliaia 7 8 2" xfId="6921" xr:uid="{00000000-0005-0000-0000-0000061B0000}"/>
    <cellStyle name="Migliaia 8" xfId="6922" xr:uid="{00000000-0005-0000-0000-0000071B0000}"/>
    <cellStyle name="Migliaia 8 2" xfId="6923" xr:uid="{00000000-0005-0000-0000-0000081B0000}"/>
    <cellStyle name="Migliaia 8 2 2" xfId="6924" xr:uid="{00000000-0005-0000-0000-0000091B0000}"/>
    <cellStyle name="Migliaia 8 2 2 2" xfId="6925" xr:uid="{00000000-0005-0000-0000-00000A1B0000}"/>
    <cellStyle name="Migliaia 8 2 2 2 2" xfId="6926" xr:uid="{00000000-0005-0000-0000-00000B1B0000}"/>
    <cellStyle name="Migliaia 8 2 2 2 3" xfId="6927" xr:uid="{00000000-0005-0000-0000-00000C1B0000}"/>
    <cellStyle name="Migliaia 8 2 2 3" xfId="6928" xr:uid="{00000000-0005-0000-0000-00000D1B0000}"/>
    <cellStyle name="Migliaia 8 2 2 4" xfId="6929" xr:uid="{00000000-0005-0000-0000-00000E1B0000}"/>
    <cellStyle name="Migliaia 8 2 3" xfId="6930" xr:uid="{00000000-0005-0000-0000-00000F1B0000}"/>
    <cellStyle name="Migliaia 8 2 3 2" xfId="6931" xr:uid="{00000000-0005-0000-0000-0000101B0000}"/>
    <cellStyle name="Migliaia 8 2 4" xfId="6932" xr:uid="{00000000-0005-0000-0000-0000111B0000}"/>
    <cellStyle name="Migliaia 8 2 4 2" xfId="6933" xr:uid="{00000000-0005-0000-0000-0000121B0000}"/>
    <cellStyle name="Migliaia 8 2 5" xfId="6934" xr:uid="{00000000-0005-0000-0000-0000131B0000}"/>
    <cellStyle name="Migliaia 8 3" xfId="6935" xr:uid="{00000000-0005-0000-0000-0000141B0000}"/>
    <cellStyle name="Migliaia 8 3 2" xfId="6936" xr:uid="{00000000-0005-0000-0000-0000151B0000}"/>
    <cellStyle name="Migliaia 8 3 2 2" xfId="6937" xr:uid="{00000000-0005-0000-0000-0000161B0000}"/>
    <cellStyle name="Migliaia 8 3 2 2 2" xfId="6938" xr:uid="{00000000-0005-0000-0000-0000171B0000}"/>
    <cellStyle name="Migliaia 8 3 2 2 3" xfId="6939" xr:uid="{00000000-0005-0000-0000-0000181B0000}"/>
    <cellStyle name="Migliaia 8 3 2 3" xfId="6940" xr:uid="{00000000-0005-0000-0000-0000191B0000}"/>
    <cellStyle name="Migliaia 8 3 2 3 2" xfId="6941" xr:uid="{00000000-0005-0000-0000-00001A1B0000}"/>
    <cellStyle name="Migliaia 8 3 2 4" xfId="6942" xr:uid="{00000000-0005-0000-0000-00001B1B0000}"/>
    <cellStyle name="Migliaia 8 3 3" xfId="6943" xr:uid="{00000000-0005-0000-0000-00001C1B0000}"/>
    <cellStyle name="Migliaia 8 3 3 2" xfId="6944" xr:uid="{00000000-0005-0000-0000-00001D1B0000}"/>
    <cellStyle name="Migliaia 8 3 3 2 2" xfId="6945" xr:uid="{00000000-0005-0000-0000-00001E1B0000}"/>
    <cellStyle name="Migliaia 8 3 3 3" xfId="6946" xr:uid="{00000000-0005-0000-0000-00001F1B0000}"/>
    <cellStyle name="Migliaia 8 3 4" xfId="6947" xr:uid="{00000000-0005-0000-0000-0000201B0000}"/>
    <cellStyle name="Migliaia 8 3 4 2" xfId="6948" xr:uid="{00000000-0005-0000-0000-0000211B0000}"/>
    <cellStyle name="Migliaia 8 3 4 2 2" xfId="6949" xr:uid="{00000000-0005-0000-0000-0000221B0000}"/>
    <cellStyle name="Migliaia 8 3 4 3" xfId="6950" xr:uid="{00000000-0005-0000-0000-0000231B0000}"/>
    <cellStyle name="Migliaia 8 3 5" xfId="6951" xr:uid="{00000000-0005-0000-0000-0000241B0000}"/>
    <cellStyle name="Migliaia 8 3 5 2" xfId="6952" xr:uid="{00000000-0005-0000-0000-0000251B0000}"/>
    <cellStyle name="Migliaia 8 3 6" xfId="6953" xr:uid="{00000000-0005-0000-0000-0000261B0000}"/>
    <cellStyle name="Migliaia 8 3 6 2" xfId="6954" xr:uid="{00000000-0005-0000-0000-0000271B0000}"/>
    <cellStyle name="Migliaia 8 3 7" xfId="6955" xr:uid="{00000000-0005-0000-0000-0000281B0000}"/>
    <cellStyle name="Migliaia 8 4" xfId="6956" xr:uid="{00000000-0005-0000-0000-0000291B0000}"/>
    <cellStyle name="Migliaia 8 4 2" xfId="6957" xr:uid="{00000000-0005-0000-0000-00002A1B0000}"/>
    <cellStyle name="Migliaia 8 4 2 2" xfId="6958" xr:uid="{00000000-0005-0000-0000-00002B1B0000}"/>
    <cellStyle name="Migliaia 8 4 2 2 2" xfId="6959" xr:uid="{00000000-0005-0000-0000-00002C1B0000}"/>
    <cellStyle name="Migliaia 8 4 2 3" xfId="6960" xr:uid="{00000000-0005-0000-0000-00002D1B0000}"/>
    <cellStyle name="Migliaia 8 4 2 4" xfId="6961" xr:uid="{00000000-0005-0000-0000-00002E1B0000}"/>
    <cellStyle name="Migliaia 8 4 2 5" xfId="6962" xr:uid="{00000000-0005-0000-0000-00002F1B0000}"/>
    <cellStyle name="Migliaia 8 4 3" xfId="6963" xr:uid="{00000000-0005-0000-0000-0000301B0000}"/>
    <cellStyle name="Migliaia 8 4 4" xfId="6964" xr:uid="{00000000-0005-0000-0000-0000311B0000}"/>
    <cellStyle name="Migliaia 8 4 5" xfId="6965" xr:uid="{00000000-0005-0000-0000-0000321B0000}"/>
    <cellStyle name="Migliaia 8 5" xfId="6966" xr:uid="{00000000-0005-0000-0000-0000331B0000}"/>
    <cellStyle name="Migliaia 8 5 2" xfId="6967" xr:uid="{00000000-0005-0000-0000-0000341B0000}"/>
    <cellStyle name="Migliaia 8 5 3" xfId="6968" xr:uid="{00000000-0005-0000-0000-0000351B0000}"/>
    <cellStyle name="Migliaia 8 6" xfId="6969" xr:uid="{00000000-0005-0000-0000-0000361B0000}"/>
    <cellStyle name="Migliaia 8 6 2" xfId="6970" xr:uid="{00000000-0005-0000-0000-0000371B0000}"/>
    <cellStyle name="Migliaia 8 6 2 2" xfId="6971" xr:uid="{00000000-0005-0000-0000-0000381B0000}"/>
    <cellStyle name="Migliaia 8 6 3" xfId="6972" xr:uid="{00000000-0005-0000-0000-0000391B0000}"/>
    <cellStyle name="Migliaia 8 7" xfId="6973" xr:uid="{00000000-0005-0000-0000-00003A1B0000}"/>
    <cellStyle name="Migliaia 8 7 2" xfId="6974" xr:uid="{00000000-0005-0000-0000-00003B1B0000}"/>
    <cellStyle name="Migliaia 8 8" xfId="6975" xr:uid="{00000000-0005-0000-0000-00003C1B0000}"/>
    <cellStyle name="Migliaia 8 8 2" xfId="6976" xr:uid="{00000000-0005-0000-0000-00003D1B0000}"/>
    <cellStyle name="Migliaia 9" xfId="6977" xr:uid="{00000000-0005-0000-0000-00003E1B0000}"/>
    <cellStyle name="Migliaia 9 2" xfId="6978" xr:uid="{00000000-0005-0000-0000-00003F1B0000}"/>
    <cellStyle name="Migliaia 9 2 2" xfId="6979" xr:uid="{00000000-0005-0000-0000-0000401B0000}"/>
    <cellStyle name="Migliaia 9 2 2 2" xfId="6980" xr:uid="{00000000-0005-0000-0000-0000411B0000}"/>
    <cellStyle name="Migliaia 9 2 2 2 2" xfId="6981" xr:uid="{00000000-0005-0000-0000-0000421B0000}"/>
    <cellStyle name="Migliaia 9 2 2 2 3" xfId="6982" xr:uid="{00000000-0005-0000-0000-0000431B0000}"/>
    <cellStyle name="Migliaia 9 2 2 3" xfId="6983" xr:uid="{00000000-0005-0000-0000-0000441B0000}"/>
    <cellStyle name="Migliaia 9 2 2 4" xfId="6984" xr:uid="{00000000-0005-0000-0000-0000451B0000}"/>
    <cellStyle name="Migliaia 9 2 3" xfId="6985" xr:uid="{00000000-0005-0000-0000-0000461B0000}"/>
    <cellStyle name="Migliaia 9 2 3 2" xfId="6986" xr:uid="{00000000-0005-0000-0000-0000471B0000}"/>
    <cellStyle name="Migliaia 9 2 4" xfId="6987" xr:uid="{00000000-0005-0000-0000-0000481B0000}"/>
    <cellStyle name="Migliaia 9 2 4 2" xfId="6988" xr:uid="{00000000-0005-0000-0000-0000491B0000}"/>
    <cellStyle name="Migliaia 9 2 5" xfId="6989" xr:uid="{00000000-0005-0000-0000-00004A1B0000}"/>
    <cellStyle name="Migliaia 9 3" xfId="6990" xr:uid="{00000000-0005-0000-0000-00004B1B0000}"/>
    <cellStyle name="Migliaia 9 3 2" xfId="6991" xr:uid="{00000000-0005-0000-0000-00004C1B0000}"/>
    <cellStyle name="Migliaia 9 3 2 2" xfId="6992" xr:uid="{00000000-0005-0000-0000-00004D1B0000}"/>
    <cellStyle name="Migliaia 9 3 2 2 2" xfId="6993" xr:uid="{00000000-0005-0000-0000-00004E1B0000}"/>
    <cellStyle name="Migliaia 9 3 2 2 3" xfId="6994" xr:uid="{00000000-0005-0000-0000-00004F1B0000}"/>
    <cellStyle name="Migliaia 9 3 2 3" xfId="6995" xr:uid="{00000000-0005-0000-0000-0000501B0000}"/>
    <cellStyle name="Migliaia 9 3 2 3 2" xfId="6996" xr:uid="{00000000-0005-0000-0000-0000511B0000}"/>
    <cellStyle name="Migliaia 9 3 2 4" xfId="6997" xr:uid="{00000000-0005-0000-0000-0000521B0000}"/>
    <cellStyle name="Migliaia 9 3 3" xfId="6998" xr:uid="{00000000-0005-0000-0000-0000531B0000}"/>
    <cellStyle name="Migliaia 9 3 3 2" xfId="6999" xr:uid="{00000000-0005-0000-0000-0000541B0000}"/>
    <cellStyle name="Migliaia 9 3 3 2 2" xfId="7000" xr:uid="{00000000-0005-0000-0000-0000551B0000}"/>
    <cellStyle name="Migliaia 9 3 3 3" xfId="7001" xr:uid="{00000000-0005-0000-0000-0000561B0000}"/>
    <cellStyle name="Migliaia 9 3 4" xfId="7002" xr:uid="{00000000-0005-0000-0000-0000571B0000}"/>
    <cellStyle name="Migliaia 9 3 4 2" xfId="7003" xr:uid="{00000000-0005-0000-0000-0000581B0000}"/>
    <cellStyle name="Migliaia 9 3 4 2 2" xfId="7004" xr:uid="{00000000-0005-0000-0000-0000591B0000}"/>
    <cellStyle name="Migliaia 9 3 4 3" xfId="7005" xr:uid="{00000000-0005-0000-0000-00005A1B0000}"/>
    <cellStyle name="Migliaia 9 3 5" xfId="7006" xr:uid="{00000000-0005-0000-0000-00005B1B0000}"/>
    <cellStyle name="Migliaia 9 3 5 2" xfId="7007" xr:uid="{00000000-0005-0000-0000-00005C1B0000}"/>
    <cellStyle name="Migliaia 9 3 6" xfId="7008" xr:uid="{00000000-0005-0000-0000-00005D1B0000}"/>
    <cellStyle name="Migliaia 9 3 6 2" xfId="7009" xr:uid="{00000000-0005-0000-0000-00005E1B0000}"/>
    <cellStyle name="Migliaia 9 3 7" xfId="7010" xr:uid="{00000000-0005-0000-0000-00005F1B0000}"/>
    <cellStyle name="Migliaia 9 4" xfId="7011" xr:uid="{00000000-0005-0000-0000-0000601B0000}"/>
    <cellStyle name="Migliaia 9 4 2" xfId="7012" xr:uid="{00000000-0005-0000-0000-0000611B0000}"/>
    <cellStyle name="Migliaia 9 4 2 2" xfId="7013" xr:uid="{00000000-0005-0000-0000-0000621B0000}"/>
    <cellStyle name="Migliaia 9 4 2 2 2" xfId="7014" xr:uid="{00000000-0005-0000-0000-0000631B0000}"/>
    <cellStyle name="Migliaia 9 4 2 3" xfId="7015" xr:uid="{00000000-0005-0000-0000-0000641B0000}"/>
    <cellStyle name="Migliaia 9 4 2 4" xfId="7016" xr:uid="{00000000-0005-0000-0000-0000651B0000}"/>
    <cellStyle name="Migliaia 9 4 2 5" xfId="7017" xr:uid="{00000000-0005-0000-0000-0000661B0000}"/>
    <cellStyle name="Migliaia 9 4 3" xfId="7018" xr:uid="{00000000-0005-0000-0000-0000671B0000}"/>
    <cellStyle name="Migliaia 9 4 4" xfId="7019" xr:uid="{00000000-0005-0000-0000-0000681B0000}"/>
    <cellStyle name="Migliaia 9 4 5" xfId="7020" xr:uid="{00000000-0005-0000-0000-0000691B0000}"/>
    <cellStyle name="Migliaia 9 5" xfId="7021" xr:uid="{00000000-0005-0000-0000-00006A1B0000}"/>
    <cellStyle name="Migliaia 9 5 2" xfId="7022" xr:uid="{00000000-0005-0000-0000-00006B1B0000}"/>
    <cellStyle name="Migliaia 9 5 3" xfId="7023" xr:uid="{00000000-0005-0000-0000-00006C1B0000}"/>
    <cellStyle name="Migliaia 9 6" xfId="7024" xr:uid="{00000000-0005-0000-0000-00006D1B0000}"/>
    <cellStyle name="Migliaia 9 6 2" xfId="7025" xr:uid="{00000000-0005-0000-0000-00006E1B0000}"/>
    <cellStyle name="Migliaia 9 6 2 2" xfId="7026" xr:uid="{00000000-0005-0000-0000-00006F1B0000}"/>
    <cellStyle name="Migliaia 9 6 3" xfId="7027" xr:uid="{00000000-0005-0000-0000-0000701B0000}"/>
    <cellStyle name="Migliaia 9 7" xfId="7028" xr:uid="{00000000-0005-0000-0000-0000711B0000}"/>
    <cellStyle name="Migliaia 9 7 2" xfId="7029" xr:uid="{00000000-0005-0000-0000-0000721B0000}"/>
    <cellStyle name="Migliaia 9 8" xfId="7030" xr:uid="{00000000-0005-0000-0000-0000731B0000}"/>
    <cellStyle name="Migliaia 9 8 2" xfId="7031" xr:uid="{00000000-0005-0000-0000-0000741B0000}"/>
    <cellStyle name="Neutral 2" xfId="7032" xr:uid="{00000000-0005-0000-0000-0000751B0000}"/>
    <cellStyle name="Neutral 2 2" xfId="7033" xr:uid="{00000000-0005-0000-0000-0000761B0000}"/>
    <cellStyle name="Neutral 2 3" xfId="7034" xr:uid="{00000000-0005-0000-0000-0000771B0000}"/>
    <cellStyle name="Neutrale" xfId="7035" xr:uid="{00000000-0005-0000-0000-0000781B0000}"/>
    <cellStyle name="Normal" xfId="0" builtinId="0"/>
    <cellStyle name="Normal 10" xfId="7036" xr:uid="{00000000-0005-0000-0000-00007A1B0000}"/>
    <cellStyle name="Normal 10 2" xfId="2" xr:uid="{00000000-0005-0000-0000-00007B1B0000}"/>
    <cellStyle name="Normal 10 2 2" xfId="7037" xr:uid="{00000000-0005-0000-0000-00007C1B0000}"/>
    <cellStyle name="Normal 10 3" xfId="7038" xr:uid="{00000000-0005-0000-0000-00007D1B0000}"/>
    <cellStyle name="Normal 11" xfId="7039" xr:uid="{00000000-0005-0000-0000-00007E1B0000}"/>
    <cellStyle name="Normal 11 2" xfId="7040" xr:uid="{00000000-0005-0000-0000-00007F1B0000}"/>
    <cellStyle name="Normal 11 2 2" xfId="7041" xr:uid="{00000000-0005-0000-0000-0000801B0000}"/>
    <cellStyle name="Normal 11 2 2 2" xfId="7042" xr:uid="{00000000-0005-0000-0000-0000811B0000}"/>
    <cellStyle name="Normal 11 2 3" xfId="7043" xr:uid="{00000000-0005-0000-0000-0000821B0000}"/>
    <cellStyle name="Normal 11 2 3 2" xfId="7044" xr:uid="{00000000-0005-0000-0000-0000831B0000}"/>
    <cellStyle name="Normal 11 2 4" xfId="7045" xr:uid="{00000000-0005-0000-0000-0000841B0000}"/>
    <cellStyle name="Normal 11 2 4 2" xfId="7046" xr:uid="{00000000-0005-0000-0000-0000851B0000}"/>
    <cellStyle name="Normal 11 2 5" xfId="7047" xr:uid="{00000000-0005-0000-0000-0000861B0000}"/>
    <cellStyle name="Normal 11 2 6" xfId="7048" xr:uid="{00000000-0005-0000-0000-0000871B0000}"/>
    <cellStyle name="Normal 11 3" xfId="7049" xr:uid="{00000000-0005-0000-0000-0000881B0000}"/>
    <cellStyle name="Normal 11 4" xfId="7050" xr:uid="{00000000-0005-0000-0000-0000891B0000}"/>
    <cellStyle name="Normal 12" xfId="7051" xr:uid="{00000000-0005-0000-0000-00008A1B0000}"/>
    <cellStyle name="Normal 12 2" xfId="7052" xr:uid="{00000000-0005-0000-0000-00008B1B0000}"/>
    <cellStyle name="Normal 12 2 2" xfId="7053" xr:uid="{00000000-0005-0000-0000-00008C1B0000}"/>
    <cellStyle name="Normal 12 3" xfId="7054" xr:uid="{00000000-0005-0000-0000-00008D1B0000}"/>
    <cellStyle name="Normal 13" xfId="1" xr:uid="{00000000-0005-0000-0000-00008E1B0000}"/>
    <cellStyle name="Normal 13 2" xfId="7055" xr:uid="{00000000-0005-0000-0000-00008F1B0000}"/>
    <cellStyle name="Normal 13 3" xfId="7056" xr:uid="{00000000-0005-0000-0000-0000901B0000}"/>
    <cellStyle name="Normal 14" xfId="7057" xr:uid="{00000000-0005-0000-0000-0000911B0000}"/>
    <cellStyle name="Normal 14 2" xfId="7058" xr:uid="{00000000-0005-0000-0000-0000921B0000}"/>
    <cellStyle name="Normal 14 2 2" xfId="7059" xr:uid="{00000000-0005-0000-0000-0000931B0000}"/>
    <cellStyle name="Normal 14 3" xfId="7060" xr:uid="{00000000-0005-0000-0000-0000941B0000}"/>
    <cellStyle name="Normal 14 3 2" xfId="7061" xr:uid="{00000000-0005-0000-0000-0000951B0000}"/>
    <cellStyle name="Normal 14 4" xfId="7062" xr:uid="{00000000-0005-0000-0000-0000961B0000}"/>
    <cellStyle name="Normal 14 4 2" xfId="7063" xr:uid="{00000000-0005-0000-0000-0000971B0000}"/>
    <cellStyle name="Normal 14 5" xfId="7064" xr:uid="{00000000-0005-0000-0000-0000981B0000}"/>
    <cellStyle name="Normal 14 6" xfId="7065" xr:uid="{00000000-0005-0000-0000-0000991B0000}"/>
    <cellStyle name="Normal 14 7" xfId="7066" xr:uid="{00000000-0005-0000-0000-00009A1B0000}"/>
    <cellStyle name="Normal 15" xfId="7067" xr:uid="{00000000-0005-0000-0000-00009B1B0000}"/>
    <cellStyle name="Normal 15 2" xfId="7068" xr:uid="{00000000-0005-0000-0000-00009C1B0000}"/>
    <cellStyle name="Normal 15 2 2" xfId="7069" xr:uid="{00000000-0005-0000-0000-00009D1B0000}"/>
    <cellStyle name="Normal 15 3" xfId="7070" xr:uid="{00000000-0005-0000-0000-00009E1B0000}"/>
    <cellStyle name="Normal 15 3 2" xfId="7071" xr:uid="{00000000-0005-0000-0000-00009F1B0000}"/>
    <cellStyle name="Normal 15 4" xfId="7072" xr:uid="{00000000-0005-0000-0000-0000A01B0000}"/>
    <cellStyle name="Normal 15 4 2" xfId="7073" xr:uid="{00000000-0005-0000-0000-0000A11B0000}"/>
    <cellStyle name="Normal 15 5" xfId="7074" xr:uid="{00000000-0005-0000-0000-0000A21B0000}"/>
    <cellStyle name="Normal 15 6" xfId="7075" xr:uid="{00000000-0005-0000-0000-0000A31B0000}"/>
    <cellStyle name="Normal 15 7" xfId="7076" xr:uid="{00000000-0005-0000-0000-0000A41B0000}"/>
    <cellStyle name="Normal 16" xfId="7077" xr:uid="{00000000-0005-0000-0000-0000A51B0000}"/>
    <cellStyle name="Normal 16 2" xfId="7078" xr:uid="{00000000-0005-0000-0000-0000A61B0000}"/>
    <cellStyle name="Normal 16 2 2" xfId="7079" xr:uid="{00000000-0005-0000-0000-0000A71B0000}"/>
    <cellStyle name="Normal 16 2 3" xfId="7080" xr:uid="{00000000-0005-0000-0000-0000A81B0000}"/>
    <cellStyle name="Normal 16 3" xfId="7081" xr:uid="{00000000-0005-0000-0000-0000A91B0000}"/>
    <cellStyle name="Normal 16 3 2" xfId="7082" xr:uid="{00000000-0005-0000-0000-0000AA1B0000}"/>
    <cellStyle name="Normal 16 4" xfId="7083" xr:uid="{00000000-0005-0000-0000-0000AB1B0000}"/>
    <cellStyle name="Normal 16 4 2" xfId="7084" xr:uid="{00000000-0005-0000-0000-0000AC1B0000}"/>
    <cellStyle name="Normal 16 5" xfId="7085" xr:uid="{00000000-0005-0000-0000-0000AD1B0000}"/>
    <cellStyle name="Normal 16 6" xfId="7086" xr:uid="{00000000-0005-0000-0000-0000AE1B0000}"/>
    <cellStyle name="Normal 17" xfId="7087" xr:uid="{00000000-0005-0000-0000-0000AF1B0000}"/>
    <cellStyle name="Normal 17 2" xfId="7088" xr:uid="{00000000-0005-0000-0000-0000B01B0000}"/>
    <cellStyle name="Normal 18" xfId="7089" xr:uid="{00000000-0005-0000-0000-0000B11B0000}"/>
    <cellStyle name="Normal 18 2" xfId="7090" xr:uid="{00000000-0005-0000-0000-0000B21B0000}"/>
    <cellStyle name="Normal 19" xfId="7091" xr:uid="{00000000-0005-0000-0000-0000B31B0000}"/>
    <cellStyle name="Normal 19 2" xfId="7092" xr:uid="{00000000-0005-0000-0000-0000B41B0000}"/>
    <cellStyle name="Normal 19 3" xfId="7093" xr:uid="{00000000-0005-0000-0000-0000B51B0000}"/>
    <cellStyle name="Normal 2" xfId="7094" xr:uid="{00000000-0005-0000-0000-0000B61B0000}"/>
    <cellStyle name="Normal 2 2" xfId="7095" xr:uid="{00000000-0005-0000-0000-0000B71B0000}"/>
    <cellStyle name="Normal 2 2 2" xfId="7096" xr:uid="{00000000-0005-0000-0000-0000B81B0000}"/>
    <cellStyle name="Normal 2 2 2 2" xfId="7097" xr:uid="{00000000-0005-0000-0000-0000B91B0000}"/>
    <cellStyle name="Normal 2 2 2 2 2" xfId="7098" xr:uid="{00000000-0005-0000-0000-0000BA1B0000}"/>
    <cellStyle name="Normal 2 2 2 2 2 2" xfId="7099" xr:uid="{00000000-0005-0000-0000-0000BB1B0000}"/>
    <cellStyle name="Normal 2 2 2 2 2 3" xfId="7100" xr:uid="{00000000-0005-0000-0000-0000BC1B0000}"/>
    <cellStyle name="Normal 2 2 2 2 3" xfId="7101" xr:uid="{00000000-0005-0000-0000-0000BD1B0000}"/>
    <cellStyle name="Normal 2 2 2 2 4" xfId="7102" xr:uid="{00000000-0005-0000-0000-0000BE1B0000}"/>
    <cellStyle name="Normal 2 2 2 2 5" xfId="7103" xr:uid="{00000000-0005-0000-0000-0000BF1B0000}"/>
    <cellStyle name="Normal 2 2 2 2 6" xfId="7104" xr:uid="{00000000-0005-0000-0000-0000C01B0000}"/>
    <cellStyle name="Normal 2 2 2 3" xfId="7105" xr:uid="{00000000-0005-0000-0000-0000C11B0000}"/>
    <cellStyle name="Normal 2 2 2 3 2" xfId="7106" xr:uid="{00000000-0005-0000-0000-0000C21B0000}"/>
    <cellStyle name="Normal 2 2 2 4" xfId="7107" xr:uid="{00000000-0005-0000-0000-0000C31B0000}"/>
    <cellStyle name="Normal 2 2 2 5" xfId="7108" xr:uid="{00000000-0005-0000-0000-0000C41B0000}"/>
    <cellStyle name="Normal 2 2 3" xfId="7109" xr:uid="{00000000-0005-0000-0000-0000C51B0000}"/>
    <cellStyle name="Normal 2 2 3 2" xfId="7110" xr:uid="{00000000-0005-0000-0000-0000C61B0000}"/>
    <cellStyle name="Normal 2 2 3 2 2" xfId="7111" xr:uid="{00000000-0005-0000-0000-0000C71B0000}"/>
    <cellStyle name="Normal 2 2 3 3" xfId="7112" xr:uid="{00000000-0005-0000-0000-0000C81B0000}"/>
    <cellStyle name="Normal 2 2 3 3 2" xfId="7113" xr:uid="{00000000-0005-0000-0000-0000C91B0000}"/>
    <cellStyle name="Normal 2 2 3 4" xfId="7114" xr:uid="{00000000-0005-0000-0000-0000CA1B0000}"/>
    <cellStyle name="Normal 2 2 3 4 2" xfId="7115" xr:uid="{00000000-0005-0000-0000-0000CB1B0000}"/>
    <cellStyle name="Normal 2 2 3 5" xfId="7116" xr:uid="{00000000-0005-0000-0000-0000CC1B0000}"/>
    <cellStyle name="Normal 2 2 3 6" xfId="7117" xr:uid="{00000000-0005-0000-0000-0000CD1B0000}"/>
    <cellStyle name="Normal 2 2 4" xfId="7118" xr:uid="{00000000-0005-0000-0000-0000CE1B0000}"/>
    <cellStyle name="Normal 2 2 4 2" xfId="7119" xr:uid="{00000000-0005-0000-0000-0000CF1B0000}"/>
    <cellStyle name="Normal 2 2 5" xfId="7120" xr:uid="{00000000-0005-0000-0000-0000D01B0000}"/>
    <cellStyle name="Normal 2 3" xfId="7121" xr:uid="{00000000-0005-0000-0000-0000D11B0000}"/>
    <cellStyle name="Normal 2 3 2" xfId="7122" xr:uid="{00000000-0005-0000-0000-0000D21B0000}"/>
    <cellStyle name="Normal 2 3 3" xfId="7123" xr:uid="{00000000-0005-0000-0000-0000D31B0000}"/>
    <cellStyle name="Normal 2 3 3 2" xfId="7124" xr:uid="{00000000-0005-0000-0000-0000D41B0000}"/>
    <cellStyle name="Normal 2 4" xfId="7125" xr:uid="{00000000-0005-0000-0000-0000D51B0000}"/>
    <cellStyle name="Normal 2 4 2" xfId="7126" xr:uid="{00000000-0005-0000-0000-0000D61B0000}"/>
    <cellStyle name="Normal 2 4 2 2" xfId="7127" xr:uid="{00000000-0005-0000-0000-0000D71B0000}"/>
    <cellStyle name="Normal 2 4 2 3" xfId="7128" xr:uid="{00000000-0005-0000-0000-0000D81B0000}"/>
    <cellStyle name="Normal 2 4 2 4" xfId="7129" xr:uid="{00000000-0005-0000-0000-0000D91B0000}"/>
    <cellStyle name="Normal 2 4 3" xfId="7130" xr:uid="{00000000-0005-0000-0000-0000DA1B0000}"/>
    <cellStyle name="Normal 2 4 4" xfId="7131" xr:uid="{00000000-0005-0000-0000-0000DB1B0000}"/>
    <cellStyle name="Normal 2 5" xfId="7132" xr:uid="{00000000-0005-0000-0000-0000DC1B0000}"/>
    <cellStyle name="Normal 2 6 7" xfId="10382" xr:uid="{6705DF3C-F2FD-426E-9856-8B95ECA62524}"/>
    <cellStyle name="Normal 2_Plants" xfId="7133" xr:uid="{00000000-0005-0000-0000-0000DD1B0000}"/>
    <cellStyle name="Normal 20" xfId="7134" xr:uid="{00000000-0005-0000-0000-0000DE1B0000}"/>
    <cellStyle name="Normal 21" xfId="7135" xr:uid="{00000000-0005-0000-0000-0000DF1B0000}"/>
    <cellStyle name="Normal 22" xfId="7136" xr:uid="{00000000-0005-0000-0000-0000E01B0000}"/>
    <cellStyle name="Normal 23" xfId="7137" xr:uid="{00000000-0005-0000-0000-0000E11B0000}"/>
    <cellStyle name="Normal 24" xfId="7138" xr:uid="{00000000-0005-0000-0000-0000E21B0000}"/>
    <cellStyle name="Normal 25" xfId="7139" xr:uid="{00000000-0005-0000-0000-0000E31B0000}"/>
    <cellStyle name="Normal 26" xfId="7140" xr:uid="{00000000-0005-0000-0000-0000E41B0000}"/>
    <cellStyle name="Normal 27" xfId="7141" xr:uid="{00000000-0005-0000-0000-0000E51B0000}"/>
    <cellStyle name="Normal 28" xfId="7142" xr:uid="{00000000-0005-0000-0000-0000E61B0000}"/>
    <cellStyle name="Normal 29" xfId="7143" xr:uid="{00000000-0005-0000-0000-0000E71B0000}"/>
    <cellStyle name="Normal 29 2" xfId="7144" xr:uid="{00000000-0005-0000-0000-0000E81B0000}"/>
    <cellStyle name="Normal 3" xfId="7145" xr:uid="{00000000-0005-0000-0000-0000E91B0000}"/>
    <cellStyle name="Normal 3 10" xfId="7146" xr:uid="{00000000-0005-0000-0000-0000EA1B0000}"/>
    <cellStyle name="Normal 3 10 2" xfId="7147" xr:uid="{00000000-0005-0000-0000-0000EB1B0000}"/>
    <cellStyle name="Normal 3 10 2 2 2" xfId="10380" xr:uid="{8C6389F2-8BA7-4921-A3D7-CC408525744A}"/>
    <cellStyle name="Normal 3 11" xfId="7148" xr:uid="{00000000-0005-0000-0000-0000EC1B0000}"/>
    <cellStyle name="Normal 3 11 2" xfId="7149" xr:uid="{00000000-0005-0000-0000-0000ED1B0000}"/>
    <cellStyle name="Normal 3 12" xfId="7150" xr:uid="{00000000-0005-0000-0000-0000EE1B0000}"/>
    <cellStyle name="Normal 3 13" xfId="7151" xr:uid="{00000000-0005-0000-0000-0000EF1B0000}"/>
    <cellStyle name="Normal 3 14" xfId="7152" xr:uid="{00000000-0005-0000-0000-0000F01B0000}"/>
    <cellStyle name="Normal 3 15" xfId="7153" xr:uid="{00000000-0005-0000-0000-0000F11B0000}"/>
    <cellStyle name="Normal 3 16" xfId="7154" xr:uid="{00000000-0005-0000-0000-0000F21B0000}"/>
    <cellStyle name="Normal 3 2" xfId="7155" xr:uid="{00000000-0005-0000-0000-0000F31B0000}"/>
    <cellStyle name="Normal 3 2 2" xfId="7156" xr:uid="{00000000-0005-0000-0000-0000F41B0000}"/>
    <cellStyle name="Normal 3 2 2 2" xfId="7157" xr:uid="{00000000-0005-0000-0000-0000F51B0000}"/>
    <cellStyle name="Normal 3 2 2 2 2" xfId="7158" xr:uid="{00000000-0005-0000-0000-0000F61B0000}"/>
    <cellStyle name="Normal 3 2 2 2 2 2" xfId="7159" xr:uid="{00000000-0005-0000-0000-0000F71B0000}"/>
    <cellStyle name="Normal 3 2 2 2 3" xfId="7160" xr:uid="{00000000-0005-0000-0000-0000F81B0000}"/>
    <cellStyle name="Normal 3 2 2 2 3 2" xfId="7161" xr:uid="{00000000-0005-0000-0000-0000F91B0000}"/>
    <cellStyle name="Normal 3 2 2 2 4" xfId="7162" xr:uid="{00000000-0005-0000-0000-0000FA1B0000}"/>
    <cellStyle name="Normal 3 2 2 2 4 2" xfId="7163" xr:uid="{00000000-0005-0000-0000-0000FB1B0000}"/>
    <cellStyle name="Normal 3 2 2 2 5" xfId="7164" xr:uid="{00000000-0005-0000-0000-0000FC1B0000}"/>
    <cellStyle name="Normal 3 2 2 2 6" xfId="7165" xr:uid="{00000000-0005-0000-0000-0000FD1B0000}"/>
    <cellStyle name="Normal 3 2 2 2 7" xfId="7166" xr:uid="{00000000-0005-0000-0000-0000FE1B0000}"/>
    <cellStyle name="Normal 3 2 2 3" xfId="7167" xr:uid="{00000000-0005-0000-0000-0000FF1B0000}"/>
    <cellStyle name="Normal 3 2 2 3 2" xfId="7168" xr:uid="{00000000-0005-0000-0000-0000001C0000}"/>
    <cellStyle name="Normal 3 2 2 3 2 2" xfId="7169" xr:uid="{00000000-0005-0000-0000-0000011C0000}"/>
    <cellStyle name="Normal 3 2 2 3 3" xfId="7170" xr:uid="{00000000-0005-0000-0000-0000021C0000}"/>
    <cellStyle name="Normal 3 2 2 4" xfId="7171" xr:uid="{00000000-0005-0000-0000-0000031C0000}"/>
    <cellStyle name="Normal 3 2 2 4 2" xfId="7172" xr:uid="{00000000-0005-0000-0000-0000041C0000}"/>
    <cellStyle name="Normal 3 2 2 5" xfId="7173" xr:uid="{00000000-0005-0000-0000-0000051C0000}"/>
    <cellStyle name="Normal 3 2 2 5 2" xfId="7174" xr:uid="{00000000-0005-0000-0000-0000061C0000}"/>
    <cellStyle name="Normal 3 2 2 6" xfId="7175" xr:uid="{00000000-0005-0000-0000-0000071C0000}"/>
    <cellStyle name="Normal 3 2 2 6 2" xfId="7176" xr:uid="{00000000-0005-0000-0000-0000081C0000}"/>
    <cellStyle name="Normal 3 2 2 7" xfId="7177" xr:uid="{00000000-0005-0000-0000-0000091C0000}"/>
    <cellStyle name="Normal 3 2 2 8" xfId="7178" xr:uid="{00000000-0005-0000-0000-00000A1C0000}"/>
    <cellStyle name="Normal 3 2 3" xfId="7179" xr:uid="{00000000-0005-0000-0000-00000B1C0000}"/>
    <cellStyle name="Normal 3 2 3 2" xfId="7180" xr:uid="{00000000-0005-0000-0000-00000C1C0000}"/>
    <cellStyle name="Normal 3 2 3 2 2" xfId="7181" xr:uid="{00000000-0005-0000-0000-00000D1C0000}"/>
    <cellStyle name="Normal 3 2 3 3" xfId="7182" xr:uid="{00000000-0005-0000-0000-00000E1C0000}"/>
    <cellStyle name="Normal 3 2 3 3 2" xfId="7183" xr:uid="{00000000-0005-0000-0000-00000F1C0000}"/>
    <cellStyle name="Normal 3 2 3 4" xfId="7184" xr:uid="{00000000-0005-0000-0000-0000101C0000}"/>
    <cellStyle name="Normal 3 2 3 4 2" xfId="7185" xr:uid="{00000000-0005-0000-0000-0000111C0000}"/>
    <cellStyle name="Normal 3 2 3 5" xfId="7186" xr:uid="{00000000-0005-0000-0000-0000121C0000}"/>
    <cellStyle name="Normal 3 2 3 6" xfId="7187" xr:uid="{00000000-0005-0000-0000-0000131C0000}"/>
    <cellStyle name="Normal 3 2 4" xfId="7188" xr:uid="{00000000-0005-0000-0000-0000141C0000}"/>
    <cellStyle name="Normal 3 2 4 2" xfId="7189" xr:uid="{00000000-0005-0000-0000-0000151C0000}"/>
    <cellStyle name="Normal 3 2 4 2 2" xfId="7190" xr:uid="{00000000-0005-0000-0000-0000161C0000}"/>
    <cellStyle name="Normal 3 2 4 3" xfId="7191" xr:uid="{00000000-0005-0000-0000-0000171C0000}"/>
    <cellStyle name="Normal 3 2 4 3 2" xfId="7192" xr:uid="{00000000-0005-0000-0000-0000181C0000}"/>
    <cellStyle name="Normal 3 2 4 4" xfId="7193" xr:uid="{00000000-0005-0000-0000-0000191C0000}"/>
    <cellStyle name="Normal 3 2 4 4 2" xfId="7194" xr:uid="{00000000-0005-0000-0000-00001A1C0000}"/>
    <cellStyle name="Normal 3 2 4 5" xfId="7195" xr:uid="{00000000-0005-0000-0000-00001B1C0000}"/>
    <cellStyle name="Normal 3 2 4 6" xfId="7196" xr:uid="{00000000-0005-0000-0000-00001C1C0000}"/>
    <cellStyle name="Normal 3 2 5" xfId="7197" xr:uid="{00000000-0005-0000-0000-00001D1C0000}"/>
    <cellStyle name="Normal 3 2 5 2" xfId="7198" xr:uid="{00000000-0005-0000-0000-00001E1C0000}"/>
    <cellStyle name="Normal 3 2 6" xfId="7199" xr:uid="{00000000-0005-0000-0000-00001F1C0000}"/>
    <cellStyle name="Normal 3 2 6 2" xfId="7200" xr:uid="{00000000-0005-0000-0000-0000201C0000}"/>
    <cellStyle name="Normal 3 2 7" xfId="7201" xr:uid="{00000000-0005-0000-0000-0000211C0000}"/>
    <cellStyle name="Normal 3 2 7 2" xfId="7202" xr:uid="{00000000-0005-0000-0000-0000221C0000}"/>
    <cellStyle name="Normal 3 2 8" xfId="7203" xr:uid="{00000000-0005-0000-0000-0000231C0000}"/>
    <cellStyle name="Normal 3 2 9" xfId="7204" xr:uid="{00000000-0005-0000-0000-0000241C0000}"/>
    <cellStyle name="Normal 3 3" xfId="7205" xr:uid="{00000000-0005-0000-0000-0000251C0000}"/>
    <cellStyle name="Normal 3 3 2" xfId="7206" xr:uid="{00000000-0005-0000-0000-0000261C0000}"/>
    <cellStyle name="Normal 3 3 2 2" xfId="7207" xr:uid="{00000000-0005-0000-0000-0000271C0000}"/>
    <cellStyle name="Normal 3 3 2 2 2" xfId="7208" xr:uid="{00000000-0005-0000-0000-0000281C0000}"/>
    <cellStyle name="Normal 3 3 2 3" xfId="7209" xr:uid="{00000000-0005-0000-0000-0000291C0000}"/>
    <cellStyle name="Normal 3 3 2 3 2" xfId="7210" xr:uid="{00000000-0005-0000-0000-00002A1C0000}"/>
    <cellStyle name="Normal 3 3 2 4" xfId="7211" xr:uid="{00000000-0005-0000-0000-00002B1C0000}"/>
    <cellStyle name="Normal 3 3 2 4 2" xfId="7212" xr:uid="{00000000-0005-0000-0000-00002C1C0000}"/>
    <cellStyle name="Normal 3 3 2 5" xfId="7213" xr:uid="{00000000-0005-0000-0000-00002D1C0000}"/>
    <cellStyle name="Normal 3 3 2 6" xfId="7214" xr:uid="{00000000-0005-0000-0000-00002E1C0000}"/>
    <cellStyle name="Normal 3 3 3" xfId="7215" xr:uid="{00000000-0005-0000-0000-00002F1C0000}"/>
    <cellStyle name="Normal 3 3 3 2" xfId="7216" xr:uid="{00000000-0005-0000-0000-0000301C0000}"/>
    <cellStyle name="Normal 3 3 4" xfId="7217" xr:uid="{00000000-0005-0000-0000-0000311C0000}"/>
    <cellStyle name="Normal 3 3 4 2" xfId="7218" xr:uid="{00000000-0005-0000-0000-0000321C0000}"/>
    <cellStyle name="Normal 3 3 5" xfId="7219" xr:uid="{00000000-0005-0000-0000-0000331C0000}"/>
    <cellStyle name="Normal 3 3 5 2" xfId="7220" xr:uid="{00000000-0005-0000-0000-0000341C0000}"/>
    <cellStyle name="Normal 3 3 6" xfId="7221" xr:uid="{00000000-0005-0000-0000-0000351C0000}"/>
    <cellStyle name="Normal 3 3 7" xfId="7222" xr:uid="{00000000-0005-0000-0000-0000361C0000}"/>
    <cellStyle name="Normal 3 4" xfId="7223" xr:uid="{00000000-0005-0000-0000-0000371C0000}"/>
    <cellStyle name="Normal 3 4 2" xfId="7224" xr:uid="{00000000-0005-0000-0000-0000381C0000}"/>
    <cellStyle name="Normal 3 4 2 2" xfId="7225" xr:uid="{00000000-0005-0000-0000-0000391C0000}"/>
    <cellStyle name="Normal 3 4 2 2 2" xfId="7226" xr:uid="{00000000-0005-0000-0000-00003A1C0000}"/>
    <cellStyle name="Normal 3 4 2 3" xfId="7227" xr:uid="{00000000-0005-0000-0000-00003B1C0000}"/>
    <cellStyle name="Normal 3 4 2 3 2" xfId="7228" xr:uid="{00000000-0005-0000-0000-00003C1C0000}"/>
    <cellStyle name="Normal 3 4 2 4" xfId="7229" xr:uid="{00000000-0005-0000-0000-00003D1C0000}"/>
    <cellStyle name="Normal 3 4 2 4 2" xfId="7230" xr:uid="{00000000-0005-0000-0000-00003E1C0000}"/>
    <cellStyle name="Normal 3 4 2 5" xfId="7231" xr:uid="{00000000-0005-0000-0000-00003F1C0000}"/>
    <cellStyle name="Normal 3 4 2 6" xfId="7232" xr:uid="{00000000-0005-0000-0000-0000401C0000}"/>
    <cellStyle name="Normal 3 4 2 7" xfId="7233" xr:uid="{00000000-0005-0000-0000-0000411C0000}"/>
    <cellStyle name="Normal 3 4 3" xfId="7234" xr:uid="{00000000-0005-0000-0000-0000421C0000}"/>
    <cellStyle name="Normal 3 4 3 2" xfId="7235" xr:uid="{00000000-0005-0000-0000-0000431C0000}"/>
    <cellStyle name="Normal 3 4 4" xfId="7236" xr:uid="{00000000-0005-0000-0000-0000441C0000}"/>
    <cellStyle name="Normal 3 4 4 2" xfId="7237" xr:uid="{00000000-0005-0000-0000-0000451C0000}"/>
    <cellStyle name="Normal 3 4 5" xfId="7238" xr:uid="{00000000-0005-0000-0000-0000461C0000}"/>
    <cellStyle name="Normal 3 4 5 2" xfId="7239" xr:uid="{00000000-0005-0000-0000-0000471C0000}"/>
    <cellStyle name="Normal 3 4 6" xfId="7240" xr:uid="{00000000-0005-0000-0000-0000481C0000}"/>
    <cellStyle name="Normal 3 4 6 2" xfId="7241" xr:uid="{00000000-0005-0000-0000-0000491C0000}"/>
    <cellStyle name="Normal 3 4 7" xfId="7242" xr:uid="{00000000-0005-0000-0000-00004A1C0000}"/>
    <cellStyle name="Normal 3 4 8" xfId="7243" xr:uid="{00000000-0005-0000-0000-00004B1C0000}"/>
    <cellStyle name="Normal 3 4 9" xfId="7244" xr:uid="{00000000-0005-0000-0000-00004C1C0000}"/>
    <cellStyle name="Normal 3 5" xfId="7245" xr:uid="{00000000-0005-0000-0000-00004D1C0000}"/>
    <cellStyle name="Normal 3 5 2" xfId="7246" xr:uid="{00000000-0005-0000-0000-00004E1C0000}"/>
    <cellStyle name="Normal 3 5 3" xfId="7247" xr:uid="{00000000-0005-0000-0000-00004F1C0000}"/>
    <cellStyle name="Normal 3 5 4" xfId="7248" xr:uid="{00000000-0005-0000-0000-0000501C0000}"/>
    <cellStyle name="Normal 3 6" xfId="7249" xr:uid="{00000000-0005-0000-0000-0000511C0000}"/>
    <cellStyle name="Normal 3 6 2" xfId="7250" xr:uid="{00000000-0005-0000-0000-0000521C0000}"/>
    <cellStyle name="Normal 3 6 2 2" xfId="7251" xr:uid="{00000000-0005-0000-0000-0000531C0000}"/>
    <cellStyle name="Normal 3 6 3" xfId="7252" xr:uid="{00000000-0005-0000-0000-0000541C0000}"/>
    <cellStyle name="Normal 3 6 3 2" xfId="7253" xr:uid="{00000000-0005-0000-0000-0000551C0000}"/>
    <cellStyle name="Normal 3 6 4" xfId="7254" xr:uid="{00000000-0005-0000-0000-0000561C0000}"/>
    <cellStyle name="Normal 3 6 4 2" xfId="7255" xr:uid="{00000000-0005-0000-0000-0000571C0000}"/>
    <cellStyle name="Normal 3 6 5" xfId="7256" xr:uid="{00000000-0005-0000-0000-0000581C0000}"/>
    <cellStyle name="Normal 3 6 6" xfId="7257" xr:uid="{00000000-0005-0000-0000-0000591C0000}"/>
    <cellStyle name="Normal 3 7" xfId="7258" xr:uid="{00000000-0005-0000-0000-00005A1C0000}"/>
    <cellStyle name="Normal 3 7 2" xfId="7259" xr:uid="{00000000-0005-0000-0000-00005B1C0000}"/>
    <cellStyle name="Normal 3 7 3" xfId="7260" xr:uid="{00000000-0005-0000-0000-00005C1C0000}"/>
    <cellStyle name="Normal 3 8" xfId="7261" xr:uid="{00000000-0005-0000-0000-00005D1C0000}"/>
    <cellStyle name="Normal 3 8 2" xfId="7262" xr:uid="{00000000-0005-0000-0000-00005E1C0000}"/>
    <cellStyle name="Normal 3 8 3" xfId="7263" xr:uid="{00000000-0005-0000-0000-00005F1C0000}"/>
    <cellStyle name="Normal 3 9" xfId="7264" xr:uid="{00000000-0005-0000-0000-0000601C0000}"/>
    <cellStyle name="Normal 3 9 2" xfId="7265" xr:uid="{00000000-0005-0000-0000-0000611C0000}"/>
    <cellStyle name="Normal 3 9 3" xfId="7266" xr:uid="{00000000-0005-0000-0000-0000621C0000}"/>
    <cellStyle name="Normal 30" xfId="7267" xr:uid="{00000000-0005-0000-0000-0000631C0000}"/>
    <cellStyle name="Normal 31" xfId="7268" xr:uid="{00000000-0005-0000-0000-0000641C0000}"/>
    <cellStyle name="Normal 32" xfId="7269" xr:uid="{00000000-0005-0000-0000-0000651C0000}"/>
    <cellStyle name="Normal 33" xfId="7270" xr:uid="{00000000-0005-0000-0000-0000661C0000}"/>
    <cellStyle name="Normal 34" xfId="7271" xr:uid="{00000000-0005-0000-0000-0000671C0000}"/>
    <cellStyle name="Normal 35" xfId="7272" xr:uid="{00000000-0005-0000-0000-0000681C0000}"/>
    <cellStyle name="Normal 36" xfId="7273" xr:uid="{00000000-0005-0000-0000-0000691C0000}"/>
    <cellStyle name="Normal 37" xfId="7274" xr:uid="{00000000-0005-0000-0000-00006A1C0000}"/>
    <cellStyle name="Normal 38" xfId="7275" xr:uid="{00000000-0005-0000-0000-00006B1C0000}"/>
    <cellStyle name="Normal 39" xfId="7276" xr:uid="{00000000-0005-0000-0000-00006C1C0000}"/>
    <cellStyle name="Normal 4" xfId="7277" xr:uid="{00000000-0005-0000-0000-00006D1C0000}"/>
    <cellStyle name="Normal 4 10" xfId="7278" xr:uid="{00000000-0005-0000-0000-00006E1C0000}"/>
    <cellStyle name="Normal 4 11" xfId="7279" xr:uid="{00000000-0005-0000-0000-00006F1C0000}"/>
    <cellStyle name="Normal 4 12" xfId="7280" xr:uid="{00000000-0005-0000-0000-0000701C0000}"/>
    <cellStyle name="Normal 4 13" xfId="7281" xr:uid="{00000000-0005-0000-0000-0000711C0000}"/>
    <cellStyle name="Normal 4 14" xfId="7282" xr:uid="{00000000-0005-0000-0000-0000721C0000}"/>
    <cellStyle name="Normal 4 15" xfId="7283" xr:uid="{00000000-0005-0000-0000-0000731C0000}"/>
    <cellStyle name="Normal 4 2" xfId="7284" xr:uid="{00000000-0005-0000-0000-0000741C0000}"/>
    <cellStyle name="Normal 4 2 2" xfId="7285" xr:uid="{00000000-0005-0000-0000-0000751C0000}"/>
    <cellStyle name="Normal 4 3" xfId="7286" xr:uid="{00000000-0005-0000-0000-0000761C0000}"/>
    <cellStyle name="Normal 4 4" xfId="7287" xr:uid="{00000000-0005-0000-0000-0000771C0000}"/>
    <cellStyle name="Normal 4 4 2" xfId="7288" xr:uid="{00000000-0005-0000-0000-0000781C0000}"/>
    <cellStyle name="Normal 4 5" xfId="7289" xr:uid="{00000000-0005-0000-0000-0000791C0000}"/>
    <cellStyle name="Normal 4 5 2" xfId="7290" xr:uid="{00000000-0005-0000-0000-00007A1C0000}"/>
    <cellStyle name="Normal 4 6" xfId="7291" xr:uid="{00000000-0005-0000-0000-00007B1C0000}"/>
    <cellStyle name="Normal 4 7" xfId="7292" xr:uid="{00000000-0005-0000-0000-00007C1C0000}"/>
    <cellStyle name="Normal 4 8" xfId="7293" xr:uid="{00000000-0005-0000-0000-00007D1C0000}"/>
    <cellStyle name="Normal 4 9" xfId="7294" xr:uid="{00000000-0005-0000-0000-00007E1C0000}"/>
    <cellStyle name="Normal 40" xfId="7295" xr:uid="{00000000-0005-0000-0000-00007F1C0000}"/>
    <cellStyle name="Normal 41" xfId="7296" xr:uid="{00000000-0005-0000-0000-0000801C0000}"/>
    <cellStyle name="Normal 41 2" xfId="10377" xr:uid="{F45F2ECD-4B78-4483-B3D3-77432D6B9750}"/>
    <cellStyle name="Normal 42" xfId="7297" xr:uid="{00000000-0005-0000-0000-0000811C0000}"/>
    <cellStyle name="Normal 43" xfId="7298" xr:uid="{00000000-0005-0000-0000-0000821C0000}"/>
    <cellStyle name="Normal 44" xfId="7299" xr:uid="{00000000-0005-0000-0000-0000831C0000}"/>
    <cellStyle name="Normal 45" xfId="7300" xr:uid="{00000000-0005-0000-0000-0000841C0000}"/>
    <cellStyle name="Normal 46" xfId="7301" xr:uid="{00000000-0005-0000-0000-0000851C0000}"/>
    <cellStyle name="Normal 47" xfId="7302" xr:uid="{00000000-0005-0000-0000-0000861C0000}"/>
    <cellStyle name="Normal 48" xfId="7303" xr:uid="{00000000-0005-0000-0000-0000871C0000}"/>
    <cellStyle name="Normal 49" xfId="7304" xr:uid="{00000000-0005-0000-0000-0000881C0000}"/>
    <cellStyle name="Normal 5" xfId="7305" xr:uid="{00000000-0005-0000-0000-0000891C0000}"/>
    <cellStyle name="Normal 5 2" xfId="7306" xr:uid="{00000000-0005-0000-0000-00008A1C0000}"/>
    <cellStyle name="Normal 5 2 2" xfId="7307" xr:uid="{00000000-0005-0000-0000-00008B1C0000}"/>
    <cellStyle name="Normal 5 2 2 2" xfId="7308" xr:uid="{00000000-0005-0000-0000-00008C1C0000}"/>
    <cellStyle name="Normal 5 2 2 3" xfId="7309" xr:uid="{00000000-0005-0000-0000-00008D1C0000}"/>
    <cellStyle name="Normal 5 2 3" xfId="7310" xr:uid="{00000000-0005-0000-0000-00008E1C0000}"/>
    <cellStyle name="Normal 5 2 3 2" xfId="7311" xr:uid="{00000000-0005-0000-0000-00008F1C0000}"/>
    <cellStyle name="Normal 5 3" xfId="7312" xr:uid="{00000000-0005-0000-0000-0000901C0000}"/>
    <cellStyle name="Normal 50" xfId="7313" xr:uid="{00000000-0005-0000-0000-0000911C0000}"/>
    <cellStyle name="Normal 51" xfId="7314" xr:uid="{00000000-0005-0000-0000-0000921C0000}"/>
    <cellStyle name="Normal 52" xfId="7315" xr:uid="{00000000-0005-0000-0000-0000931C0000}"/>
    <cellStyle name="Normal 53" xfId="7316" xr:uid="{00000000-0005-0000-0000-0000941C0000}"/>
    <cellStyle name="Normal 54" xfId="7317" xr:uid="{00000000-0005-0000-0000-0000951C0000}"/>
    <cellStyle name="Normal 55" xfId="7318" xr:uid="{00000000-0005-0000-0000-0000961C0000}"/>
    <cellStyle name="Normal 56" xfId="7319" xr:uid="{00000000-0005-0000-0000-0000971C0000}"/>
    <cellStyle name="Normal 57" xfId="7320" xr:uid="{00000000-0005-0000-0000-0000981C0000}"/>
    <cellStyle name="Normal 6" xfId="7321" xr:uid="{00000000-0005-0000-0000-0000991C0000}"/>
    <cellStyle name="Normal 6 2" xfId="7322" xr:uid="{00000000-0005-0000-0000-00009A1C0000}"/>
    <cellStyle name="Normal 6 2 2" xfId="7323" xr:uid="{00000000-0005-0000-0000-00009B1C0000}"/>
    <cellStyle name="Normal 6 2 2 2" xfId="7324" xr:uid="{00000000-0005-0000-0000-00009C1C0000}"/>
    <cellStyle name="Normal 6 2 2 2 2" xfId="7325" xr:uid="{00000000-0005-0000-0000-00009D1C0000}"/>
    <cellStyle name="Normal 6 2 2 3" xfId="7326" xr:uid="{00000000-0005-0000-0000-00009E1C0000}"/>
    <cellStyle name="Normal 6 2 2 3 2" xfId="7327" xr:uid="{00000000-0005-0000-0000-00009F1C0000}"/>
    <cellStyle name="Normal 6 2 2 4" xfId="7328" xr:uid="{00000000-0005-0000-0000-0000A01C0000}"/>
    <cellStyle name="Normal 6 2 2 4 2" xfId="7329" xr:uid="{00000000-0005-0000-0000-0000A11C0000}"/>
    <cellStyle name="Normal 6 2 2 5" xfId="7330" xr:uid="{00000000-0005-0000-0000-0000A21C0000}"/>
    <cellStyle name="Normal 6 2 2 6" xfId="7331" xr:uid="{00000000-0005-0000-0000-0000A31C0000}"/>
    <cellStyle name="Normal 6 2 2 7" xfId="7332" xr:uid="{00000000-0005-0000-0000-0000A41C0000}"/>
    <cellStyle name="Normal 6 2 3" xfId="7333" xr:uid="{00000000-0005-0000-0000-0000A51C0000}"/>
    <cellStyle name="Normal 6 2 3 2" xfId="7334" xr:uid="{00000000-0005-0000-0000-0000A61C0000}"/>
    <cellStyle name="Normal 6 2 3 2 2" xfId="7335" xr:uid="{00000000-0005-0000-0000-0000A71C0000}"/>
    <cellStyle name="Normal 6 2 3 3" xfId="7336" xr:uid="{00000000-0005-0000-0000-0000A81C0000}"/>
    <cellStyle name="Normal 6 2 4" xfId="7337" xr:uid="{00000000-0005-0000-0000-0000A91C0000}"/>
    <cellStyle name="Normal 6 2 4 2" xfId="7338" xr:uid="{00000000-0005-0000-0000-0000AA1C0000}"/>
    <cellStyle name="Normal 6 2 5" xfId="7339" xr:uid="{00000000-0005-0000-0000-0000AB1C0000}"/>
    <cellStyle name="Normal 6 2 5 2" xfId="7340" xr:uid="{00000000-0005-0000-0000-0000AC1C0000}"/>
    <cellStyle name="Normal 6 2 6" xfId="7341" xr:uid="{00000000-0005-0000-0000-0000AD1C0000}"/>
    <cellStyle name="Normal 6 2 6 2" xfId="7342" xr:uid="{00000000-0005-0000-0000-0000AE1C0000}"/>
    <cellStyle name="Normal 6 2 7" xfId="7343" xr:uid="{00000000-0005-0000-0000-0000AF1C0000}"/>
    <cellStyle name="Normal 6 2 8" xfId="7344" xr:uid="{00000000-0005-0000-0000-0000B01C0000}"/>
    <cellStyle name="Normal 6 3" xfId="7345" xr:uid="{00000000-0005-0000-0000-0000B11C0000}"/>
    <cellStyle name="Normal 6 3 2" xfId="7346" xr:uid="{00000000-0005-0000-0000-0000B21C0000}"/>
    <cellStyle name="Normal 6 3 2 2" xfId="7347" xr:uid="{00000000-0005-0000-0000-0000B31C0000}"/>
    <cellStyle name="Normal 6 3 2 2 2" xfId="7348" xr:uid="{00000000-0005-0000-0000-0000B41C0000}"/>
    <cellStyle name="Normal 6 3 2 3" xfId="7349" xr:uid="{00000000-0005-0000-0000-0000B51C0000}"/>
    <cellStyle name="Normal 6 3 3" xfId="7350" xr:uid="{00000000-0005-0000-0000-0000B61C0000}"/>
    <cellStyle name="Normal 6 3 3 2" xfId="7351" xr:uid="{00000000-0005-0000-0000-0000B71C0000}"/>
    <cellStyle name="Normal 6 3 4" xfId="7352" xr:uid="{00000000-0005-0000-0000-0000B81C0000}"/>
    <cellStyle name="Normal 6 3 4 2" xfId="7353" xr:uid="{00000000-0005-0000-0000-0000B91C0000}"/>
    <cellStyle name="Normal 6 3 5" xfId="7354" xr:uid="{00000000-0005-0000-0000-0000BA1C0000}"/>
    <cellStyle name="Normal 6 3 6" xfId="7355" xr:uid="{00000000-0005-0000-0000-0000BB1C0000}"/>
    <cellStyle name="Normal 6 4" xfId="7356" xr:uid="{00000000-0005-0000-0000-0000BC1C0000}"/>
    <cellStyle name="Normal 6 4 2" xfId="7357" xr:uid="{00000000-0005-0000-0000-0000BD1C0000}"/>
    <cellStyle name="Normal 6 4 2 2" xfId="7358" xr:uid="{00000000-0005-0000-0000-0000BE1C0000}"/>
    <cellStyle name="Normal 6 4 3" xfId="7359" xr:uid="{00000000-0005-0000-0000-0000BF1C0000}"/>
    <cellStyle name="Normal 6 4 3 2" xfId="7360" xr:uid="{00000000-0005-0000-0000-0000C01C0000}"/>
    <cellStyle name="Normal 6 4 4" xfId="7361" xr:uid="{00000000-0005-0000-0000-0000C11C0000}"/>
    <cellStyle name="Normal 6 4 4 2" xfId="7362" xr:uid="{00000000-0005-0000-0000-0000C21C0000}"/>
    <cellStyle name="Normal 6 4 5" xfId="7363" xr:uid="{00000000-0005-0000-0000-0000C31C0000}"/>
    <cellStyle name="Normal 6 4 6" xfId="7364" xr:uid="{00000000-0005-0000-0000-0000C41C0000}"/>
    <cellStyle name="Normal 6 5" xfId="7365" xr:uid="{00000000-0005-0000-0000-0000C51C0000}"/>
    <cellStyle name="Normal 6 5 2" xfId="7366" xr:uid="{00000000-0005-0000-0000-0000C61C0000}"/>
    <cellStyle name="Normal 6 6" xfId="7367" xr:uid="{00000000-0005-0000-0000-0000C71C0000}"/>
    <cellStyle name="Normal 6 6 2" xfId="7368" xr:uid="{00000000-0005-0000-0000-0000C81C0000}"/>
    <cellStyle name="Normal 6 7" xfId="7369" xr:uid="{00000000-0005-0000-0000-0000C91C0000}"/>
    <cellStyle name="Normal 6 7 2" xfId="7370" xr:uid="{00000000-0005-0000-0000-0000CA1C0000}"/>
    <cellStyle name="Normal 6 8" xfId="7371" xr:uid="{00000000-0005-0000-0000-0000CB1C0000}"/>
    <cellStyle name="Normal 6 9" xfId="7372" xr:uid="{00000000-0005-0000-0000-0000CC1C0000}"/>
    <cellStyle name="Normal 7" xfId="7373" xr:uid="{00000000-0005-0000-0000-0000CD1C0000}"/>
    <cellStyle name="Normal 7 2" xfId="7374" xr:uid="{00000000-0005-0000-0000-0000CE1C0000}"/>
    <cellStyle name="Normal 7 2 2" xfId="7375" xr:uid="{00000000-0005-0000-0000-0000CF1C0000}"/>
    <cellStyle name="Normal 7 2 3" xfId="7376" xr:uid="{00000000-0005-0000-0000-0000D01C0000}"/>
    <cellStyle name="Normal 7 3" xfId="7377" xr:uid="{00000000-0005-0000-0000-0000D11C0000}"/>
    <cellStyle name="Normal 7 3 2" xfId="7378" xr:uid="{00000000-0005-0000-0000-0000D21C0000}"/>
    <cellStyle name="Normal 7 3 2 2" xfId="7379" xr:uid="{00000000-0005-0000-0000-0000D31C0000}"/>
    <cellStyle name="Normal 7 3 3" xfId="7380" xr:uid="{00000000-0005-0000-0000-0000D41C0000}"/>
    <cellStyle name="Normal 8" xfId="7381" xr:uid="{00000000-0005-0000-0000-0000D51C0000}"/>
    <cellStyle name="Normal 8 2" xfId="7382" xr:uid="{00000000-0005-0000-0000-0000D61C0000}"/>
    <cellStyle name="Normal 8 2 2" xfId="7383" xr:uid="{00000000-0005-0000-0000-0000D71C0000}"/>
    <cellStyle name="Normal 8 2 2 2" xfId="7384" xr:uid="{00000000-0005-0000-0000-0000D81C0000}"/>
    <cellStyle name="Normal 8 2 2 2 2" xfId="7385" xr:uid="{00000000-0005-0000-0000-0000D91C0000}"/>
    <cellStyle name="Normal 8 2 2 3" xfId="7386" xr:uid="{00000000-0005-0000-0000-0000DA1C0000}"/>
    <cellStyle name="Normal 8 2 2 3 2" xfId="7387" xr:uid="{00000000-0005-0000-0000-0000DB1C0000}"/>
    <cellStyle name="Normal 8 2 2 4" xfId="7388" xr:uid="{00000000-0005-0000-0000-0000DC1C0000}"/>
    <cellStyle name="Normal 8 2 2 4 2" xfId="7389" xr:uid="{00000000-0005-0000-0000-0000DD1C0000}"/>
    <cellStyle name="Normal 8 2 2 5" xfId="7390" xr:uid="{00000000-0005-0000-0000-0000DE1C0000}"/>
    <cellStyle name="Normal 8 2 2 6" xfId="7391" xr:uid="{00000000-0005-0000-0000-0000DF1C0000}"/>
    <cellStyle name="Normal 8 2 3" xfId="7392" xr:uid="{00000000-0005-0000-0000-0000E01C0000}"/>
    <cellStyle name="Normal 8 2 3 2" xfId="7393" xr:uid="{00000000-0005-0000-0000-0000E11C0000}"/>
    <cellStyle name="Normal 8 2 4" xfId="7394" xr:uid="{00000000-0005-0000-0000-0000E21C0000}"/>
    <cellStyle name="Normal 8 2 4 2" xfId="7395" xr:uid="{00000000-0005-0000-0000-0000E31C0000}"/>
    <cellStyle name="Normal 8 2 5" xfId="7396" xr:uid="{00000000-0005-0000-0000-0000E41C0000}"/>
    <cellStyle name="Normal 8 2 5 2" xfId="7397" xr:uid="{00000000-0005-0000-0000-0000E51C0000}"/>
    <cellStyle name="Normal 8 2 6" xfId="7398" xr:uid="{00000000-0005-0000-0000-0000E61C0000}"/>
    <cellStyle name="Normal 8 2 7" xfId="7399" xr:uid="{00000000-0005-0000-0000-0000E71C0000}"/>
    <cellStyle name="Normal 8 3" xfId="7400" xr:uid="{00000000-0005-0000-0000-0000E81C0000}"/>
    <cellStyle name="Normal 8 3 2" xfId="7401" xr:uid="{00000000-0005-0000-0000-0000E91C0000}"/>
    <cellStyle name="Normal 8 3 2 2" xfId="7402" xr:uid="{00000000-0005-0000-0000-0000EA1C0000}"/>
    <cellStyle name="Normal 8 4" xfId="7403" xr:uid="{00000000-0005-0000-0000-0000EB1C0000}"/>
    <cellStyle name="Normal 8 5" xfId="7404" xr:uid="{00000000-0005-0000-0000-0000EC1C0000}"/>
    <cellStyle name="Normal 8 5 2" xfId="7405" xr:uid="{00000000-0005-0000-0000-0000ED1C0000}"/>
    <cellStyle name="Normal 8 5 2 2" xfId="7406" xr:uid="{00000000-0005-0000-0000-0000EE1C0000}"/>
    <cellStyle name="Normal 8 5 3" xfId="7407" xr:uid="{00000000-0005-0000-0000-0000EF1C0000}"/>
    <cellStyle name="Normal 8 5 3 2" xfId="7408" xr:uid="{00000000-0005-0000-0000-0000F01C0000}"/>
    <cellStyle name="Normal 8 5 4" xfId="7409" xr:uid="{00000000-0005-0000-0000-0000F11C0000}"/>
    <cellStyle name="Normal 8 5 4 2" xfId="7410" xr:uid="{00000000-0005-0000-0000-0000F21C0000}"/>
    <cellStyle name="Normal 8 5 5" xfId="7411" xr:uid="{00000000-0005-0000-0000-0000F31C0000}"/>
    <cellStyle name="Normal 8 5 6" xfId="7412" xr:uid="{00000000-0005-0000-0000-0000F41C0000}"/>
    <cellStyle name="Normal 9" xfId="7413" xr:uid="{00000000-0005-0000-0000-0000F51C0000}"/>
    <cellStyle name="Normal 9 2" xfId="7414" xr:uid="{00000000-0005-0000-0000-0000F61C0000}"/>
    <cellStyle name="Normal 9 2 2" xfId="7415" xr:uid="{00000000-0005-0000-0000-0000F71C0000}"/>
    <cellStyle name="Normal 9 2 3" xfId="7416" xr:uid="{00000000-0005-0000-0000-0000F81C0000}"/>
    <cellStyle name="Normal 9 3" xfId="7417" xr:uid="{00000000-0005-0000-0000-0000F91C0000}"/>
    <cellStyle name="Normal 9 4" xfId="7418" xr:uid="{00000000-0005-0000-0000-0000FA1C0000}"/>
    <cellStyle name="Normal 9 5" xfId="7419" xr:uid="{00000000-0005-0000-0000-0000FB1C0000}"/>
    <cellStyle name="Normal 9 8" xfId="10381" xr:uid="{92EACC1E-80BF-4EEA-82C3-CC7797FB133B}"/>
    <cellStyle name="Normal GHG Numbers (0.00)" xfId="7420" xr:uid="{00000000-0005-0000-0000-0000FC1C0000}"/>
    <cellStyle name="Normal GHG Numbers (0.00) 2" xfId="7421" xr:uid="{00000000-0005-0000-0000-0000FD1C0000}"/>
    <cellStyle name="Normal GHG Numbers (0.00) 3" xfId="7422" xr:uid="{00000000-0005-0000-0000-0000FE1C0000}"/>
    <cellStyle name="Normal GHG Textfiels Bold" xfId="7423" xr:uid="{00000000-0005-0000-0000-0000FF1C0000}"/>
    <cellStyle name="Normal GHG-Shade" xfId="7424" xr:uid="{00000000-0005-0000-0000-0000001D0000}"/>
    <cellStyle name="Normal GHG-Shade 2" xfId="7425" xr:uid="{00000000-0005-0000-0000-0000011D0000}"/>
    <cellStyle name="Normal GHG-Shade 2 2" xfId="7426" xr:uid="{00000000-0005-0000-0000-0000021D0000}"/>
    <cellStyle name="Normal GHG-Shade 3" xfId="7427" xr:uid="{00000000-0005-0000-0000-0000031D0000}"/>
    <cellStyle name="Normale 10" xfId="7428" xr:uid="{00000000-0005-0000-0000-0000041D0000}"/>
    <cellStyle name="Normale 10 2" xfId="7429" xr:uid="{00000000-0005-0000-0000-0000051D0000}"/>
    <cellStyle name="Normale 10 2 2" xfId="7430" xr:uid="{00000000-0005-0000-0000-0000061D0000}"/>
    <cellStyle name="Normale 10 2 2 2" xfId="7431" xr:uid="{00000000-0005-0000-0000-0000071D0000}"/>
    <cellStyle name="Normale 10 2 3" xfId="7432" xr:uid="{00000000-0005-0000-0000-0000081D0000}"/>
    <cellStyle name="Normale 10 3" xfId="7433" xr:uid="{00000000-0005-0000-0000-0000091D0000}"/>
    <cellStyle name="Normale 10 3 2" xfId="7434" xr:uid="{00000000-0005-0000-0000-00000A1D0000}"/>
    <cellStyle name="Normale 10 3 2 2" xfId="7435" xr:uid="{00000000-0005-0000-0000-00000B1D0000}"/>
    <cellStyle name="Normale 10 3 3" xfId="7436" xr:uid="{00000000-0005-0000-0000-00000C1D0000}"/>
    <cellStyle name="Normale 10 4" xfId="7437" xr:uid="{00000000-0005-0000-0000-00000D1D0000}"/>
    <cellStyle name="Normale 10 4 2" xfId="7438" xr:uid="{00000000-0005-0000-0000-00000E1D0000}"/>
    <cellStyle name="Normale 10 5" xfId="7439" xr:uid="{00000000-0005-0000-0000-00000F1D0000}"/>
    <cellStyle name="Normale 10_EDEN industria 2008 rev" xfId="7440" xr:uid="{00000000-0005-0000-0000-0000101D0000}"/>
    <cellStyle name="Normale 11" xfId="7441" xr:uid="{00000000-0005-0000-0000-0000111D0000}"/>
    <cellStyle name="Normale 11 2" xfId="7442" xr:uid="{00000000-0005-0000-0000-0000121D0000}"/>
    <cellStyle name="Normale 11 2 2" xfId="7443" xr:uid="{00000000-0005-0000-0000-0000131D0000}"/>
    <cellStyle name="Normale 11 2 2 2" xfId="7444" xr:uid="{00000000-0005-0000-0000-0000141D0000}"/>
    <cellStyle name="Normale 11 2 3" xfId="7445" xr:uid="{00000000-0005-0000-0000-0000151D0000}"/>
    <cellStyle name="Normale 11 3" xfId="7446" xr:uid="{00000000-0005-0000-0000-0000161D0000}"/>
    <cellStyle name="Normale 11 3 2" xfId="7447" xr:uid="{00000000-0005-0000-0000-0000171D0000}"/>
    <cellStyle name="Normale 11 3 2 2" xfId="7448" xr:uid="{00000000-0005-0000-0000-0000181D0000}"/>
    <cellStyle name="Normale 11 3 3" xfId="7449" xr:uid="{00000000-0005-0000-0000-0000191D0000}"/>
    <cellStyle name="Normale 11 4" xfId="7450" xr:uid="{00000000-0005-0000-0000-00001A1D0000}"/>
    <cellStyle name="Normale 11 4 2" xfId="7451" xr:uid="{00000000-0005-0000-0000-00001B1D0000}"/>
    <cellStyle name="Normale 11 5" xfId="7452" xr:uid="{00000000-0005-0000-0000-00001C1D0000}"/>
    <cellStyle name="Normale 11_EDEN industria 2008 rev" xfId="7453" xr:uid="{00000000-0005-0000-0000-00001D1D0000}"/>
    <cellStyle name="Normale 12" xfId="7454" xr:uid="{00000000-0005-0000-0000-00001E1D0000}"/>
    <cellStyle name="Normale 12 2" xfId="7455" xr:uid="{00000000-0005-0000-0000-00001F1D0000}"/>
    <cellStyle name="Normale 12 2 2" xfId="7456" xr:uid="{00000000-0005-0000-0000-0000201D0000}"/>
    <cellStyle name="Normale 12 2 2 2" xfId="7457" xr:uid="{00000000-0005-0000-0000-0000211D0000}"/>
    <cellStyle name="Normale 12 2 3" xfId="7458" xr:uid="{00000000-0005-0000-0000-0000221D0000}"/>
    <cellStyle name="Normale 12 3" xfId="7459" xr:uid="{00000000-0005-0000-0000-0000231D0000}"/>
    <cellStyle name="Normale 12 3 2" xfId="7460" xr:uid="{00000000-0005-0000-0000-0000241D0000}"/>
    <cellStyle name="Normale 12 3 2 2" xfId="7461" xr:uid="{00000000-0005-0000-0000-0000251D0000}"/>
    <cellStyle name="Normale 12 3 3" xfId="7462" xr:uid="{00000000-0005-0000-0000-0000261D0000}"/>
    <cellStyle name="Normale 12 4" xfId="7463" xr:uid="{00000000-0005-0000-0000-0000271D0000}"/>
    <cellStyle name="Normale 12 4 2" xfId="7464" xr:uid="{00000000-0005-0000-0000-0000281D0000}"/>
    <cellStyle name="Normale 12 5" xfId="7465" xr:uid="{00000000-0005-0000-0000-0000291D0000}"/>
    <cellStyle name="Normale 12_EDEN industria 2008 rev" xfId="7466" xr:uid="{00000000-0005-0000-0000-00002A1D0000}"/>
    <cellStyle name="Normale 13" xfId="7467" xr:uid="{00000000-0005-0000-0000-00002B1D0000}"/>
    <cellStyle name="Normale 13 2" xfId="7468" xr:uid="{00000000-0005-0000-0000-00002C1D0000}"/>
    <cellStyle name="Normale 13 2 2" xfId="7469" xr:uid="{00000000-0005-0000-0000-00002D1D0000}"/>
    <cellStyle name="Normale 13 2 2 2" xfId="7470" xr:uid="{00000000-0005-0000-0000-00002E1D0000}"/>
    <cellStyle name="Normale 13 2 3" xfId="7471" xr:uid="{00000000-0005-0000-0000-00002F1D0000}"/>
    <cellStyle name="Normale 13 3" xfId="7472" xr:uid="{00000000-0005-0000-0000-0000301D0000}"/>
    <cellStyle name="Normale 13 3 2" xfId="7473" xr:uid="{00000000-0005-0000-0000-0000311D0000}"/>
    <cellStyle name="Normale 13 3 2 2" xfId="7474" xr:uid="{00000000-0005-0000-0000-0000321D0000}"/>
    <cellStyle name="Normale 13 3 3" xfId="7475" xr:uid="{00000000-0005-0000-0000-0000331D0000}"/>
    <cellStyle name="Normale 13 4" xfId="7476" xr:uid="{00000000-0005-0000-0000-0000341D0000}"/>
    <cellStyle name="Normale 13 4 2" xfId="7477" xr:uid="{00000000-0005-0000-0000-0000351D0000}"/>
    <cellStyle name="Normale 13 5" xfId="7478" xr:uid="{00000000-0005-0000-0000-0000361D0000}"/>
    <cellStyle name="Normale 13_EDEN industria 2008 rev" xfId="7479" xr:uid="{00000000-0005-0000-0000-0000371D0000}"/>
    <cellStyle name="Normale 14" xfId="7480" xr:uid="{00000000-0005-0000-0000-0000381D0000}"/>
    <cellStyle name="Normale 14 2" xfId="7481" xr:uid="{00000000-0005-0000-0000-0000391D0000}"/>
    <cellStyle name="Normale 14 2 2" xfId="7482" xr:uid="{00000000-0005-0000-0000-00003A1D0000}"/>
    <cellStyle name="Normale 14 2 2 2" xfId="7483" xr:uid="{00000000-0005-0000-0000-00003B1D0000}"/>
    <cellStyle name="Normale 14 2 3" xfId="7484" xr:uid="{00000000-0005-0000-0000-00003C1D0000}"/>
    <cellStyle name="Normale 14 3" xfId="7485" xr:uid="{00000000-0005-0000-0000-00003D1D0000}"/>
    <cellStyle name="Normale 14 3 2" xfId="7486" xr:uid="{00000000-0005-0000-0000-00003E1D0000}"/>
    <cellStyle name="Normale 14 3 2 2" xfId="7487" xr:uid="{00000000-0005-0000-0000-00003F1D0000}"/>
    <cellStyle name="Normale 14 3 3" xfId="7488" xr:uid="{00000000-0005-0000-0000-0000401D0000}"/>
    <cellStyle name="Normale 14 4" xfId="7489" xr:uid="{00000000-0005-0000-0000-0000411D0000}"/>
    <cellStyle name="Normale 14 4 2" xfId="7490" xr:uid="{00000000-0005-0000-0000-0000421D0000}"/>
    <cellStyle name="Normale 14 5" xfId="7491" xr:uid="{00000000-0005-0000-0000-0000431D0000}"/>
    <cellStyle name="Normale 14_EDEN industria 2008 rev" xfId="7492" xr:uid="{00000000-0005-0000-0000-0000441D0000}"/>
    <cellStyle name="Normale 15" xfId="7493" xr:uid="{00000000-0005-0000-0000-0000451D0000}"/>
    <cellStyle name="Normale 15 2" xfId="7494" xr:uid="{00000000-0005-0000-0000-0000461D0000}"/>
    <cellStyle name="Normale 15 2 2" xfId="7495" xr:uid="{00000000-0005-0000-0000-0000471D0000}"/>
    <cellStyle name="Normale 15 2 2 2" xfId="7496" xr:uid="{00000000-0005-0000-0000-0000481D0000}"/>
    <cellStyle name="Normale 15 2 3" xfId="7497" xr:uid="{00000000-0005-0000-0000-0000491D0000}"/>
    <cellStyle name="Normale 15 3" xfId="7498" xr:uid="{00000000-0005-0000-0000-00004A1D0000}"/>
    <cellStyle name="Normale 15 3 2" xfId="7499" xr:uid="{00000000-0005-0000-0000-00004B1D0000}"/>
    <cellStyle name="Normale 15 3 2 2" xfId="7500" xr:uid="{00000000-0005-0000-0000-00004C1D0000}"/>
    <cellStyle name="Normale 15 3 3" xfId="7501" xr:uid="{00000000-0005-0000-0000-00004D1D0000}"/>
    <cellStyle name="Normale 15 4" xfId="7502" xr:uid="{00000000-0005-0000-0000-00004E1D0000}"/>
    <cellStyle name="Normale 15 4 2" xfId="7503" xr:uid="{00000000-0005-0000-0000-00004F1D0000}"/>
    <cellStyle name="Normale 15 5" xfId="7504" xr:uid="{00000000-0005-0000-0000-0000501D0000}"/>
    <cellStyle name="Normale 15_EDEN industria 2008 rev" xfId="7505" xr:uid="{00000000-0005-0000-0000-0000511D0000}"/>
    <cellStyle name="Normale 16" xfId="7506" xr:uid="{00000000-0005-0000-0000-0000521D0000}"/>
    <cellStyle name="Normale 16 2" xfId="7507" xr:uid="{00000000-0005-0000-0000-0000531D0000}"/>
    <cellStyle name="Normale 16 2 2" xfId="7508" xr:uid="{00000000-0005-0000-0000-0000541D0000}"/>
    <cellStyle name="Normale 16 3" xfId="7509" xr:uid="{00000000-0005-0000-0000-0000551D0000}"/>
    <cellStyle name="Normale 17" xfId="7510" xr:uid="{00000000-0005-0000-0000-0000561D0000}"/>
    <cellStyle name="Normale 17 2" xfId="7511" xr:uid="{00000000-0005-0000-0000-0000571D0000}"/>
    <cellStyle name="Normale 17 2 2" xfId="7512" xr:uid="{00000000-0005-0000-0000-0000581D0000}"/>
    <cellStyle name="Normale 17 3" xfId="7513" xr:uid="{00000000-0005-0000-0000-0000591D0000}"/>
    <cellStyle name="Normale 18" xfId="7514" xr:uid="{00000000-0005-0000-0000-00005A1D0000}"/>
    <cellStyle name="Normale 18 2" xfId="7515" xr:uid="{00000000-0005-0000-0000-00005B1D0000}"/>
    <cellStyle name="Normale 19" xfId="7516" xr:uid="{00000000-0005-0000-0000-00005C1D0000}"/>
    <cellStyle name="Normale 19 2" xfId="7517" xr:uid="{00000000-0005-0000-0000-00005D1D0000}"/>
    <cellStyle name="Normale 2" xfId="7518" xr:uid="{00000000-0005-0000-0000-00005E1D0000}"/>
    <cellStyle name="Normale 2 2" xfId="7519" xr:uid="{00000000-0005-0000-0000-00005F1D0000}"/>
    <cellStyle name="Normale 2 2 2" xfId="7520" xr:uid="{00000000-0005-0000-0000-0000601D0000}"/>
    <cellStyle name="Normale 2 2 2 2" xfId="7521" xr:uid="{00000000-0005-0000-0000-0000611D0000}"/>
    <cellStyle name="Normale 2 2 3" xfId="7522" xr:uid="{00000000-0005-0000-0000-0000621D0000}"/>
    <cellStyle name="Normale 2 3" xfId="7523" xr:uid="{00000000-0005-0000-0000-0000631D0000}"/>
    <cellStyle name="Normale 2 3 2" xfId="7524" xr:uid="{00000000-0005-0000-0000-0000641D0000}"/>
    <cellStyle name="Normale 2 4" xfId="7525" xr:uid="{00000000-0005-0000-0000-0000651D0000}"/>
    <cellStyle name="Normale 2_EDEN industria 2008 rev" xfId="7526" xr:uid="{00000000-0005-0000-0000-0000661D0000}"/>
    <cellStyle name="Normale 20" xfId="7527" xr:uid="{00000000-0005-0000-0000-0000671D0000}"/>
    <cellStyle name="Normale 20 2" xfId="7528" xr:uid="{00000000-0005-0000-0000-0000681D0000}"/>
    <cellStyle name="Normale 20 2 2" xfId="7529" xr:uid="{00000000-0005-0000-0000-0000691D0000}"/>
    <cellStyle name="Normale 20 3" xfId="7530" xr:uid="{00000000-0005-0000-0000-00006A1D0000}"/>
    <cellStyle name="Normale 21" xfId="7531" xr:uid="{00000000-0005-0000-0000-00006B1D0000}"/>
    <cellStyle name="Normale 21 2" xfId="7532" xr:uid="{00000000-0005-0000-0000-00006C1D0000}"/>
    <cellStyle name="Normale 21 2 2" xfId="7533" xr:uid="{00000000-0005-0000-0000-00006D1D0000}"/>
    <cellStyle name="Normale 21 3" xfId="7534" xr:uid="{00000000-0005-0000-0000-00006E1D0000}"/>
    <cellStyle name="Normale 22" xfId="7535" xr:uid="{00000000-0005-0000-0000-00006F1D0000}"/>
    <cellStyle name="Normale 22 2" xfId="7536" xr:uid="{00000000-0005-0000-0000-0000701D0000}"/>
    <cellStyle name="Normale 22 2 2" xfId="7537" xr:uid="{00000000-0005-0000-0000-0000711D0000}"/>
    <cellStyle name="Normale 22 3" xfId="7538" xr:uid="{00000000-0005-0000-0000-0000721D0000}"/>
    <cellStyle name="Normale 23" xfId="7539" xr:uid="{00000000-0005-0000-0000-0000731D0000}"/>
    <cellStyle name="Normale 23 2" xfId="7540" xr:uid="{00000000-0005-0000-0000-0000741D0000}"/>
    <cellStyle name="Normale 23 2 2" xfId="7541" xr:uid="{00000000-0005-0000-0000-0000751D0000}"/>
    <cellStyle name="Normale 23 3" xfId="7542" xr:uid="{00000000-0005-0000-0000-0000761D0000}"/>
    <cellStyle name="Normale 24" xfId="7543" xr:uid="{00000000-0005-0000-0000-0000771D0000}"/>
    <cellStyle name="Normale 24 2" xfId="7544" xr:uid="{00000000-0005-0000-0000-0000781D0000}"/>
    <cellStyle name="Normale 24 2 2" xfId="7545" xr:uid="{00000000-0005-0000-0000-0000791D0000}"/>
    <cellStyle name="Normale 24 3" xfId="7546" xr:uid="{00000000-0005-0000-0000-00007A1D0000}"/>
    <cellStyle name="Normale 25" xfId="7547" xr:uid="{00000000-0005-0000-0000-00007B1D0000}"/>
    <cellStyle name="Normale 25 2" xfId="7548" xr:uid="{00000000-0005-0000-0000-00007C1D0000}"/>
    <cellStyle name="Normale 25 2 2" xfId="7549" xr:uid="{00000000-0005-0000-0000-00007D1D0000}"/>
    <cellStyle name="Normale 25 3" xfId="7550" xr:uid="{00000000-0005-0000-0000-00007E1D0000}"/>
    <cellStyle name="Normale 26" xfId="7551" xr:uid="{00000000-0005-0000-0000-00007F1D0000}"/>
    <cellStyle name="Normale 26 2" xfId="7552" xr:uid="{00000000-0005-0000-0000-0000801D0000}"/>
    <cellStyle name="Normale 26 2 2" xfId="7553" xr:uid="{00000000-0005-0000-0000-0000811D0000}"/>
    <cellStyle name="Normale 26 3" xfId="7554" xr:uid="{00000000-0005-0000-0000-0000821D0000}"/>
    <cellStyle name="Normale 27" xfId="7555" xr:uid="{00000000-0005-0000-0000-0000831D0000}"/>
    <cellStyle name="Normale 27 2" xfId="7556" xr:uid="{00000000-0005-0000-0000-0000841D0000}"/>
    <cellStyle name="Normale 27 2 2" xfId="7557" xr:uid="{00000000-0005-0000-0000-0000851D0000}"/>
    <cellStyle name="Normale 27 3" xfId="7558" xr:uid="{00000000-0005-0000-0000-0000861D0000}"/>
    <cellStyle name="Normale 28" xfId="7559" xr:uid="{00000000-0005-0000-0000-0000871D0000}"/>
    <cellStyle name="Normale 28 2" xfId="7560" xr:uid="{00000000-0005-0000-0000-0000881D0000}"/>
    <cellStyle name="Normale 28 2 2" xfId="7561" xr:uid="{00000000-0005-0000-0000-0000891D0000}"/>
    <cellStyle name="Normale 28 3" xfId="7562" xr:uid="{00000000-0005-0000-0000-00008A1D0000}"/>
    <cellStyle name="Normale 29" xfId="7563" xr:uid="{00000000-0005-0000-0000-00008B1D0000}"/>
    <cellStyle name="Normale 29 2" xfId="7564" xr:uid="{00000000-0005-0000-0000-00008C1D0000}"/>
    <cellStyle name="Normale 29 2 2" xfId="7565" xr:uid="{00000000-0005-0000-0000-00008D1D0000}"/>
    <cellStyle name="Normale 29 3" xfId="7566" xr:uid="{00000000-0005-0000-0000-00008E1D0000}"/>
    <cellStyle name="Normale 3" xfId="7567" xr:uid="{00000000-0005-0000-0000-00008F1D0000}"/>
    <cellStyle name="Normale 3 2" xfId="7568" xr:uid="{00000000-0005-0000-0000-0000901D0000}"/>
    <cellStyle name="Normale 3 2 2" xfId="7569" xr:uid="{00000000-0005-0000-0000-0000911D0000}"/>
    <cellStyle name="Normale 3 2 2 2" xfId="7570" xr:uid="{00000000-0005-0000-0000-0000921D0000}"/>
    <cellStyle name="Normale 3 2 3" xfId="7571" xr:uid="{00000000-0005-0000-0000-0000931D0000}"/>
    <cellStyle name="Normale 3 3" xfId="7572" xr:uid="{00000000-0005-0000-0000-0000941D0000}"/>
    <cellStyle name="Normale 3 3 2" xfId="7573" xr:uid="{00000000-0005-0000-0000-0000951D0000}"/>
    <cellStyle name="Normale 3 3 2 2" xfId="7574" xr:uid="{00000000-0005-0000-0000-0000961D0000}"/>
    <cellStyle name="Normale 3 3 3" xfId="7575" xr:uid="{00000000-0005-0000-0000-0000971D0000}"/>
    <cellStyle name="Normale 3 4" xfId="7576" xr:uid="{00000000-0005-0000-0000-0000981D0000}"/>
    <cellStyle name="Normale 3 4 2" xfId="7577" xr:uid="{00000000-0005-0000-0000-0000991D0000}"/>
    <cellStyle name="Normale 3 5" xfId="7578" xr:uid="{00000000-0005-0000-0000-00009A1D0000}"/>
    <cellStyle name="Normale 3_EDEN industria 2008 rev" xfId="7579" xr:uid="{00000000-0005-0000-0000-00009B1D0000}"/>
    <cellStyle name="Normale 30" xfId="7580" xr:uid="{00000000-0005-0000-0000-00009C1D0000}"/>
    <cellStyle name="Normale 30 2" xfId="7581" xr:uid="{00000000-0005-0000-0000-00009D1D0000}"/>
    <cellStyle name="Normale 30 2 2" xfId="7582" xr:uid="{00000000-0005-0000-0000-00009E1D0000}"/>
    <cellStyle name="Normale 30 3" xfId="7583" xr:uid="{00000000-0005-0000-0000-00009F1D0000}"/>
    <cellStyle name="Normale 31" xfId="7584" xr:uid="{00000000-0005-0000-0000-0000A01D0000}"/>
    <cellStyle name="Normale 31 2" xfId="7585" xr:uid="{00000000-0005-0000-0000-0000A11D0000}"/>
    <cellStyle name="Normale 31 2 2" xfId="7586" xr:uid="{00000000-0005-0000-0000-0000A21D0000}"/>
    <cellStyle name="Normale 31 3" xfId="7587" xr:uid="{00000000-0005-0000-0000-0000A31D0000}"/>
    <cellStyle name="Normale 32" xfId="7588" xr:uid="{00000000-0005-0000-0000-0000A41D0000}"/>
    <cellStyle name="Normale 32 2" xfId="7589" xr:uid="{00000000-0005-0000-0000-0000A51D0000}"/>
    <cellStyle name="Normale 32 2 2" xfId="7590" xr:uid="{00000000-0005-0000-0000-0000A61D0000}"/>
    <cellStyle name="Normale 32 3" xfId="7591" xr:uid="{00000000-0005-0000-0000-0000A71D0000}"/>
    <cellStyle name="Normale 33" xfId="7592" xr:uid="{00000000-0005-0000-0000-0000A81D0000}"/>
    <cellStyle name="Normale 33 2" xfId="7593" xr:uid="{00000000-0005-0000-0000-0000A91D0000}"/>
    <cellStyle name="Normale 33 2 2" xfId="7594" xr:uid="{00000000-0005-0000-0000-0000AA1D0000}"/>
    <cellStyle name="Normale 33 3" xfId="7595" xr:uid="{00000000-0005-0000-0000-0000AB1D0000}"/>
    <cellStyle name="Normale 34" xfId="7596" xr:uid="{00000000-0005-0000-0000-0000AC1D0000}"/>
    <cellStyle name="Normale 34 2" xfId="7597" xr:uid="{00000000-0005-0000-0000-0000AD1D0000}"/>
    <cellStyle name="Normale 34 2 2" xfId="7598" xr:uid="{00000000-0005-0000-0000-0000AE1D0000}"/>
    <cellStyle name="Normale 34 3" xfId="7599" xr:uid="{00000000-0005-0000-0000-0000AF1D0000}"/>
    <cellStyle name="Normale 35" xfId="7600" xr:uid="{00000000-0005-0000-0000-0000B01D0000}"/>
    <cellStyle name="Normale 35 2" xfId="7601" xr:uid="{00000000-0005-0000-0000-0000B11D0000}"/>
    <cellStyle name="Normale 35 2 2" xfId="7602" xr:uid="{00000000-0005-0000-0000-0000B21D0000}"/>
    <cellStyle name="Normale 35 3" xfId="7603" xr:uid="{00000000-0005-0000-0000-0000B31D0000}"/>
    <cellStyle name="Normale 36" xfId="7604" xr:uid="{00000000-0005-0000-0000-0000B41D0000}"/>
    <cellStyle name="Normale 36 2" xfId="7605" xr:uid="{00000000-0005-0000-0000-0000B51D0000}"/>
    <cellStyle name="Normale 36 2 2" xfId="7606" xr:uid="{00000000-0005-0000-0000-0000B61D0000}"/>
    <cellStyle name="Normale 36 3" xfId="7607" xr:uid="{00000000-0005-0000-0000-0000B71D0000}"/>
    <cellStyle name="Normale 37" xfId="7608" xr:uid="{00000000-0005-0000-0000-0000B81D0000}"/>
    <cellStyle name="Normale 37 2" xfId="7609" xr:uid="{00000000-0005-0000-0000-0000B91D0000}"/>
    <cellStyle name="Normale 37 2 2" xfId="7610" xr:uid="{00000000-0005-0000-0000-0000BA1D0000}"/>
    <cellStyle name="Normale 37 3" xfId="7611" xr:uid="{00000000-0005-0000-0000-0000BB1D0000}"/>
    <cellStyle name="Normale 38" xfId="7612" xr:uid="{00000000-0005-0000-0000-0000BC1D0000}"/>
    <cellStyle name="Normale 38 2" xfId="7613" xr:uid="{00000000-0005-0000-0000-0000BD1D0000}"/>
    <cellStyle name="Normale 38 2 2" xfId="7614" xr:uid="{00000000-0005-0000-0000-0000BE1D0000}"/>
    <cellStyle name="Normale 38 3" xfId="7615" xr:uid="{00000000-0005-0000-0000-0000BF1D0000}"/>
    <cellStyle name="Normale 39" xfId="7616" xr:uid="{00000000-0005-0000-0000-0000C01D0000}"/>
    <cellStyle name="Normale 39 2" xfId="7617" xr:uid="{00000000-0005-0000-0000-0000C11D0000}"/>
    <cellStyle name="Normale 39 2 2" xfId="7618" xr:uid="{00000000-0005-0000-0000-0000C21D0000}"/>
    <cellStyle name="Normale 39 3" xfId="7619" xr:uid="{00000000-0005-0000-0000-0000C31D0000}"/>
    <cellStyle name="Normale 4" xfId="7620" xr:uid="{00000000-0005-0000-0000-0000C41D0000}"/>
    <cellStyle name="Normale 4 2" xfId="7621" xr:uid="{00000000-0005-0000-0000-0000C51D0000}"/>
    <cellStyle name="Normale 4 2 2" xfId="7622" xr:uid="{00000000-0005-0000-0000-0000C61D0000}"/>
    <cellStyle name="Normale 4 2 2 2" xfId="7623" xr:uid="{00000000-0005-0000-0000-0000C71D0000}"/>
    <cellStyle name="Normale 4 2 3" xfId="7624" xr:uid="{00000000-0005-0000-0000-0000C81D0000}"/>
    <cellStyle name="Normale 4 3" xfId="7625" xr:uid="{00000000-0005-0000-0000-0000C91D0000}"/>
    <cellStyle name="Normale 4 3 2" xfId="7626" xr:uid="{00000000-0005-0000-0000-0000CA1D0000}"/>
    <cellStyle name="Normale 4 3 2 2" xfId="7627" xr:uid="{00000000-0005-0000-0000-0000CB1D0000}"/>
    <cellStyle name="Normale 4 3 3" xfId="7628" xr:uid="{00000000-0005-0000-0000-0000CC1D0000}"/>
    <cellStyle name="Normale 4 4" xfId="7629" xr:uid="{00000000-0005-0000-0000-0000CD1D0000}"/>
    <cellStyle name="Normale 4 4 2" xfId="7630" xr:uid="{00000000-0005-0000-0000-0000CE1D0000}"/>
    <cellStyle name="Normale 4 5" xfId="7631" xr:uid="{00000000-0005-0000-0000-0000CF1D0000}"/>
    <cellStyle name="Normale 4_EDEN industria 2008 rev" xfId="7632" xr:uid="{00000000-0005-0000-0000-0000D01D0000}"/>
    <cellStyle name="Normale 40" xfId="7633" xr:uid="{00000000-0005-0000-0000-0000D11D0000}"/>
    <cellStyle name="Normale 40 2" xfId="7634" xr:uid="{00000000-0005-0000-0000-0000D21D0000}"/>
    <cellStyle name="Normale 40 2 2" xfId="7635" xr:uid="{00000000-0005-0000-0000-0000D31D0000}"/>
    <cellStyle name="Normale 40 3" xfId="7636" xr:uid="{00000000-0005-0000-0000-0000D41D0000}"/>
    <cellStyle name="Normale 41" xfId="7637" xr:uid="{00000000-0005-0000-0000-0000D51D0000}"/>
    <cellStyle name="Normale 41 2" xfId="7638" xr:uid="{00000000-0005-0000-0000-0000D61D0000}"/>
    <cellStyle name="Normale 41 2 2" xfId="7639" xr:uid="{00000000-0005-0000-0000-0000D71D0000}"/>
    <cellStyle name="Normale 41 3" xfId="7640" xr:uid="{00000000-0005-0000-0000-0000D81D0000}"/>
    <cellStyle name="Normale 42" xfId="7641" xr:uid="{00000000-0005-0000-0000-0000D91D0000}"/>
    <cellStyle name="Normale 42 2" xfId="7642" xr:uid="{00000000-0005-0000-0000-0000DA1D0000}"/>
    <cellStyle name="Normale 42 2 2" xfId="7643" xr:uid="{00000000-0005-0000-0000-0000DB1D0000}"/>
    <cellStyle name="Normale 42 3" xfId="7644" xr:uid="{00000000-0005-0000-0000-0000DC1D0000}"/>
    <cellStyle name="Normale 43" xfId="7645" xr:uid="{00000000-0005-0000-0000-0000DD1D0000}"/>
    <cellStyle name="Normale 43 2" xfId="7646" xr:uid="{00000000-0005-0000-0000-0000DE1D0000}"/>
    <cellStyle name="Normale 43 2 2" xfId="7647" xr:uid="{00000000-0005-0000-0000-0000DF1D0000}"/>
    <cellStyle name="Normale 43 3" xfId="7648" xr:uid="{00000000-0005-0000-0000-0000E01D0000}"/>
    <cellStyle name="Normale 44" xfId="7649" xr:uid="{00000000-0005-0000-0000-0000E11D0000}"/>
    <cellStyle name="Normale 44 2" xfId="7650" xr:uid="{00000000-0005-0000-0000-0000E21D0000}"/>
    <cellStyle name="Normale 44 2 2" xfId="7651" xr:uid="{00000000-0005-0000-0000-0000E31D0000}"/>
    <cellStyle name="Normale 44 3" xfId="7652" xr:uid="{00000000-0005-0000-0000-0000E41D0000}"/>
    <cellStyle name="Normale 45" xfId="7653" xr:uid="{00000000-0005-0000-0000-0000E51D0000}"/>
    <cellStyle name="Normale 45 2" xfId="7654" xr:uid="{00000000-0005-0000-0000-0000E61D0000}"/>
    <cellStyle name="Normale 45 2 2" xfId="7655" xr:uid="{00000000-0005-0000-0000-0000E71D0000}"/>
    <cellStyle name="Normale 45 3" xfId="7656" xr:uid="{00000000-0005-0000-0000-0000E81D0000}"/>
    <cellStyle name="Normale 46" xfId="7657" xr:uid="{00000000-0005-0000-0000-0000E91D0000}"/>
    <cellStyle name="Normale 46 2" xfId="7658" xr:uid="{00000000-0005-0000-0000-0000EA1D0000}"/>
    <cellStyle name="Normale 46 2 2" xfId="7659" xr:uid="{00000000-0005-0000-0000-0000EB1D0000}"/>
    <cellStyle name="Normale 46 3" xfId="7660" xr:uid="{00000000-0005-0000-0000-0000EC1D0000}"/>
    <cellStyle name="Normale 47" xfId="7661" xr:uid="{00000000-0005-0000-0000-0000ED1D0000}"/>
    <cellStyle name="Normale 47 2" xfId="7662" xr:uid="{00000000-0005-0000-0000-0000EE1D0000}"/>
    <cellStyle name="Normale 47 2 2" xfId="7663" xr:uid="{00000000-0005-0000-0000-0000EF1D0000}"/>
    <cellStyle name="Normale 47 3" xfId="7664" xr:uid="{00000000-0005-0000-0000-0000F01D0000}"/>
    <cellStyle name="Normale 48" xfId="7665" xr:uid="{00000000-0005-0000-0000-0000F11D0000}"/>
    <cellStyle name="Normale 48 2" xfId="7666" xr:uid="{00000000-0005-0000-0000-0000F21D0000}"/>
    <cellStyle name="Normale 48 2 2" xfId="7667" xr:uid="{00000000-0005-0000-0000-0000F31D0000}"/>
    <cellStyle name="Normale 48 3" xfId="7668" xr:uid="{00000000-0005-0000-0000-0000F41D0000}"/>
    <cellStyle name="Normale 49" xfId="7669" xr:uid="{00000000-0005-0000-0000-0000F51D0000}"/>
    <cellStyle name="Normale 49 2" xfId="7670" xr:uid="{00000000-0005-0000-0000-0000F61D0000}"/>
    <cellStyle name="Normale 49 2 2" xfId="7671" xr:uid="{00000000-0005-0000-0000-0000F71D0000}"/>
    <cellStyle name="Normale 49 3" xfId="7672" xr:uid="{00000000-0005-0000-0000-0000F81D0000}"/>
    <cellStyle name="Normale 5" xfId="7673" xr:uid="{00000000-0005-0000-0000-0000F91D0000}"/>
    <cellStyle name="Normale 5 2" xfId="7674" xr:uid="{00000000-0005-0000-0000-0000FA1D0000}"/>
    <cellStyle name="Normale 5 2 2" xfId="7675" xr:uid="{00000000-0005-0000-0000-0000FB1D0000}"/>
    <cellStyle name="Normale 5 2 2 2" xfId="7676" xr:uid="{00000000-0005-0000-0000-0000FC1D0000}"/>
    <cellStyle name="Normale 5 2 3" xfId="7677" xr:uid="{00000000-0005-0000-0000-0000FD1D0000}"/>
    <cellStyle name="Normale 5 3" xfId="7678" xr:uid="{00000000-0005-0000-0000-0000FE1D0000}"/>
    <cellStyle name="Normale 5 3 2" xfId="7679" xr:uid="{00000000-0005-0000-0000-0000FF1D0000}"/>
    <cellStyle name="Normale 5 3 2 2" xfId="7680" xr:uid="{00000000-0005-0000-0000-0000001E0000}"/>
    <cellStyle name="Normale 5 3 3" xfId="7681" xr:uid="{00000000-0005-0000-0000-0000011E0000}"/>
    <cellStyle name="Normale 5 4" xfId="7682" xr:uid="{00000000-0005-0000-0000-0000021E0000}"/>
    <cellStyle name="Normale 5 4 2" xfId="7683" xr:uid="{00000000-0005-0000-0000-0000031E0000}"/>
    <cellStyle name="Normale 5 5" xfId="7684" xr:uid="{00000000-0005-0000-0000-0000041E0000}"/>
    <cellStyle name="Normale 5_EDEN industria 2008 rev" xfId="7685" xr:uid="{00000000-0005-0000-0000-0000051E0000}"/>
    <cellStyle name="Normale 50" xfId="7686" xr:uid="{00000000-0005-0000-0000-0000061E0000}"/>
    <cellStyle name="Normale 50 2" xfId="7687" xr:uid="{00000000-0005-0000-0000-0000071E0000}"/>
    <cellStyle name="Normale 50 2 2" xfId="7688" xr:uid="{00000000-0005-0000-0000-0000081E0000}"/>
    <cellStyle name="Normale 50 3" xfId="7689" xr:uid="{00000000-0005-0000-0000-0000091E0000}"/>
    <cellStyle name="Normale 51" xfId="7690" xr:uid="{00000000-0005-0000-0000-00000A1E0000}"/>
    <cellStyle name="Normale 51 2" xfId="7691" xr:uid="{00000000-0005-0000-0000-00000B1E0000}"/>
    <cellStyle name="Normale 51 2 2" xfId="7692" xr:uid="{00000000-0005-0000-0000-00000C1E0000}"/>
    <cellStyle name="Normale 51 3" xfId="7693" xr:uid="{00000000-0005-0000-0000-00000D1E0000}"/>
    <cellStyle name="Normale 52" xfId="7694" xr:uid="{00000000-0005-0000-0000-00000E1E0000}"/>
    <cellStyle name="Normale 52 2" xfId="7695" xr:uid="{00000000-0005-0000-0000-00000F1E0000}"/>
    <cellStyle name="Normale 52 2 2" xfId="7696" xr:uid="{00000000-0005-0000-0000-0000101E0000}"/>
    <cellStyle name="Normale 52 3" xfId="7697" xr:uid="{00000000-0005-0000-0000-0000111E0000}"/>
    <cellStyle name="Normale 53" xfId="7698" xr:uid="{00000000-0005-0000-0000-0000121E0000}"/>
    <cellStyle name="Normale 53 2" xfId="7699" xr:uid="{00000000-0005-0000-0000-0000131E0000}"/>
    <cellStyle name="Normale 53 2 2" xfId="7700" xr:uid="{00000000-0005-0000-0000-0000141E0000}"/>
    <cellStyle name="Normale 53 3" xfId="7701" xr:uid="{00000000-0005-0000-0000-0000151E0000}"/>
    <cellStyle name="Normale 54" xfId="7702" xr:uid="{00000000-0005-0000-0000-0000161E0000}"/>
    <cellStyle name="Normale 54 2" xfId="7703" xr:uid="{00000000-0005-0000-0000-0000171E0000}"/>
    <cellStyle name="Normale 54 2 2" xfId="7704" xr:uid="{00000000-0005-0000-0000-0000181E0000}"/>
    <cellStyle name="Normale 54 3" xfId="7705" xr:uid="{00000000-0005-0000-0000-0000191E0000}"/>
    <cellStyle name="Normale 55" xfId="7706" xr:uid="{00000000-0005-0000-0000-00001A1E0000}"/>
    <cellStyle name="Normale 55 2" xfId="7707" xr:uid="{00000000-0005-0000-0000-00001B1E0000}"/>
    <cellStyle name="Normale 55 2 2" xfId="7708" xr:uid="{00000000-0005-0000-0000-00001C1E0000}"/>
    <cellStyle name="Normale 55 3" xfId="7709" xr:uid="{00000000-0005-0000-0000-00001D1E0000}"/>
    <cellStyle name="Normale 56" xfId="7710" xr:uid="{00000000-0005-0000-0000-00001E1E0000}"/>
    <cellStyle name="Normale 56 2" xfId="7711" xr:uid="{00000000-0005-0000-0000-00001F1E0000}"/>
    <cellStyle name="Normale 56 2 2" xfId="7712" xr:uid="{00000000-0005-0000-0000-0000201E0000}"/>
    <cellStyle name="Normale 56 3" xfId="7713" xr:uid="{00000000-0005-0000-0000-0000211E0000}"/>
    <cellStyle name="Normale 57" xfId="7714" xr:uid="{00000000-0005-0000-0000-0000221E0000}"/>
    <cellStyle name="Normale 57 2" xfId="7715" xr:uid="{00000000-0005-0000-0000-0000231E0000}"/>
    <cellStyle name="Normale 57 2 2" xfId="7716" xr:uid="{00000000-0005-0000-0000-0000241E0000}"/>
    <cellStyle name="Normale 57 3" xfId="7717" xr:uid="{00000000-0005-0000-0000-0000251E0000}"/>
    <cellStyle name="Normale 58" xfId="7718" xr:uid="{00000000-0005-0000-0000-0000261E0000}"/>
    <cellStyle name="Normale 58 2" xfId="7719" xr:uid="{00000000-0005-0000-0000-0000271E0000}"/>
    <cellStyle name="Normale 58 2 2" xfId="7720" xr:uid="{00000000-0005-0000-0000-0000281E0000}"/>
    <cellStyle name="Normale 58 3" xfId="7721" xr:uid="{00000000-0005-0000-0000-0000291E0000}"/>
    <cellStyle name="Normale 59" xfId="7722" xr:uid="{00000000-0005-0000-0000-00002A1E0000}"/>
    <cellStyle name="Normale 59 2" xfId="7723" xr:uid="{00000000-0005-0000-0000-00002B1E0000}"/>
    <cellStyle name="Normale 59 2 2" xfId="7724" xr:uid="{00000000-0005-0000-0000-00002C1E0000}"/>
    <cellStyle name="Normale 59 3" xfId="7725" xr:uid="{00000000-0005-0000-0000-00002D1E0000}"/>
    <cellStyle name="Normale 6" xfId="7726" xr:uid="{00000000-0005-0000-0000-00002E1E0000}"/>
    <cellStyle name="Normale 6 2" xfId="7727" xr:uid="{00000000-0005-0000-0000-00002F1E0000}"/>
    <cellStyle name="Normale 6 2 2" xfId="7728" xr:uid="{00000000-0005-0000-0000-0000301E0000}"/>
    <cellStyle name="Normale 6 2 2 2" xfId="7729" xr:uid="{00000000-0005-0000-0000-0000311E0000}"/>
    <cellStyle name="Normale 6 2 3" xfId="7730" xr:uid="{00000000-0005-0000-0000-0000321E0000}"/>
    <cellStyle name="Normale 6 3" xfId="7731" xr:uid="{00000000-0005-0000-0000-0000331E0000}"/>
    <cellStyle name="Normale 6 3 2" xfId="7732" xr:uid="{00000000-0005-0000-0000-0000341E0000}"/>
    <cellStyle name="Normale 6 3 2 2" xfId="7733" xr:uid="{00000000-0005-0000-0000-0000351E0000}"/>
    <cellStyle name="Normale 6 3 3" xfId="7734" xr:uid="{00000000-0005-0000-0000-0000361E0000}"/>
    <cellStyle name="Normale 6 4" xfId="7735" xr:uid="{00000000-0005-0000-0000-0000371E0000}"/>
    <cellStyle name="Normale 6 4 2" xfId="7736" xr:uid="{00000000-0005-0000-0000-0000381E0000}"/>
    <cellStyle name="Normale 6 5" xfId="7737" xr:uid="{00000000-0005-0000-0000-0000391E0000}"/>
    <cellStyle name="Normale 6_EDEN industria 2008 rev" xfId="7738" xr:uid="{00000000-0005-0000-0000-00003A1E0000}"/>
    <cellStyle name="Normale 60" xfId="7739" xr:uid="{00000000-0005-0000-0000-00003B1E0000}"/>
    <cellStyle name="Normale 60 2" xfId="7740" xr:uid="{00000000-0005-0000-0000-00003C1E0000}"/>
    <cellStyle name="Normale 60 2 2" xfId="7741" xr:uid="{00000000-0005-0000-0000-00003D1E0000}"/>
    <cellStyle name="Normale 60 3" xfId="7742" xr:uid="{00000000-0005-0000-0000-00003E1E0000}"/>
    <cellStyle name="Normale 61" xfId="7743" xr:uid="{00000000-0005-0000-0000-00003F1E0000}"/>
    <cellStyle name="Normale 61 2" xfId="7744" xr:uid="{00000000-0005-0000-0000-0000401E0000}"/>
    <cellStyle name="Normale 61 2 2" xfId="7745" xr:uid="{00000000-0005-0000-0000-0000411E0000}"/>
    <cellStyle name="Normale 61 3" xfId="7746" xr:uid="{00000000-0005-0000-0000-0000421E0000}"/>
    <cellStyle name="Normale 62" xfId="7747" xr:uid="{00000000-0005-0000-0000-0000431E0000}"/>
    <cellStyle name="Normale 62 2" xfId="7748" xr:uid="{00000000-0005-0000-0000-0000441E0000}"/>
    <cellStyle name="Normale 62 2 2" xfId="7749" xr:uid="{00000000-0005-0000-0000-0000451E0000}"/>
    <cellStyle name="Normale 62 3" xfId="7750" xr:uid="{00000000-0005-0000-0000-0000461E0000}"/>
    <cellStyle name="Normale 63" xfId="7751" xr:uid="{00000000-0005-0000-0000-0000471E0000}"/>
    <cellStyle name="Normale 63 2" xfId="7752" xr:uid="{00000000-0005-0000-0000-0000481E0000}"/>
    <cellStyle name="Normale 63 2 2" xfId="7753" xr:uid="{00000000-0005-0000-0000-0000491E0000}"/>
    <cellStyle name="Normale 63 3" xfId="7754" xr:uid="{00000000-0005-0000-0000-00004A1E0000}"/>
    <cellStyle name="Normale 64" xfId="7755" xr:uid="{00000000-0005-0000-0000-00004B1E0000}"/>
    <cellStyle name="Normale 64 2" xfId="7756" xr:uid="{00000000-0005-0000-0000-00004C1E0000}"/>
    <cellStyle name="Normale 64 2 2" xfId="7757" xr:uid="{00000000-0005-0000-0000-00004D1E0000}"/>
    <cellStyle name="Normale 64 3" xfId="7758" xr:uid="{00000000-0005-0000-0000-00004E1E0000}"/>
    <cellStyle name="Normale 65" xfId="7759" xr:uid="{00000000-0005-0000-0000-00004F1E0000}"/>
    <cellStyle name="Normale 65 2" xfId="7760" xr:uid="{00000000-0005-0000-0000-0000501E0000}"/>
    <cellStyle name="Normale 65 2 2" xfId="7761" xr:uid="{00000000-0005-0000-0000-0000511E0000}"/>
    <cellStyle name="Normale 65 3" xfId="7762" xr:uid="{00000000-0005-0000-0000-0000521E0000}"/>
    <cellStyle name="Normale 7" xfId="7763" xr:uid="{00000000-0005-0000-0000-0000531E0000}"/>
    <cellStyle name="Normale 7 2" xfId="7764" xr:uid="{00000000-0005-0000-0000-0000541E0000}"/>
    <cellStyle name="Normale 7 2 2" xfId="7765" xr:uid="{00000000-0005-0000-0000-0000551E0000}"/>
    <cellStyle name="Normale 7 2 2 2" xfId="7766" xr:uid="{00000000-0005-0000-0000-0000561E0000}"/>
    <cellStyle name="Normale 7 2 3" xfId="7767" xr:uid="{00000000-0005-0000-0000-0000571E0000}"/>
    <cellStyle name="Normale 7 3" xfId="7768" xr:uid="{00000000-0005-0000-0000-0000581E0000}"/>
    <cellStyle name="Normale 7 3 2" xfId="7769" xr:uid="{00000000-0005-0000-0000-0000591E0000}"/>
    <cellStyle name="Normale 7 3 2 2" xfId="7770" xr:uid="{00000000-0005-0000-0000-00005A1E0000}"/>
    <cellStyle name="Normale 7 3 3" xfId="7771" xr:uid="{00000000-0005-0000-0000-00005B1E0000}"/>
    <cellStyle name="Normale 7 4" xfId="7772" xr:uid="{00000000-0005-0000-0000-00005C1E0000}"/>
    <cellStyle name="Normale 7 4 2" xfId="7773" xr:uid="{00000000-0005-0000-0000-00005D1E0000}"/>
    <cellStyle name="Normale 7 5" xfId="7774" xr:uid="{00000000-0005-0000-0000-00005E1E0000}"/>
    <cellStyle name="Normale 7_EDEN industria 2008 rev" xfId="7775" xr:uid="{00000000-0005-0000-0000-00005F1E0000}"/>
    <cellStyle name="Normale 8" xfId="7776" xr:uid="{00000000-0005-0000-0000-0000601E0000}"/>
    <cellStyle name="Normale 8 2" xfId="7777" xr:uid="{00000000-0005-0000-0000-0000611E0000}"/>
    <cellStyle name="Normale 8 2 2" xfId="7778" xr:uid="{00000000-0005-0000-0000-0000621E0000}"/>
    <cellStyle name="Normale 8 2 2 2" xfId="7779" xr:uid="{00000000-0005-0000-0000-0000631E0000}"/>
    <cellStyle name="Normale 8 2 3" xfId="7780" xr:uid="{00000000-0005-0000-0000-0000641E0000}"/>
    <cellStyle name="Normale 8 3" xfId="7781" xr:uid="{00000000-0005-0000-0000-0000651E0000}"/>
    <cellStyle name="Normale 8 3 2" xfId="7782" xr:uid="{00000000-0005-0000-0000-0000661E0000}"/>
    <cellStyle name="Normale 8 3 2 2" xfId="7783" xr:uid="{00000000-0005-0000-0000-0000671E0000}"/>
    <cellStyle name="Normale 8 3 3" xfId="7784" xr:uid="{00000000-0005-0000-0000-0000681E0000}"/>
    <cellStyle name="Normale 8 4" xfId="7785" xr:uid="{00000000-0005-0000-0000-0000691E0000}"/>
    <cellStyle name="Normale 8 4 2" xfId="7786" xr:uid="{00000000-0005-0000-0000-00006A1E0000}"/>
    <cellStyle name="Normale 8 5" xfId="7787" xr:uid="{00000000-0005-0000-0000-00006B1E0000}"/>
    <cellStyle name="Normale 8_EDEN industria 2008 rev" xfId="7788" xr:uid="{00000000-0005-0000-0000-00006C1E0000}"/>
    <cellStyle name="Normale 9" xfId="7789" xr:uid="{00000000-0005-0000-0000-00006D1E0000}"/>
    <cellStyle name="Normale 9 2" xfId="7790" xr:uid="{00000000-0005-0000-0000-00006E1E0000}"/>
    <cellStyle name="Normale 9 2 2" xfId="7791" xr:uid="{00000000-0005-0000-0000-00006F1E0000}"/>
    <cellStyle name="Normale 9 2 2 2" xfId="7792" xr:uid="{00000000-0005-0000-0000-0000701E0000}"/>
    <cellStyle name="Normale 9 2 3" xfId="7793" xr:uid="{00000000-0005-0000-0000-0000711E0000}"/>
    <cellStyle name="Normale 9 3" xfId="7794" xr:uid="{00000000-0005-0000-0000-0000721E0000}"/>
    <cellStyle name="Normale 9 3 2" xfId="7795" xr:uid="{00000000-0005-0000-0000-0000731E0000}"/>
    <cellStyle name="Normale 9 3 2 2" xfId="7796" xr:uid="{00000000-0005-0000-0000-0000741E0000}"/>
    <cellStyle name="Normale 9 3 3" xfId="7797" xr:uid="{00000000-0005-0000-0000-0000751E0000}"/>
    <cellStyle name="Normale 9 4" xfId="7798" xr:uid="{00000000-0005-0000-0000-0000761E0000}"/>
    <cellStyle name="Normale 9 4 2" xfId="7799" xr:uid="{00000000-0005-0000-0000-0000771E0000}"/>
    <cellStyle name="Normale 9 5" xfId="7800" xr:uid="{00000000-0005-0000-0000-0000781E0000}"/>
    <cellStyle name="Normale 9_EDEN industria 2008 rev" xfId="7801" xr:uid="{00000000-0005-0000-0000-0000791E0000}"/>
    <cellStyle name="Normale_B2020" xfId="7802" xr:uid="{00000000-0005-0000-0000-00007A1E0000}"/>
    <cellStyle name="Nota" xfId="7803" xr:uid="{00000000-0005-0000-0000-00007B1E0000}"/>
    <cellStyle name="Nota 10" xfId="7804" xr:uid="{00000000-0005-0000-0000-00007C1E0000}"/>
    <cellStyle name="Nota 2" xfId="7805" xr:uid="{00000000-0005-0000-0000-00007D1E0000}"/>
    <cellStyle name="Nota 2 2" xfId="7806" xr:uid="{00000000-0005-0000-0000-00007E1E0000}"/>
    <cellStyle name="Nota 2 2 2" xfId="7807" xr:uid="{00000000-0005-0000-0000-00007F1E0000}"/>
    <cellStyle name="Nota 2 3" xfId="7808" xr:uid="{00000000-0005-0000-0000-0000801E0000}"/>
    <cellStyle name="Nota 2 4" xfId="7809" xr:uid="{00000000-0005-0000-0000-0000811E0000}"/>
    <cellStyle name="Nota 2 5" xfId="7810" xr:uid="{00000000-0005-0000-0000-0000821E0000}"/>
    <cellStyle name="Nota 2 6" xfId="7811" xr:uid="{00000000-0005-0000-0000-0000831E0000}"/>
    <cellStyle name="Nota 3" xfId="7812" xr:uid="{00000000-0005-0000-0000-0000841E0000}"/>
    <cellStyle name="Nota 3 2" xfId="7813" xr:uid="{00000000-0005-0000-0000-0000851E0000}"/>
    <cellStyle name="Nota 3 2 2" xfId="7814" xr:uid="{00000000-0005-0000-0000-0000861E0000}"/>
    <cellStyle name="Nota 3 2 2 2" xfId="7815" xr:uid="{00000000-0005-0000-0000-0000871E0000}"/>
    <cellStyle name="Nota 3 2 3" xfId="7816" xr:uid="{00000000-0005-0000-0000-0000881E0000}"/>
    <cellStyle name="Nota 3 2 3 2" xfId="7817" xr:uid="{00000000-0005-0000-0000-0000891E0000}"/>
    <cellStyle name="Nota 3 2 4" xfId="7818" xr:uid="{00000000-0005-0000-0000-00008A1E0000}"/>
    <cellStyle name="Nota 3 2 5" xfId="7819" xr:uid="{00000000-0005-0000-0000-00008B1E0000}"/>
    <cellStyle name="Nota 3 2 6" xfId="7820" xr:uid="{00000000-0005-0000-0000-00008C1E0000}"/>
    <cellStyle name="Nota 3 3" xfId="7821" xr:uid="{00000000-0005-0000-0000-00008D1E0000}"/>
    <cellStyle name="Nota 3 3 2" xfId="7822" xr:uid="{00000000-0005-0000-0000-00008E1E0000}"/>
    <cellStyle name="Nota 3 4" xfId="7823" xr:uid="{00000000-0005-0000-0000-00008F1E0000}"/>
    <cellStyle name="Nota 3 4 2" xfId="7824" xr:uid="{00000000-0005-0000-0000-0000901E0000}"/>
    <cellStyle name="Nota 3 5" xfId="7825" xr:uid="{00000000-0005-0000-0000-0000911E0000}"/>
    <cellStyle name="Nota 3 6" xfId="7826" xr:uid="{00000000-0005-0000-0000-0000921E0000}"/>
    <cellStyle name="Nota 3 7" xfId="7827" xr:uid="{00000000-0005-0000-0000-0000931E0000}"/>
    <cellStyle name="Nota 4" xfId="7828" xr:uid="{00000000-0005-0000-0000-0000941E0000}"/>
    <cellStyle name="Nota 4 2" xfId="7829" xr:uid="{00000000-0005-0000-0000-0000951E0000}"/>
    <cellStyle name="Nota 4 2 2" xfId="7830" xr:uid="{00000000-0005-0000-0000-0000961E0000}"/>
    <cellStyle name="Nota 4 3" xfId="7831" xr:uid="{00000000-0005-0000-0000-0000971E0000}"/>
    <cellStyle name="Nota 4 4" xfId="7832" xr:uid="{00000000-0005-0000-0000-0000981E0000}"/>
    <cellStyle name="Nota 4 5" xfId="7833" xr:uid="{00000000-0005-0000-0000-0000991E0000}"/>
    <cellStyle name="Nota 4 6" xfId="7834" xr:uid="{00000000-0005-0000-0000-00009A1E0000}"/>
    <cellStyle name="Nota 5" xfId="7835" xr:uid="{00000000-0005-0000-0000-00009B1E0000}"/>
    <cellStyle name="Nota 5 2" xfId="7836" xr:uid="{00000000-0005-0000-0000-00009C1E0000}"/>
    <cellStyle name="Nota 5 3" xfId="7837" xr:uid="{00000000-0005-0000-0000-00009D1E0000}"/>
    <cellStyle name="Nota 5 4" xfId="7838" xr:uid="{00000000-0005-0000-0000-00009E1E0000}"/>
    <cellStyle name="Nota 5 5" xfId="7839" xr:uid="{00000000-0005-0000-0000-00009F1E0000}"/>
    <cellStyle name="Nota 5 6" xfId="7840" xr:uid="{00000000-0005-0000-0000-0000A01E0000}"/>
    <cellStyle name="Nota 6" xfId="7841" xr:uid="{00000000-0005-0000-0000-0000A11E0000}"/>
    <cellStyle name="Nota 6 2" xfId="7842" xr:uid="{00000000-0005-0000-0000-0000A21E0000}"/>
    <cellStyle name="Nota 7" xfId="7843" xr:uid="{00000000-0005-0000-0000-0000A31E0000}"/>
    <cellStyle name="Nota 8" xfId="7844" xr:uid="{00000000-0005-0000-0000-0000A41E0000}"/>
    <cellStyle name="Nota 9" xfId="7845" xr:uid="{00000000-0005-0000-0000-0000A51E0000}"/>
    <cellStyle name="Note 2" xfId="7846" xr:uid="{00000000-0005-0000-0000-0000A61E0000}"/>
    <cellStyle name="Note 2 2" xfId="7847" xr:uid="{00000000-0005-0000-0000-0000A71E0000}"/>
    <cellStyle name="Note 2 2 2" xfId="7848" xr:uid="{00000000-0005-0000-0000-0000A81E0000}"/>
    <cellStyle name="Note 2 3" xfId="7849" xr:uid="{00000000-0005-0000-0000-0000A91E0000}"/>
    <cellStyle name="Nuovo" xfId="7850" xr:uid="{00000000-0005-0000-0000-0000AA1E0000}"/>
    <cellStyle name="Nuovo 10" xfId="7851" xr:uid="{00000000-0005-0000-0000-0000AB1E0000}"/>
    <cellStyle name="Nuovo 10 2" xfId="7852" xr:uid="{00000000-0005-0000-0000-0000AC1E0000}"/>
    <cellStyle name="Nuovo 10 2 2" xfId="7853" xr:uid="{00000000-0005-0000-0000-0000AD1E0000}"/>
    <cellStyle name="Nuovo 10 2 2 2" xfId="7854" xr:uid="{00000000-0005-0000-0000-0000AE1E0000}"/>
    <cellStyle name="Nuovo 10 2 3" xfId="7855" xr:uid="{00000000-0005-0000-0000-0000AF1E0000}"/>
    <cellStyle name="Nuovo 10 3" xfId="7856" xr:uid="{00000000-0005-0000-0000-0000B01E0000}"/>
    <cellStyle name="Nuovo 10 3 2" xfId="7857" xr:uid="{00000000-0005-0000-0000-0000B11E0000}"/>
    <cellStyle name="Nuovo 10 3 2 2" xfId="7858" xr:uid="{00000000-0005-0000-0000-0000B21E0000}"/>
    <cellStyle name="Nuovo 10 3 2 3" xfId="7859" xr:uid="{00000000-0005-0000-0000-0000B31E0000}"/>
    <cellStyle name="Nuovo 10 3 2 3 2" xfId="7860" xr:uid="{00000000-0005-0000-0000-0000B41E0000}"/>
    <cellStyle name="Nuovo 10 3 3" xfId="7861" xr:uid="{00000000-0005-0000-0000-0000B51E0000}"/>
    <cellStyle name="Nuovo 10 3 3 2" xfId="7862" xr:uid="{00000000-0005-0000-0000-0000B61E0000}"/>
    <cellStyle name="Nuovo 10 3 4" xfId="7863" xr:uid="{00000000-0005-0000-0000-0000B71E0000}"/>
    <cellStyle name="Nuovo 10 3 4 2" xfId="7864" xr:uid="{00000000-0005-0000-0000-0000B81E0000}"/>
    <cellStyle name="Nuovo 10 3 5" xfId="7865" xr:uid="{00000000-0005-0000-0000-0000B91E0000}"/>
    <cellStyle name="Nuovo 10 4" xfId="7866" xr:uid="{00000000-0005-0000-0000-0000BA1E0000}"/>
    <cellStyle name="Nuovo 10 4 2" xfId="7867" xr:uid="{00000000-0005-0000-0000-0000BB1E0000}"/>
    <cellStyle name="Nuovo 10 4 2 2" xfId="7868" xr:uid="{00000000-0005-0000-0000-0000BC1E0000}"/>
    <cellStyle name="Nuovo 10 4 3" xfId="7869" xr:uid="{00000000-0005-0000-0000-0000BD1E0000}"/>
    <cellStyle name="Nuovo 10 5" xfId="7870" xr:uid="{00000000-0005-0000-0000-0000BE1E0000}"/>
    <cellStyle name="Nuovo 10 6" xfId="7871" xr:uid="{00000000-0005-0000-0000-0000BF1E0000}"/>
    <cellStyle name="Nuovo 10 6 2" xfId="7872" xr:uid="{00000000-0005-0000-0000-0000C01E0000}"/>
    <cellStyle name="Nuovo 11" xfId="7873" xr:uid="{00000000-0005-0000-0000-0000C11E0000}"/>
    <cellStyle name="Nuovo 11 2" xfId="7874" xr:uid="{00000000-0005-0000-0000-0000C21E0000}"/>
    <cellStyle name="Nuovo 11 2 2" xfId="7875" xr:uid="{00000000-0005-0000-0000-0000C31E0000}"/>
    <cellStyle name="Nuovo 11 2 2 2" xfId="7876" xr:uid="{00000000-0005-0000-0000-0000C41E0000}"/>
    <cellStyle name="Nuovo 11 2 3" xfId="7877" xr:uid="{00000000-0005-0000-0000-0000C51E0000}"/>
    <cellStyle name="Nuovo 11 3" xfId="7878" xr:uid="{00000000-0005-0000-0000-0000C61E0000}"/>
    <cellStyle name="Nuovo 11 3 2" xfId="7879" xr:uid="{00000000-0005-0000-0000-0000C71E0000}"/>
    <cellStyle name="Nuovo 11 3 2 2" xfId="7880" xr:uid="{00000000-0005-0000-0000-0000C81E0000}"/>
    <cellStyle name="Nuovo 11 3 2 3" xfId="7881" xr:uid="{00000000-0005-0000-0000-0000C91E0000}"/>
    <cellStyle name="Nuovo 11 3 2 3 2" xfId="7882" xr:uid="{00000000-0005-0000-0000-0000CA1E0000}"/>
    <cellStyle name="Nuovo 11 3 3" xfId="7883" xr:uid="{00000000-0005-0000-0000-0000CB1E0000}"/>
    <cellStyle name="Nuovo 11 3 3 2" xfId="7884" xr:uid="{00000000-0005-0000-0000-0000CC1E0000}"/>
    <cellStyle name="Nuovo 11 3 4" xfId="7885" xr:uid="{00000000-0005-0000-0000-0000CD1E0000}"/>
    <cellStyle name="Nuovo 11 3 4 2" xfId="7886" xr:uid="{00000000-0005-0000-0000-0000CE1E0000}"/>
    <cellStyle name="Nuovo 11 3 5" xfId="7887" xr:uid="{00000000-0005-0000-0000-0000CF1E0000}"/>
    <cellStyle name="Nuovo 11 4" xfId="7888" xr:uid="{00000000-0005-0000-0000-0000D01E0000}"/>
    <cellStyle name="Nuovo 11 4 2" xfId="7889" xr:uid="{00000000-0005-0000-0000-0000D11E0000}"/>
    <cellStyle name="Nuovo 11 4 2 2" xfId="7890" xr:uid="{00000000-0005-0000-0000-0000D21E0000}"/>
    <cellStyle name="Nuovo 11 4 3" xfId="7891" xr:uid="{00000000-0005-0000-0000-0000D31E0000}"/>
    <cellStyle name="Nuovo 11 5" xfId="7892" xr:uid="{00000000-0005-0000-0000-0000D41E0000}"/>
    <cellStyle name="Nuovo 11 6" xfId="7893" xr:uid="{00000000-0005-0000-0000-0000D51E0000}"/>
    <cellStyle name="Nuovo 11 6 2" xfId="7894" xr:uid="{00000000-0005-0000-0000-0000D61E0000}"/>
    <cellStyle name="Nuovo 12" xfId="7895" xr:uid="{00000000-0005-0000-0000-0000D71E0000}"/>
    <cellStyle name="Nuovo 12 2" xfId="7896" xr:uid="{00000000-0005-0000-0000-0000D81E0000}"/>
    <cellStyle name="Nuovo 12 2 2" xfId="7897" xr:uid="{00000000-0005-0000-0000-0000D91E0000}"/>
    <cellStyle name="Nuovo 12 2 2 2" xfId="7898" xr:uid="{00000000-0005-0000-0000-0000DA1E0000}"/>
    <cellStyle name="Nuovo 12 2 3" xfId="7899" xr:uid="{00000000-0005-0000-0000-0000DB1E0000}"/>
    <cellStyle name="Nuovo 12 3" xfId="7900" xr:uid="{00000000-0005-0000-0000-0000DC1E0000}"/>
    <cellStyle name="Nuovo 12 3 2" xfId="7901" xr:uid="{00000000-0005-0000-0000-0000DD1E0000}"/>
    <cellStyle name="Nuovo 12 3 2 2" xfId="7902" xr:uid="{00000000-0005-0000-0000-0000DE1E0000}"/>
    <cellStyle name="Nuovo 12 3 2 3" xfId="7903" xr:uid="{00000000-0005-0000-0000-0000DF1E0000}"/>
    <cellStyle name="Nuovo 12 3 2 3 2" xfId="7904" xr:uid="{00000000-0005-0000-0000-0000E01E0000}"/>
    <cellStyle name="Nuovo 12 3 3" xfId="7905" xr:uid="{00000000-0005-0000-0000-0000E11E0000}"/>
    <cellStyle name="Nuovo 12 3 3 2" xfId="7906" xr:uid="{00000000-0005-0000-0000-0000E21E0000}"/>
    <cellStyle name="Nuovo 12 3 4" xfId="7907" xr:uid="{00000000-0005-0000-0000-0000E31E0000}"/>
    <cellStyle name="Nuovo 12 3 4 2" xfId="7908" xr:uid="{00000000-0005-0000-0000-0000E41E0000}"/>
    <cellStyle name="Nuovo 12 3 5" xfId="7909" xr:uid="{00000000-0005-0000-0000-0000E51E0000}"/>
    <cellStyle name="Nuovo 12 4" xfId="7910" xr:uid="{00000000-0005-0000-0000-0000E61E0000}"/>
    <cellStyle name="Nuovo 12 4 2" xfId="7911" xr:uid="{00000000-0005-0000-0000-0000E71E0000}"/>
    <cellStyle name="Nuovo 12 4 2 2" xfId="7912" xr:uid="{00000000-0005-0000-0000-0000E81E0000}"/>
    <cellStyle name="Nuovo 12 4 3" xfId="7913" xr:uid="{00000000-0005-0000-0000-0000E91E0000}"/>
    <cellStyle name="Nuovo 12 5" xfId="7914" xr:uid="{00000000-0005-0000-0000-0000EA1E0000}"/>
    <cellStyle name="Nuovo 12 6" xfId="7915" xr:uid="{00000000-0005-0000-0000-0000EB1E0000}"/>
    <cellStyle name="Nuovo 12 6 2" xfId="7916" xr:uid="{00000000-0005-0000-0000-0000EC1E0000}"/>
    <cellStyle name="Nuovo 13" xfId="7917" xr:uid="{00000000-0005-0000-0000-0000ED1E0000}"/>
    <cellStyle name="Nuovo 13 2" xfId="7918" xr:uid="{00000000-0005-0000-0000-0000EE1E0000}"/>
    <cellStyle name="Nuovo 13 2 2" xfId="7919" xr:uid="{00000000-0005-0000-0000-0000EF1E0000}"/>
    <cellStyle name="Nuovo 13 2 2 2" xfId="7920" xr:uid="{00000000-0005-0000-0000-0000F01E0000}"/>
    <cellStyle name="Nuovo 13 2 3" xfId="7921" xr:uid="{00000000-0005-0000-0000-0000F11E0000}"/>
    <cellStyle name="Nuovo 13 3" xfId="7922" xr:uid="{00000000-0005-0000-0000-0000F21E0000}"/>
    <cellStyle name="Nuovo 13 3 2" xfId="7923" xr:uid="{00000000-0005-0000-0000-0000F31E0000}"/>
    <cellStyle name="Nuovo 13 3 2 2" xfId="7924" xr:uid="{00000000-0005-0000-0000-0000F41E0000}"/>
    <cellStyle name="Nuovo 13 3 2 3" xfId="7925" xr:uid="{00000000-0005-0000-0000-0000F51E0000}"/>
    <cellStyle name="Nuovo 13 3 2 3 2" xfId="7926" xr:uid="{00000000-0005-0000-0000-0000F61E0000}"/>
    <cellStyle name="Nuovo 13 3 3" xfId="7927" xr:uid="{00000000-0005-0000-0000-0000F71E0000}"/>
    <cellStyle name="Nuovo 13 3 3 2" xfId="7928" xr:uid="{00000000-0005-0000-0000-0000F81E0000}"/>
    <cellStyle name="Nuovo 13 3 4" xfId="7929" xr:uid="{00000000-0005-0000-0000-0000F91E0000}"/>
    <cellStyle name="Nuovo 13 3 4 2" xfId="7930" xr:uid="{00000000-0005-0000-0000-0000FA1E0000}"/>
    <cellStyle name="Nuovo 13 3 5" xfId="7931" xr:uid="{00000000-0005-0000-0000-0000FB1E0000}"/>
    <cellStyle name="Nuovo 13 4" xfId="7932" xr:uid="{00000000-0005-0000-0000-0000FC1E0000}"/>
    <cellStyle name="Nuovo 13 4 2" xfId="7933" xr:uid="{00000000-0005-0000-0000-0000FD1E0000}"/>
    <cellStyle name="Nuovo 13 4 2 2" xfId="7934" xr:uid="{00000000-0005-0000-0000-0000FE1E0000}"/>
    <cellStyle name="Nuovo 13 4 3" xfId="7935" xr:uid="{00000000-0005-0000-0000-0000FF1E0000}"/>
    <cellStyle name="Nuovo 13 5" xfId="7936" xr:uid="{00000000-0005-0000-0000-0000001F0000}"/>
    <cellStyle name="Nuovo 13 6" xfId="7937" xr:uid="{00000000-0005-0000-0000-0000011F0000}"/>
    <cellStyle name="Nuovo 13 6 2" xfId="7938" xr:uid="{00000000-0005-0000-0000-0000021F0000}"/>
    <cellStyle name="Nuovo 14" xfId="7939" xr:uid="{00000000-0005-0000-0000-0000031F0000}"/>
    <cellStyle name="Nuovo 14 2" xfId="7940" xr:uid="{00000000-0005-0000-0000-0000041F0000}"/>
    <cellStyle name="Nuovo 14 2 2" xfId="7941" xr:uid="{00000000-0005-0000-0000-0000051F0000}"/>
    <cellStyle name="Nuovo 14 2 2 2" xfId="7942" xr:uid="{00000000-0005-0000-0000-0000061F0000}"/>
    <cellStyle name="Nuovo 14 2 3" xfId="7943" xr:uid="{00000000-0005-0000-0000-0000071F0000}"/>
    <cellStyle name="Nuovo 14 3" xfId="7944" xr:uid="{00000000-0005-0000-0000-0000081F0000}"/>
    <cellStyle name="Nuovo 14 3 2" xfId="7945" xr:uid="{00000000-0005-0000-0000-0000091F0000}"/>
    <cellStyle name="Nuovo 14 3 2 2" xfId="7946" xr:uid="{00000000-0005-0000-0000-00000A1F0000}"/>
    <cellStyle name="Nuovo 14 3 2 3" xfId="7947" xr:uid="{00000000-0005-0000-0000-00000B1F0000}"/>
    <cellStyle name="Nuovo 14 3 2 3 2" xfId="7948" xr:uid="{00000000-0005-0000-0000-00000C1F0000}"/>
    <cellStyle name="Nuovo 14 3 3" xfId="7949" xr:uid="{00000000-0005-0000-0000-00000D1F0000}"/>
    <cellStyle name="Nuovo 14 3 3 2" xfId="7950" xr:uid="{00000000-0005-0000-0000-00000E1F0000}"/>
    <cellStyle name="Nuovo 14 3 4" xfId="7951" xr:uid="{00000000-0005-0000-0000-00000F1F0000}"/>
    <cellStyle name="Nuovo 14 3 4 2" xfId="7952" xr:uid="{00000000-0005-0000-0000-0000101F0000}"/>
    <cellStyle name="Nuovo 14 3 5" xfId="7953" xr:uid="{00000000-0005-0000-0000-0000111F0000}"/>
    <cellStyle name="Nuovo 14 4" xfId="7954" xr:uid="{00000000-0005-0000-0000-0000121F0000}"/>
    <cellStyle name="Nuovo 14 4 2" xfId="7955" xr:uid="{00000000-0005-0000-0000-0000131F0000}"/>
    <cellStyle name="Nuovo 14 4 2 2" xfId="7956" xr:uid="{00000000-0005-0000-0000-0000141F0000}"/>
    <cellStyle name="Nuovo 14 4 3" xfId="7957" xr:uid="{00000000-0005-0000-0000-0000151F0000}"/>
    <cellStyle name="Nuovo 14 5" xfId="7958" xr:uid="{00000000-0005-0000-0000-0000161F0000}"/>
    <cellStyle name="Nuovo 14 6" xfId="7959" xr:uid="{00000000-0005-0000-0000-0000171F0000}"/>
    <cellStyle name="Nuovo 14 6 2" xfId="7960" xr:uid="{00000000-0005-0000-0000-0000181F0000}"/>
    <cellStyle name="Nuovo 15" xfId="7961" xr:uid="{00000000-0005-0000-0000-0000191F0000}"/>
    <cellStyle name="Nuovo 15 2" xfId="7962" xr:uid="{00000000-0005-0000-0000-00001A1F0000}"/>
    <cellStyle name="Nuovo 15 2 2" xfId="7963" xr:uid="{00000000-0005-0000-0000-00001B1F0000}"/>
    <cellStyle name="Nuovo 15 2 2 2" xfId="7964" xr:uid="{00000000-0005-0000-0000-00001C1F0000}"/>
    <cellStyle name="Nuovo 15 2 3" xfId="7965" xr:uid="{00000000-0005-0000-0000-00001D1F0000}"/>
    <cellStyle name="Nuovo 15 3" xfId="7966" xr:uid="{00000000-0005-0000-0000-00001E1F0000}"/>
    <cellStyle name="Nuovo 15 3 2" xfId="7967" xr:uid="{00000000-0005-0000-0000-00001F1F0000}"/>
    <cellStyle name="Nuovo 15 3 2 2" xfId="7968" xr:uid="{00000000-0005-0000-0000-0000201F0000}"/>
    <cellStyle name="Nuovo 15 3 2 3" xfId="7969" xr:uid="{00000000-0005-0000-0000-0000211F0000}"/>
    <cellStyle name="Nuovo 15 3 2 3 2" xfId="7970" xr:uid="{00000000-0005-0000-0000-0000221F0000}"/>
    <cellStyle name="Nuovo 15 3 3" xfId="7971" xr:uid="{00000000-0005-0000-0000-0000231F0000}"/>
    <cellStyle name="Nuovo 15 3 3 2" xfId="7972" xr:uid="{00000000-0005-0000-0000-0000241F0000}"/>
    <cellStyle name="Nuovo 15 3 4" xfId="7973" xr:uid="{00000000-0005-0000-0000-0000251F0000}"/>
    <cellStyle name="Nuovo 15 3 4 2" xfId="7974" xr:uid="{00000000-0005-0000-0000-0000261F0000}"/>
    <cellStyle name="Nuovo 15 3 5" xfId="7975" xr:uid="{00000000-0005-0000-0000-0000271F0000}"/>
    <cellStyle name="Nuovo 15 4" xfId="7976" xr:uid="{00000000-0005-0000-0000-0000281F0000}"/>
    <cellStyle name="Nuovo 15 4 2" xfId="7977" xr:uid="{00000000-0005-0000-0000-0000291F0000}"/>
    <cellStyle name="Nuovo 15 4 2 2" xfId="7978" xr:uid="{00000000-0005-0000-0000-00002A1F0000}"/>
    <cellStyle name="Nuovo 15 4 3" xfId="7979" xr:uid="{00000000-0005-0000-0000-00002B1F0000}"/>
    <cellStyle name="Nuovo 15 5" xfId="7980" xr:uid="{00000000-0005-0000-0000-00002C1F0000}"/>
    <cellStyle name="Nuovo 15 6" xfId="7981" xr:uid="{00000000-0005-0000-0000-00002D1F0000}"/>
    <cellStyle name="Nuovo 15 6 2" xfId="7982" xr:uid="{00000000-0005-0000-0000-00002E1F0000}"/>
    <cellStyle name="Nuovo 16" xfId="7983" xr:uid="{00000000-0005-0000-0000-00002F1F0000}"/>
    <cellStyle name="Nuovo 16 2" xfId="7984" xr:uid="{00000000-0005-0000-0000-0000301F0000}"/>
    <cellStyle name="Nuovo 16 2 2" xfId="7985" xr:uid="{00000000-0005-0000-0000-0000311F0000}"/>
    <cellStyle name="Nuovo 16 2 2 2" xfId="7986" xr:uid="{00000000-0005-0000-0000-0000321F0000}"/>
    <cellStyle name="Nuovo 16 2 3" xfId="7987" xr:uid="{00000000-0005-0000-0000-0000331F0000}"/>
    <cellStyle name="Nuovo 16 3" xfId="7988" xr:uid="{00000000-0005-0000-0000-0000341F0000}"/>
    <cellStyle name="Nuovo 16 3 2" xfId="7989" xr:uid="{00000000-0005-0000-0000-0000351F0000}"/>
    <cellStyle name="Nuovo 16 3 2 2" xfId="7990" xr:uid="{00000000-0005-0000-0000-0000361F0000}"/>
    <cellStyle name="Nuovo 16 3 2 3" xfId="7991" xr:uid="{00000000-0005-0000-0000-0000371F0000}"/>
    <cellStyle name="Nuovo 16 3 2 3 2" xfId="7992" xr:uid="{00000000-0005-0000-0000-0000381F0000}"/>
    <cellStyle name="Nuovo 16 3 3" xfId="7993" xr:uid="{00000000-0005-0000-0000-0000391F0000}"/>
    <cellStyle name="Nuovo 16 3 3 2" xfId="7994" xr:uid="{00000000-0005-0000-0000-00003A1F0000}"/>
    <cellStyle name="Nuovo 16 3 4" xfId="7995" xr:uid="{00000000-0005-0000-0000-00003B1F0000}"/>
    <cellStyle name="Nuovo 16 3 4 2" xfId="7996" xr:uid="{00000000-0005-0000-0000-00003C1F0000}"/>
    <cellStyle name="Nuovo 16 3 5" xfId="7997" xr:uid="{00000000-0005-0000-0000-00003D1F0000}"/>
    <cellStyle name="Nuovo 16 4" xfId="7998" xr:uid="{00000000-0005-0000-0000-00003E1F0000}"/>
    <cellStyle name="Nuovo 16 4 2" xfId="7999" xr:uid="{00000000-0005-0000-0000-00003F1F0000}"/>
    <cellStyle name="Nuovo 16 4 2 2" xfId="8000" xr:uid="{00000000-0005-0000-0000-0000401F0000}"/>
    <cellStyle name="Nuovo 16 4 3" xfId="8001" xr:uid="{00000000-0005-0000-0000-0000411F0000}"/>
    <cellStyle name="Nuovo 16 5" xfId="8002" xr:uid="{00000000-0005-0000-0000-0000421F0000}"/>
    <cellStyle name="Nuovo 16 6" xfId="8003" xr:uid="{00000000-0005-0000-0000-0000431F0000}"/>
    <cellStyle name="Nuovo 16 6 2" xfId="8004" xr:uid="{00000000-0005-0000-0000-0000441F0000}"/>
    <cellStyle name="Nuovo 17" xfId="8005" xr:uid="{00000000-0005-0000-0000-0000451F0000}"/>
    <cellStyle name="Nuovo 17 2" xfId="8006" xr:uid="{00000000-0005-0000-0000-0000461F0000}"/>
    <cellStyle name="Nuovo 17 2 2" xfId="8007" xr:uid="{00000000-0005-0000-0000-0000471F0000}"/>
    <cellStyle name="Nuovo 17 2 2 2" xfId="8008" xr:uid="{00000000-0005-0000-0000-0000481F0000}"/>
    <cellStyle name="Nuovo 17 2 3" xfId="8009" xr:uid="{00000000-0005-0000-0000-0000491F0000}"/>
    <cellStyle name="Nuovo 17 3" xfId="8010" xr:uid="{00000000-0005-0000-0000-00004A1F0000}"/>
    <cellStyle name="Nuovo 17 3 2" xfId="8011" xr:uid="{00000000-0005-0000-0000-00004B1F0000}"/>
    <cellStyle name="Nuovo 17 3 2 2" xfId="8012" xr:uid="{00000000-0005-0000-0000-00004C1F0000}"/>
    <cellStyle name="Nuovo 17 3 2 3" xfId="8013" xr:uid="{00000000-0005-0000-0000-00004D1F0000}"/>
    <cellStyle name="Nuovo 17 3 2 3 2" xfId="8014" xr:uid="{00000000-0005-0000-0000-00004E1F0000}"/>
    <cellStyle name="Nuovo 17 3 3" xfId="8015" xr:uid="{00000000-0005-0000-0000-00004F1F0000}"/>
    <cellStyle name="Nuovo 17 3 3 2" xfId="8016" xr:uid="{00000000-0005-0000-0000-0000501F0000}"/>
    <cellStyle name="Nuovo 17 3 4" xfId="8017" xr:uid="{00000000-0005-0000-0000-0000511F0000}"/>
    <cellStyle name="Nuovo 17 3 4 2" xfId="8018" xr:uid="{00000000-0005-0000-0000-0000521F0000}"/>
    <cellStyle name="Nuovo 17 3 5" xfId="8019" xr:uid="{00000000-0005-0000-0000-0000531F0000}"/>
    <cellStyle name="Nuovo 17 4" xfId="8020" xr:uid="{00000000-0005-0000-0000-0000541F0000}"/>
    <cellStyle name="Nuovo 17 4 2" xfId="8021" xr:uid="{00000000-0005-0000-0000-0000551F0000}"/>
    <cellStyle name="Nuovo 17 4 2 2" xfId="8022" xr:uid="{00000000-0005-0000-0000-0000561F0000}"/>
    <cellStyle name="Nuovo 17 4 3" xfId="8023" xr:uid="{00000000-0005-0000-0000-0000571F0000}"/>
    <cellStyle name="Nuovo 17 5" xfId="8024" xr:uid="{00000000-0005-0000-0000-0000581F0000}"/>
    <cellStyle name="Nuovo 17 6" xfId="8025" xr:uid="{00000000-0005-0000-0000-0000591F0000}"/>
    <cellStyle name="Nuovo 17 6 2" xfId="8026" xr:uid="{00000000-0005-0000-0000-00005A1F0000}"/>
    <cellStyle name="Nuovo 18" xfId="8027" xr:uid="{00000000-0005-0000-0000-00005B1F0000}"/>
    <cellStyle name="Nuovo 18 2" xfId="8028" xr:uid="{00000000-0005-0000-0000-00005C1F0000}"/>
    <cellStyle name="Nuovo 18 2 2" xfId="8029" xr:uid="{00000000-0005-0000-0000-00005D1F0000}"/>
    <cellStyle name="Nuovo 18 2 2 2" xfId="8030" xr:uid="{00000000-0005-0000-0000-00005E1F0000}"/>
    <cellStyle name="Nuovo 18 2 3" xfId="8031" xr:uid="{00000000-0005-0000-0000-00005F1F0000}"/>
    <cellStyle name="Nuovo 18 3" xfId="8032" xr:uid="{00000000-0005-0000-0000-0000601F0000}"/>
    <cellStyle name="Nuovo 18 3 2" xfId="8033" xr:uid="{00000000-0005-0000-0000-0000611F0000}"/>
    <cellStyle name="Nuovo 18 3 2 2" xfId="8034" xr:uid="{00000000-0005-0000-0000-0000621F0000}"/>
    <cellStyle name="Nuovo 18 3 2 3" xfId="8035" xr:uid="{00000000-0005-0000-0000-0000631F0000}"/>
    <cellStyle name="Nuovo 18 3 2 3 2" xfId="8036" xr:uid="{00000000-0005-0000-0000-0000641F0000}"/>
    <cellStyle name="Nuovo 18 3 3" xfId="8037" xr:uid="{00000000-0005-0000-0000-0000651F0000}"/>
    <cellStyle name="Nuovo 18 3 3 2" xfId="8038" xr:uid="{00000000-0005-0000-0000-0000661F0000}"/>
    <cellStyle name="Nuovo 18 3 4" xfId="8039" xr:uid="{00000000-0005-0000-0000-0000671F0000}"/>
    <cellStyle name="Nuovo 18 3 4 2" xfId="8040" xr:uid="{00000000-0005-0000-0000-0000681F0000}"/>
    <cellStyle name="Nuovo 18 3 5" xfId="8041" xr:uid="{00000000-0005-0000-0000-0000691F0000}"/>
    <cellStyle name="Nuovo 18 4" xfId="8042" xr:uid="{00000000-0005-0000-0000-00006A1F0000}"/>
    <cellStyle name="Nuovo 18 4 2" xfId="8043" xr:uid="{00000000-0005-0000-0000-00006B1F0000}"/>
    <cellStyle name="Nuovo 18 4 2 2" xfId="8044" xr:uid="{00000000-0005-0000-0000-00006C1F0000}"/>
    <cellStyle name="Nuovo 18 4 3" xfId="8045" xr:uid="{00000000-0005-0000-0000-00006D1F0000}"/>
    <cellStyle name="Nuovo 18 5" xfId="8046" xr:uid="{00000000-0005-0000-0000-00006E1F0000}"/>
    <cellStyle name="Nuovo 18 6" xfId="8047" xr:uid="{00000000-0005-0000-0000-00006F1F0000}"/>
    <cellStyle name="Nuovo 18 6 2" xfId="8048" xr:uid="{00000000-0005-0000-0000-0000701F0000}"/>
    <cellStyle name="Nuovo 19" xfId="8049" xr:uid="{00000000-0005-0000-0000-0000711F0000}"/>
    <cellStyle name="Nuovo 19 2" xfId="8050" xr:uid="{00000000-0005-0000-0000-0000721F0000}"/>
    <cellStyle name="Nuovo 19 2 2" xfId="8051" xr:uid="{00000000-0005-0000-0000-0000731F0000}"/>
    <cellStyle name="Nuovo 19 2 2 2" xfId="8052" xr:uid="{00000000-0005-0000-0000-0000741F0000}"/>
    <cellStyle name="Nuovo 19 2 3" xfId="8053" xr:uid="{00000000-0005-0000-0000-0000751F0000}"/>
    <cellStyle name="Nuovo 19 3" xfId="8054" xr:uid="{00000000-0005-0000-0000-0000761F0000}"/>
    <cellStyle name="Nuovo 19 3 2" xfId="8055" xr:uid="{00000000-0005-0000-0000-0000771F0000}"/>
    <cellStyle name="Nuovo 19 3 2 2" xfId="8056" xr:uid="{00000000-0005-0000-0000-0000781F0000}"/>
    <cellStyle name="Nuovo 19 3 2 3" xfId="8057" xr:uid="{00000000-0005-0000-0000-0000791F0000}"/>
    <cellStyle name="Nuovo 19 3 2 3 2" xfId="8058" xr:uid="{00000000-0005-0000-0000-00007A1F0000}"/>
    <cellStyle name="Nuovo 19 3 3" xfId="8059" xr:uid="{00000000-0005-0000-0000-00007B1F0000}"/>
    <cellStyle name="Nuovo 19 3 3 2" xfId="8060" xr:uid="{00000000-0005-0000-0000-00007C1F0000}"/>
    <cellStyle name="Nuovo 19 3 4" xfId="8061" xr:uid="{00000000-0005-0000-0000-00007D1F0000}"/>
    <cellStyle name="Nuovo 19 3 4 2" xfId="8062" xr:uid="{00000000-0005-0000-0000-00007E1F0000}"/>
    <cellStyle name="Nuovo 19 3 5" xfId="8063" xr:uid="{00000000-0005-0000-0000-00007F1F0000}"/>
    <cellStyle name="Nuovo 19 4" xfId="8064" xr:uid="{00000000-0005-0000-0000-0000801F0000}"/>
    <cellStyle name="Nuovo 19 4 2" xfId="8065" xr:uid="{00000000-0005-0000-0000-0000811F0000}"/>
    <cellStyle name="Nuovo 19 4 2 2" xfId="8066" xr:uid="{00000000-0005-0000-0000-0000821F0000}"/>
    <cellStyle name="Nuovo 19 4 3" xfId="8067" xr:uid="{00000000-0005-0000-0000-0000831F0000}"/>
    <cellStyle name="Nuovo 19 5" xfId="8068" xr:uid="{00000000-0005-0000-0000-0000841F0000}"/>
    <cellStyle name="Nuovo 19 6" xfId="8069" xr:uid="{00000000-0005-0000-0000-0000851F0000}"/>
    <cellStyle name="Nuovo 19 6 2" xfId="8070" xr:uid="{00000000-0005-0000-0000-0000861F0000}"/>
    <cellStyle name="Nuovo 2" xfId="8071" xr:uid="{00000000-0005-0000-0000-0000871F0000}"/>
    <cellStyle name="Nuovo 2 2" xfId="8072" xr:uid="{00000000-0005-0000-0000-0000881F0000}"/>
    <cellStyle name="Nuovo 2 2 2" xfId="8073" xr:uid="{00000000-0005-0000-0000-0000891F0000}"/>
    <cellStyle name="Nuovo 2 2 2 2" xfId="8074" xr:uid="{00000000-0005-0000-0000-00008A1F0000}"/>
    <cellStyle name="Nuovo 2 2 3" xfId="8075" xr:uid="{00000000-0005-0000-0000-00008B1F0000}"/>
    <cellStyle name="Nuovo 2 3" xfId="8076" xr:uid="{00000000-0005-0000-0000-00008C1F0000}"/>
    <cellStyle name="Nuovo 2 3 2" xfId="8077" xr:uid="{00000000-0005-0000-0000-00008D1F0000}"/>
    <cellStyle name="Nuovo 2 3 2 2" xfId="8078" xr:uid="{00000000-0005-0000-0000-00008E1F0000}"/>
    <cellStyle name="Nuovo 2 3 2 3" xfId="8079" xr:uid="{00000000-0005-0000-0000-00008F1F0000}"/>
    <cellStyle name="Nuovo 2 3 2 3 2" xfId="8080" xr:uid="{00000000-0005-0000-0000-0000901F0000}"/>
    <cellStyle name="Nuovo 2 3 3" xfId="8081" xr:uid="{00000000-0005-0000-0000-0000911F0000}"/>
    <cellStyle name="Nuovo 2 3 3 2" xfId="8082" xr:uid="{00000000-0005-0000-0000-0000921F0000}"/>
    <cellStyle name="Nuovo 2 3 4" xfId="8083" xr:uid="{00000000-0005-0000-0000-0000931F0000}"/>
    <cellStyle name="Nuovo 2 3 4 2" xfId="8084" xr:uid="{00000000-0005-0000-0000-0000941F0000}"/>
    <cellStyle name="Nuovo 2 3 5" xfId="8085" xr:uid="{00000000-0005-0000-0000-0000951F0000}"/>
    <cellStyle name="Nuovo 2 4" xfId="8086" xr:uid="{00000000-0005-0000-0000-0000961F0000}"/>
    <cellStyle name="Nuovo 2 4 2" xfId="8087" xr:uid="{00000000-0005-0000-0000-0000971F0000}"/>
    <cellStyle name="Nuovo 2 4 2 2" xfId="8088" xr:uid="{00000000-0005-0000-0000-0000981F0000}"/>
    <cellStyle name="Nuovo 2 4 3" xfId="8089" xr:uid="{00000000-0005-0000-0000-0000991F0000}"/>
    <cellStyle name="Nuovo 2 5" xfId="8090" xr:uid="{00000000-0005-0000-0000-00009A1F0000}"/>
    <cellStyle name="Nuovo 2 6" xfId="8091" xr:uid="{00000000-0005-0000-0000-00009B1F0000}"/>
    <cellStyle name="Nuovo 2 6 2" xfId="8092" xr:uid="{00000000-0005-0000-0000-00009C1F0000}"/>
    <cellStyle name="Nuovo 20" xfId="8093" xr:uid="{00000000-0005-0000-0000-00009D1F0000}"/>
    <cellStyle name="Nuovo 20 2" xfId="8094" xr:uid="{00000000-0005-0000-0000-00009E1F0000}"/>
    <cellStyle name="Nuovo 20 2 2" xfId="8095" xr:uid="{00000000-0005-0000-0000-00009F1F0000}"/>
    <cellStyle name="Nuovo 20 2 2 2" xfId="8096" xr:uid="{00000000-0005-0000-0000-0000A01F0000}"/>
    <cellStyle name="Nuovo 20 2 3" xfId="8097" xr:uid="{00000000-0005-0000-0000-0000A11F0000}"/>
    <cellStyle name="Nuovo 20 3" xfId="8098" xr:uid="{00000000-0005-0000-0000-0000A21F0000}"/>
    <cellStyle name="Nuovo 20 3 2" xfId="8099" xr:uid="{00000000-0005-0000-0000-0000A31F0000}"/>
    <cellStyle name="Nuovo 20 3 2 2" xfId="8100" xr:uid="{00000000-0005-0000-0000-0000A41F0000}"/>
    <cellStyle name="Nuovo 20 3 2 3" xfId="8101" xr:uid="{00000000-0005-0000-0000-0000A51F0000}"/>
    <cellStyle name="Nuovo 20 3 2 3 2" xfId="8102" xr:uid="{00000000-0005-0000-0000-0000A61F0000}"/>
    <cellStyle name="Nuovo 20 3 3" xfId="8103" xr:uid="{00000000-0005-0000-0000-0000A71F0000}"/>
    <cellStyle name="Nuovo 20 3 3 2" xfId="8104" xr:uid="{00000000-0005-0000-0000-0000A81F0000}"/>
    <cellStyle name="Nuovo 20 3 4" xfId="8105" xr:uid="{00000000-0005-0000-0000-0000A91F0000}"/>
    <cellStyle name="Nuovo 20 3 4 2" xfId="8106" xr:uid="{00000000-0005-0000-0000-0000AA1F0000}"/>
    <cellStyle name="Nuovo 20 3 5" xfId="8107" xr:uid="{00000000-0005-0000-0000-0000AB1F0000}"/>
    <cellStyle name="Nuovo 20 4" xfId="8108" xr:uid="{00000000-0005-0000-0000-0000AC1F0000}"/>
    <cellStyle name="Nuovo 20 4 2" xfId="8109" xr:uid="{00000000-0005-0000-0000-0000AD1F0000}"/>
    <cellStyle name="Nuovo 20 4 2 2" xfId="8110" xr:uid="{00000000-0005-0000-0000-0000AE1F0000}"/>
    <cellStyle name="Nuovo 20 4 3" xfId="8111" xr:uid="{00000000-0005-0000-0000-0000AF1F0000}"/>
    <cellStyle name="Nuovo 20 5" xfId="8112" xr:uid="{00000000-0005-0000-0000-0000B01F0000}"/>
    <cellStyle name="Nuovo 20 6" xfId="8113" xr:uid="{00000000-0005-0000-0000-0000B11F0000}"/>
    <cellStyle name="Nuovo 20 6 2" xfId="8114" xr:uid="{00000000-0005-0000-0000-0000B21F0000}"/>
    <cellStyle name="Nuovo 21" xfId="8115" xr:uid="{00000000-0005-0000-0000-0000B31F0000}"/>
    <cellStyle name="Nuovo 21 2" xfId="8116" xr:uid="{00000000-0005-0000-0000-0000B41F0000}"/>
    <cellStyle name="Nuovo 21 2 2" xfId="8117" xr:uid="{00000000-0005-0000-0000-0000B51F0000}"/>
    <cellStyle name="Nuovo 21 2 2 2" xfId="8118" xr:uid="{00000000-0005-0000-0000-0000B61F0000}"/>
    <cellStyle name="Nuovo 21 2 3" xfId="8119" xr:uid="{00000000-0005-0000-0000-0000B71F0000}"/>
    <cellStyle name="Nuovo 21 3" xfId="8120" xr:uid="{00000000-0005-0000-0000-0000B81F0000}"/>
    <cellStyle name="Nuovo 21 3 2" xfId="8121" xr:uid="{00000000-0005-0000-0000-0000B91F0000}"/>
    <cellStyle name="Nuovo 21 3 2 2" xfId="8122" xr:uid="{00000000-0005-0000-0000-0000BA1F0000}"/>
    <cellStyle name="Nuovo 21 3 2 3" xfId="8123" xr:uid="{00000000-0005-0000-0000-0000BB1F0000}"/>
    <cellStyle name="Nuovo 21 3 2 3 2" xfId="8124" xr:uid="{00000000-0005-0000-0000-0000BC1F0000}"/>
    <cellStyle name="Nuovo 21 3 3" xfId="8125" xr:uid="{00000000-0005-0000-0000-0000BD1F0000}"/>
    <cellStyle name="Nuovo 21 3 3 2" xfId="8126" xr:uid="{00000000-0005-0000-0000-0000BE1F0000}"/>
    <cellStyle name="Nuovo 21 3 4" xfId="8127" xr:uid="{00000000-0005-0000-0000-0000BF1F0000}"/>
    <cellStyle name="Nuovo 21 3 4 2" xfId="8128" xr:uid="{00000000-0005-0000-0000-0000C01F0000}"/>
    <cellStyle name="Nuovo 21 3 5" xfId="8129" xr:uid="{00000000-0005-0000-0000-0000C11F0000}"/>
    <cellStyle name="Nuovo 21 4" xfId="8130" xr:uid="{00000000-0005-0000-0000-0000C21F0000}"/>
    <cellStyle name="Nuovo 21 4 2" xfId="8131" xr:uid="{00000000-0005-0000-0000-0000C31F0000}"/>
    <cellStyle name="Nuovo 21 4 2 2" xfId="8132" xr:uid="{00000000-0005-0000-0000-0000C41F0000}"/>
    <cellStyle name="Nuovo 21 4 3" xfId="8133" xr:uid="{00000000-0005-0000-0000-0000C51F0000}"/>
    <cellStyle name="Nuovo 21 5" xfId="8134" xr:uid="{00000000-0005-0000-0000-0000C61F0000}"/>
    <cellStyle name="Nuovo 21 6" xfId="8135" xr:uid="{00000000-0005-0000-0000-0000C71F0000}"/>
    <cellStyle name="Nuovo 21 6 2" xfId="8136" xr:uid="{00000000-0005-0000-0000-0000C81F0000}"/>
    <cellStyle name="Nuovo 22" xfId="8137" xr:uid="{00000000-0005-0000-0000-0000C91F0000}"/>
    <cellStyle name="Nuovo 22 2" xfId="8138" xr:uid="{00000000-0005-0000-0000-0000CA1F0000}"/>
    <cellStyle name="Nuovo 22 2 2" xfId="8139" xr:uid="{00000000-0005-0000-0000-0000CB1F0000}"/>
    <cellStyle name="Nuovo 22 2 2 2" xfId="8140" xr:uid="{00000000-0005-0000-0000-0000CC1F0000}"/>
    <cellStyle name="Nuovo 22 2 3" xfId="8141" xr:uid="{00000000-0005-0000-0000-0000CD1F0000}"/>
    <cellStyle name="Nuovo 22 3" xfId="8142" xr:uid="{00000000-0005-0000-0000-0000CE1F0000}"/>
    <cellStyle name="Nuovo 22 3 2" xfId="8143" xr:uid="{00000000-0005-0000-0000-0000CF1F0000}"/>
    <cellStyle name="Nuovo 22 3 2 2" xfId="8144" xr:uid="{00000000-0005-0000-0000-0000D01F0000}"/>
    <cellStyle name="Nuovo 22 3 2 3" xfId="8145" xr:uid="{00000000-0005-0000-0000-0000D11F0000}"/>
    <cellStyle name="Nuovo 22 3 2 3 2" xfId="8146" xr:uid="{00000000-0005-0000-0000-0000D21F0000}"/>
    <cellStyle name="Nuovo 22 3 3" xfId="8147" xr:uid="{00000000-0005-0000-0000-0000D31F0000}"/>
    <cellStyle name="Nuovo 22 3 3 2" xfId="8148" xr:uid="{00000000-0005-0000-0000-0000D41F0000}"/>
    <cellStyle name="Nuovo 22 3 4" xfId="8149" xr:uid="{00000000-0005-0000-0000-0000D51F0000}"/>
    <cellStyle name="Nuovo 22 3 4 2" xfId="8150" xr:uid="{00000000-0005-0000-0000-0000D61F0000}"/>
    <cellStyle name="Nuovo 22 3 5" xfId="8151" xr:uid="{00000000-0005-0000-0000-0000D71F0000}"/>
    <cellStyle name="Nuovo 22 4" xfId="8152" xr:uid="{00000000-0005-0000-0000-0000D81F0000}"/>
    <cellStyle name="Nuovo 22 4 2" xfId="8153" xr:uid="{00000000-0005-0000-0000-0000D91F0000}"/>
    <cellStyle name="Nuovo 22 4 2 2" xfId="8154" xr:uid="{00000000-0005-0000-0000-0000DA1F0000}"/>
    <cellStyle name="Nuovo 22 4 3" xfId="8155" xr:uid="{00000000-0005-0000-0000-0000DB1F0000}"/>
    <cellStyle name="Nuovo 22 5" xfId="8156" xr:uid="{00000000-0005-0000-0000-0000DC1F0000}"/>
    <cellStyle name="Nuovo 22 6" xfId="8157" xr:uid="{00000000-0005-0000-0000-0000DD1F0000}"/>
    <cellStyle name="Nuovo 22 6 2" xfId="8158" xr:uid="{00000000-0005-0000-0000-0000DE1F0000}"/>
    <cellStyle name="Nuovo 23" xfId="8159" xr:uid="{00000000-0005-0000-0000-0000DF1F0000}"/>
    <cellStyle name="Nuovo 23 2" xfId="8160" xr:uid="{00000000-0005-0000-0000-0000E01F0000}"/>
    <cellStyle name="Nuovo 23 2 2" xfId="8161" xr:uid="{00000000-0005-0000-0000-0000E11F0000}"/>
    <cellStyle name="Nuovo 23 2 2 2" xfId="8162" xr:uid="{00000000-0005-0000-0000-0000E21F0000}"/>
    <cellStyle name="Nuovo 23 2 3" xfId="8163" xr:uid="{00000000-0005-0000-0000-0000E31F0000}"/>
    <cellStyle name="Nuovo 23 3" xfId="8164" xr:uid="{00000000-0005-0000-0000-0000E41F0000}"/>
    <cellStyle name="Nuovo 23 3 2" xfId="8165" xr:uid="{00000000-0005-0000-0000-0000E51F0000}"/>
    <cellStyle name="Nuovo 23 3 2 2" xfId="8166" xr:uid="{00000000-0005-0000-0000-0000E61F0000}"/>
    <cellStyle name="Nuovo 23 3 2 3" xfId="8167" xr:uid="{00000000-0005-0000-0000-0000E71F0000}"/>
    <cellStyle name="Nuovo 23 3 2 3 2" xfId="8168" xr:uid="{00000000-0005-0000-0000-0000E81F0000}"/>
    <cellStyle name="Nuovo 23 3 3" xfId="8169" xr:uid="{00000000-0005-0000-0000-0000E91F0000}"/>
    <cellStyle name="Nuovo 23 3 3 2" xfId="8170" xr:uid="{00000000-0005-0000-0000-0000EA1F0000}"/>
    <cellStyle name="Nuovo 23 3 4" xfId="8171" xr:uid="{00000000-0005-0000-0000-0000EB1F0000}"/>
    <cellStyle name="Nuovo 23 3 4 2" xfId="8172" xr:uid="{00000000-0005-0000-0000-0000EC1F0000}"/>
    <cellStyle name="Nuovo 23 3 5" xfId="8173" xr:uid="{00000000-0005-0000-0000-0000ED1F0000}"/>
    <cellStyle name="Nuovo 23 4" xfId="8174" xr:uid="{00000000-0005-0000-0000-0000EE1F0000}"/>
    <cellStyle name="Nuovo 23 4 2" xfId="8175" xr:uid="{00000000-0005-0000-0000-0000EF1F0000}"/>
    <cellStyle name="Nuovo 23 4 2 2" xfId="8176" xr:uid="{00000000-0005-0000-0000-0000F01F0000}"/>
    <cellStyle name="Nuovo 23 4 3" xfId="8177" xr:uid="{00000000-0005-0000-0000-0000F11F0000}"/>
    <cellStyle name="Nuovo 23 5" xfId="8178" xr:uid="{00000000-0005-0000-0000-0000F21F0000}"/>
    <cellStyle name="Nuovo 23 6" xfId="8179" xr:uid="{00000000-0005-0000-0000-0000F31F0000}"/>
    <cellStyle name="Nuovo 23 6 2" xfId="8180" xr:uid="{00000000-0005-0000-0000-0000F41F0000}"/>
    <cellStyle name="Nuovo 24" xfId="8181" xr:uid="{00000000-0005-0000-0000-0000F51F0000}"/>
    <cellStyle name="Nuovo 24 2" xfId="8182" xr:uid="{00000000-0005-0000-0000-0000F61F0000}"/>
    <cellStyle name="Nuovo 24 2 2" xfId="8183" xr:uid="{00000000-0005-0000-0000-0000F71F0000}"/>
    <cellStyle name="Nuovo 24 2 2 2" xfId="8184" xr:uid="{00000000-0005-0000-0000-0000F81F0000}"/>
    <cellStyle name="Nuovo 24 2 3" xfId="8185" xr:uid="{00000000-0005-0000-0000-0000F91F0000}"/>
    <cellStyle name="Nuovo 24 3" xfId="8186" xr:uid="{00000000-0005-0000-0000-0000FA1F0000}"/>
    <cellStyle name="Nuovo 24 3 2" xfId="8187" xr:uid="{00000000-0005-0000-0000-0000FB1F0000}"/>
    <cellStyle name="Nuovo 24 3 2 2" xfId="8188" xr:uid="{00000000-0005-0000-0000-0000FC1F0000}"/>
    <cellStyle name="Nuovo 24 3 2 3" xfId="8189" xr:uid="{00000000-0005-0000-0000-0000FD1F0000}"/>
    <cellStyle name="Nuovo 24 3 2 3 2" xfId="8190" xr:uid="{00000000-0005-0000-0000-0000FE1F0000}"/>
    <cellStyle name="Nuovo 24 3 3" xfId="8191" xr:uid="{00000000-0005-0000-0000-0000FF1F0000}"/>
    <cellStyle name="Nuovo 24 3 3 2" xfId="8192" xr:uid="{00000000-0005-0000-0000-000000200000}"/>
    <cellStyle name="Nuovo 24 3 4" xfId="8193" xr:uid="{00000000-0005-0000-0000-000001200000}"/>
    <cellStyle name="Nuovo 24 3 4 2" xfId="8194" xr:uid="{00000000-0005-0000-0000-000002200000}"/>
    <cellStyle name="Nuovo 24 3 5" xfId="8195" xr:uid="{00000000-0005-0000-0000-000003200000}"/>
    <cellStyle name="Nuovo 24 4" xfId="8196" xr:uid="{00000000-0005-0000-0000-000004200000}"/>
    <cellStyle name="Nuovo 24 4 2" xfId="8197" xr:uid="{00000000-0005-0000-0000-000005200000}"/>
    <cellStyle name="Nuovo 24 4 2 2" xfId="8198" xr:uid="{00000000-0005-0000-0000-000006200000}"/>
    <cellStyle name="Nuovo 24 4 3" xfId="8199" xr:uid="{00000000-0005-0000-0000-000007200000}"/>
    <cellStyle name="Nuovo 24 5" xfId="8200" xr:uid="{00000000-0005-0000-0000-000008200000}"/>
    <cellStyle name="Nuovo 24 6" xfId="8201" xr:uid="{00000000-0005-0000-0000-000009200000}"/>
    <cellStyle name="Nuovo 24 6 2" xfId="8202" xr:uid="{00000000-0005-0000-0000-00000A200000}"/>
    <cellStyle name="Nuovo 25" xfId="8203" xr:uid="{00000000-0005-0000-0000-00000B200000}"/>
    <cellStyle name="Nuovo 25 2" xfId="8204" xr:uid="{00000000-0005-0000-0000-00000C200000}"/>
    <cellStyle name="Nuovo 25 2 2" xfId="8205" xr:uid="{00000000-0005-0000-0000-00000D200000}"/>
    <cellStyle name="Nuovo 25 2 2 2" xfId="8206" xr:uid="{00000000-0005-0000-0000-00000E200000}"/>
    <cellStyle name="Nuovo 25 2 3" xfId="8207" xr:uid="{00000000-0005-0000-0000-00000F200000}"/>
    <cellStyle name="Nuovo 25 3" xfId="8208" xr:uid="{00000000-0005-0000-0000-000010200000}"/>
    <cellStyle name="Nuovo 25 3 2" xfId="8209" xr:uid="{00000000-0005-0000-0000-000011200000}"/>
    <cellStyle name="Nuovo 25 3 2 2" xfId="8210" xr:uid="{00000000-0005-0000-0000-000012200000}"/>
    <cellStyle name="Nuovo 25 3 2 3" xfId="8211" xr:uid="{00000000-0005-0000-0000-000013200000}"/>
    <cellStyle name="Nuovo 25 3 2 3 2" xfId="8212" xr:uid="{00000000-0005-0000-0000-000014200000}"/>
    <cellStyle name="Nuovo 25 3 3" xfId="8213" xr:uid="{00000000-0005-0000-0000-000015200000}"/>
    <cellStyle name="Nuovo 25 3 3 2" xfId="8214" xr:uid="{00000000-0005-0000-0000-000016200000}"/>
    <cellStyle name="Nuovo 25 3 4" xfId="8215" xr:uid="{00000000-0005-0000-0000-000017200000}"/>
    <cellStyle name="Nuovo 25 3 4 2" xfId="8216" xr:uid="{00000000-0005-0000-0000-000018200000}"/>
    <cellStyle name="Nuovo 25 3 5" xfId="8217" xr:uid="{00000000-0005-0000-0000-000019200000}"/>
    <cellStyle name="Nuovo 25 4" xfId="8218" xr:uid="{00000000-0005-0000-0000-00001A200000}"/>
    <cellStyle name="Nuovo 25 4 2" xfId="8219" xr:uid="{00000000-0005-0000-0000-00001B200000}"/>
    <cellStyle name="Nuovo 25 4 2 2" xfId="8220" xr:uid="{00000000-0005-0000-0000-00001C200000}"/>
    <cellStyle name="Nuovo 25 4 3" xfId="8221" xr:uid="{00000000-0005-0000-0000-00001D200000}"/>
    <cellStyle name="Nuovo 25 5" xfId="8222" xr:uid="{00000000-0005-0000-0000-00001E200000}"/>
    <cellStyle name="Nuovo 25 6" xfId="8223" xr:uid="{00000000-0005-0000-0000-00001F200000}"/>
    <cellStyle name="Nuovo 25 6 2" xfId="8224" xr:uid="{00000000-0005-0000-0000-000020200000}"/>
    <cellStyle name="Nuovo 26" xfId="8225" xr:uid="{00000000-0005-0000-0000-000021200000}"/>
    <cellStyle name="Nuovo 26 2" xfId="8226" xr:uid="{00000000-0005-0000-0000-000022200000}"/>
    <cellStyle name="Nuovo 26 2 2" xfId="8227" xr:uid="{00000000-0005-0000-0000-000023200000}"/>
    <cellStyle name="Nuovo 26 2 2 2" xfId="8228" xr:uid="{00000000-0005-0000-0000-000024200000}"/>
    <cellStyle name="Nuovo 26 2 3" xfId="8229" xr:uid="{00000000-0005-0000-0000-000025200000}"/>
    <cellStyle name="Nuovo 26 3" xfId="8230" xr:uid="{00000000-0005-0000-0000-000026200000}"/>
    <cellStyle name="Nuovo 26 3 2" xfId="8231" xr:uid="{00000000-0005-0000-0000-000027200000}"/>
    <cellStyle name="Nuovo 26 3 2 2" xfId="8232" xr:uid="{00000000-0005-0000-0000-000028200000}"/>
    <cellStyle name="Nuovo 26 3 2 3" xfId="8233" xr:uid="{00000000-0005-0000-0000-000029200000}"/>
    <cellStyle name="Nuovo 26 3 2 3 2" xfId="8234" xr:uid="{00000000-0005-0000-0000-00002A200000}"/>
    <cellStyle name="Nuovo 26 3 3" xfId="8235" xr:uid="{00000000-0005-0000-0000-00002B200000}"/>
    <cellStyle name="Nuovo 26 3 3 2" xfId="8236" xr:uid="{00000000-0005-0000-0000-00002C200000}"/>
    <cellStyle name="Nuovo 26 3 4" xfId="8237" xr:uid="{00000000-0005-0000-0000-00002D200000}"/>
    <cellStyle name="Nuovo 26 3 4 2" xfId="8238" xr:uid="{00000000-0005-0000-0000-00002E200000}"/>
    <cellStyle name="Nuovo 26 3 5" xfId="8239" xr:uid="{00000000-0005-0000-0000-00002F200000}"/>
    <cellStyle name="Nuovo 26 4" xfId="8240" xr:uid="{00000000-0005-0000-0000-000030200000}"/>
    <cellStyle name="Nuovo 26 4 2" xfId="8241" xr:uid="{00000000-0005-0000-0000-000031200000}"/>
    <cellStyle name="Nuovo 26 4 2 2" xfId="8242" xr:uid="{00000000-0005-0000-0000-000032200000}"/>
    <cellStyle name="Nuovo 26 4 3" xfId="8243" xr:uid="{00000000-0005-0000-0000-000033200000}"/>
    <cellStyle name="Nuovo 26 5" xfId="8244" xr:uid="{00000000-0005-0000-0000-000034200000}"/>
    <cellStyle name="Nuovo 26 6" xfId="8245" xr:uid="{00000000-0005-0000-0000-000035200000}"/>
    <cellStyle name="Nuovo 26 6 2" xfId="8246" xr:uid="{00000000-0005-0000-0000-000036200000}"/>
    <cellStyle name="Nuovo 27" xfId="8247" xr:uid="{00000000-0005-0000-0000-000037200000}"/>
    <cellStyle name="Nuovo 27 2" xfId="8248" xr:uid="{00000000-0005-0000-0000-000038200000}"/>
    <cellStyle name="Nuovo 27 2 2" xfId="8249" xr:uid="{00000000-0005-0000-0000-000039200000}"/>
    <cellStyle name="Nuovo 27 2 2 2" xfId="8250" xr:uid="{00000000-0005-0000-0000-00003A200000}"/>
    <cellStyle name="Nuovo 27 2 3" xfId="8251" xr:uid="{00000000-0005-0000-0000-00003B200000}"/>
    <cellStyle name="Nuovo 27 3" xfId="8252" xr:uid="{00000000-0005-0000-0000-00003C200000}"/>
    <cellStyle name="Nuovo 27 3 2" xfId="8253" xr:uid="{00000000-0005-0000-0000-00003D200000}"/>
    <cellStyle name="Nuovo 27 3 2 2" xfId="8254" xr:uid="{00000000-0005-0000-0000-00003E200000}"/>
    <cellStyle name="Nuovo 27 3 2 3" xfId="8255" xr:uid="{00000000-0005-0000-0000-00003F200000}"/>
    <cellStyle name="Nuovo 27 3 2 3 2" xfId="8256" xr:uid="{00000000-0005-0000-0000-000040200000}"/>
    <cellStyle name="Nuovo 27 3 3" xfId="8257" xr:uid="{00000000-0005-0000-0000-000041200000}"/>
    <cellStyle name="Nuovo 27 3 3 2" xfId="8258" xr:uid="{00000000-0005-0000-0000-000042200000}"/>
    <cellStyle name="Nuovo 27 3 4" xfId="8259" xr:uid="{00000000-0005-0000-0000-000043200000}"/>
    <cellStyle name="Nuovo 27 3 4 2" xfId="8260" xr:uid="{00000000-0005-0000-0000-000044200000}"/>
    <cellStyle name="Nuovo 27 3 5" xfId="8261" xr:uid="{00000000-0005-0000-0000-000045200000}"/>
    <cellStyle name="Nuovo 27 4" xfId="8262" xr:uid="{00000000-0005-0000-0000-000046200000}"/>
    <cellStyle name="Nuovo 27 4 2" xfId="8263" xr:uid="{00000000-0005-0000-0000-000047200000}"/>
    <cellStyle name="Nuovo 27 4 2 2" xfId="8264" xr:uid="{00000000-0005-0000-0000-000048200000}"/>
    <cellStyle name="Nuovo 27 4 3" xfId="8265" xr:uid="{00000000-0005-0000-0000-000049200000}"/>
    <cellStyle name="Nuovo 27 5" xfId="8266" xr:uid="{00000000-0005-0000-0000-00004A200000}"/>
    <cellStyle name="Nuovo 27 6" xfId="8267" xr:uid="{00000000-0005-0000-0000-00004B200000}"/>
    <cellStyle name="Nuovo 27 6 2" xfId="8268" xr:uid="{00000000-0005-0000-0000-00004C200000}"/>
    <cellStyle name="Nuovo 28" xfId="8269" xr:uid="{00000000-0005-0000-0000-00004D200000}"/>
    <cellStyle name="Nuovo 28 2" xfId="8270" xr:uid="{00000000-0005-0000-0000-00004E200000}"/>
    <cellStyle name="Nuovo 28 2 2" xfId="8271" xr:uid="{00000000-0005-0000-0000-00004F200000}"/>
    <cellStyle name="Nuovo 28 2 2 2" xfId="8272" xr:uid="{00000000-0005-0000-0000-000050200000}"/>
    <cellStyle name="Nuovo 28 2 3" xfId="8273" xr:uid="{00000000-0005-0000-0000-000051200000}"/>
    <cellStyle name="Nuovo 28 3" xfId="8274" xr:uid="{00000000-0005-0000-0000-000052200000}"/>
    <cellStyle name="Nuovo 28 3 2" xfId="8275" xr:uid="{00000000-0005-0000-0000-000053200000}"/>
    <cellStyle name="Nuovo 28 3 2 2" xfId="8276" xr:uid="{00000000-0005-0000-0000-000054200000}"/>
    <cellStyle name="Nuovo 28 3 2 3" xfId="8277" xr:uid="{00000000-0005-0000-0000-000055200000}"/>
    <cellStyle name="Nuovo 28 3 2 3 2" xfId="8278" xr:uid="{00000000-0005-0000-0000-000056200000}"/>
    <cellStyle name="Nuovo 28 3 3" xfId="8279" xr:uid="{00000000-0005-0000-0000-000057200000}"/>
    <cellStyle name="Nuovo 28 3 3 2" xfId="8280" xr:uid="{00000000-0005-0000-0000-000058200000}"/>
    <cellStyle name="Nuovo 28 3 4" xfId="8281" xr:uid="{00000000-0005-0000-0000-000059200000}"/>
    <cellStyle name="Nuovo 28 3 4 2" xfId="8282" xr:uid="{00000000-0005-0000-0000-00005A200000}"/>
    <cellStyle name="Nuovo 28 3 5" xfId="8283" xr:uid="{00000000-0005-0000-0000-00005B200000}"/>
    <cellStyle name="Nuovo 28 4" xfId="8284" xr:uid="{00000000-0005-0000-0000-00005C200000}"/>
    <cellStyle name="Nuovo 28 4 2" xfId="8285" xr:uid="{00000000-0005-0000-0000-00005D200000}"/>
    <cellStyle name="Nuovo 28 4 2 2" xfId="8286" xr:uid="{00000000-0005-0000-0000-00005E200000}"/>
    <cellStyle name="Nuovo 28 4 3" xfId="8287" xr:uid="{00000000-0005-0000-0000-00005F200000}"/>
    <cellStyle name="Nuovo 28 5" xfId="8288" xr:uid="{00000000-0005-0000-0000-000060200000}"/>
    <cellStyle name="Nuovo 28 6" xfId="8289" xr:uid="{00000000-0005-0000-0000-000061200000}"/>
    <cellStyle name="Nuovo 28 6 2" xfId="8290" xr:uid="{00000000-0005-0000-0000-000062200000}"/>
    <cellStyle name="Nuovo 29" xfId="8291" xr:uid="{00000000-0005-0000-0000-000063200000}"/>
    <cellStyle name="Nuovo 29 2" xfId="8292" xr:uid="{00000000-0005-0000-0000-000064200000}"/>
    <cellStyle name="Nuovo 29 2 2" xfId="8293" xr:uid="{00000000-0005-0000-0000-000065200000}"/>
    <cellStyle name="Nuovo 29 2 2 2" xfId="8294" xr:uid="{00000000-0005-0000-0000-000066200000}"/>
    <cellStyle name="Nuovo 29 2 3" xfId="8295" xr:uid="{00000000-0005-0000-0000-000067200000}"/>
    <cellStyle name="Nuovo 29 3" xfId="8296" xr:uid="{00000000-0005-0000-0000-000068200000}"/>
    <cellStyle name="Nuovo 29 3 2" xfId="8297" xr:uid="{00000000-0005-0000-0000-000069200000}"/>
    <cellStyle name="Nuovo 29 3 2 2" xfId="8298" xr:uid="{00000000-0005-0000-0000-00006A200000}"/>
    <cellStyle name="Nuovo 29 3 2 3" xfId="8299" xr:uid="{00000000-0005-0000-0000-00006B200000}"/>
    <cellStyle name="Nuovo 29 3 2 3 2" xfId="8300" xr:uid="{00000000-0005-0000-0000-00006C200000}"/>
    <cellStyle name="Nuovo 29 3 3" xfId="8301" xr:uid="{00000000-0005-0000-0000-00006D200000}"/>
    <cellStyle name="Nuovo 29 3 3 2" xfId="8302" xr:uid="{00000000-0005-0000-0000-00006E200000}"/>
    <cellStyle name="Nuovo 29 3 4" xfId="8303" xr:uid="{00000000-0005-0000-0000-00006F200000}"/>
    <cellStyle name="Nuovo 29 3 4 2" xfId="8304" xr:uid="{00000000-0005-0000-0000-000070200000}"/>
    <cellStyle name="Nuovo 29 3 5" xfId="8305" xr:uid="{00000000-0005-0000-0000-000071200000}"/>
    <cellStyle name="Nuovo 29 4" xfId="8306" xr:uid="{00000000-0005-0000-0000-000072200000}"/>
    <cellStyle name="Nuovo 29 4 2" xfId="8307" xr:uid="{00000000-0005-0000-0000-000073200000}"/>
    <cellStyle name="Nuovo 29 4 2 2" xfId="8308" xr:uid="{00000000-0005-0000-0000-000074200000}"/>
    <cellStyle name="Nuovo 29 4 3" xfId="8309" xr:uid="{00000000-0005-0000-0000-000075200000}"/>
    <cellStyle name="Nuovo 29 5" xfId="8310" xr:uid="{00000000-0005-0000-0000-000076200000}"/>
    <cellStyle name="Nuovo 29 6" xfId="8311" xr:uid="{00000000-0005-0000-0000-000077200000}"/>
    <cellStyle name="Nuovo 29 6 2" xfId="8312" xr:uid="{00000000-0005-0000-0000-000078200000}"/>
    <cellStyle name="Nuovo 3" xfId="8313" xr:uid="{00000000-0005-0000-0000-000079200000}"/>
    <cellStyle name="Nuovo 3 2" xfId="8314" xr:uid="{00000000-0005-0000-0000-00007A200000}"/>
    <cellStyle name="Nuovo 3 2 2" xfId="8315" xr:uid="{00000000-0005-0000-0000-00007B200000}"/>
    <cellStyle name="Nuovo 3 2 2 2" xfId="8316" xr:uid="{00000000-0005-0000-0000-00007C200000}"/>
    <cellStyle name="Nuovo 3 2 3" xfId="8317" xr:uid="{00000000-0005-0000-0000-00007D200000}"/>
    <cellStyle name="Nuovo 3 3" xfId="8318" xr:uid="{00000000-0005-0000-0000-00007E200000}"/>
    <cellStyle name="Nuovo 3 3 2" xfId="8319" xr:uid="{00000000-0005-0000-0000-00007F200000}"/>
    <cellStyle name="Nuovo 3 3 2 2" xfId="8320" xr:uid="{00000000-0005-0000-0000-000080200000}"/>
    <cellStyle name="Nuovo 3 3 2 3" xfId="8321" xr:uid="{00000000-0005-0000-0000-000081200000}"/>
    <cellStyle name="Nuovo 3 3 2 3 2" xfId="8322" xr:uid="{00000000-0005-0000-0000-000082200000}"/>
    <cellStyle name="Nuovo 3 3 3" xfId="8323" xr:uid="{00000000-0005-0000-0000-000083200000}"/>
    <cellStyle name="Nuovo 3 3 3 2" xfId="8324" xr:uid="{00000000-0005-0000-0000-000084200000}"/>
    <cellStyle name="Nuovo 3 3 4" xfId="8325" xr:uid="{00000000-0005-0000-0000-000085200000}"/>
    <cellStyle name="Nuovo 3 3 4 2" xfId="8326" xr:uid="{00000000-0005-0000-0000-000086200000}"/>
    <cellStyle name="Nuovo 3 3 5" xfId="8327" xr:uid="{00000000-0005-0000-0000-000087200000}"/>
    <cellStyle name="Nuovo 3 4" xfId="8328" xr:uid="{00000000-0005-0000-0000-000088200000}"/>
    <cellStyle name="Nuovo 3 4 2" xfId="8329" xr:uid="{00000000-0005-0000-0000-000089200000}"/>
    <cellStyle name="Nuovo 3 4 2 2" xfId="8330" xr:uid="{00000000-0005-0000-0000-00008A200000}"/>
    <cellStyle name="Nuovo 3 4 3" xfId="8331" xr:uid="{00000000-0005-0000-0000-00008B200000}"/>
    <cellStyle name="Nuovo 3 5" xfId="8332" xr:uid="{00000000-0005-0000-0000-00008C200000}"/>
    <cellStyle name="Nuovo 3 6" xfId="8333" xr:uid="{00000000-0005-0000-0000-00008D200000}"/>
    <cellStyle name="Nuovo 3 6 2" xfId="8334" xr:uid="{00000000-0005-0000-0000-00008E200000}"/>
    <cellStyle name="Nuovo 30" xfId="8335" xr:uid="{00000000-0005-0000-0000-00008F200000}"/>
    <cellStyle name="Nuovo 30 2" xfId="8336" xr:uid="{00000000-0005-0000-0000-000090200000}"/>
    <cellStyle name="Nuovo 30 2 2" xfId="8337" xr:uid="{00000000-0005-0000-0000-000091200000}"/>
    <cellStyle name="Nuovo 30 2 2 2" xfId="8338" xr:uid="{00000000-0005-0000-0000-000092200000}"/>
    <cellStyle name="Nuovo 30 2 3" xfId="8339" xr:uid="{00000000-0005-0000-0000-000093200000}"/>
    <cellStyle name="Nuovo 30 3" xfId="8340" xr:uid="{00000000-0005-0000-0000-000094200000}"/>
    <cellStyle name="Nuovo 30 3 2" xfId="8341" xr:uid="{00000000-0005-0000-0000-000095200000}"/>
    <cellStyle name="Nuovo 30 3 2 2" xfId="8342" xr:uid="{00000000-0005-0000-0000-000096200000}"/>
    <cellStyle name="Nuovo 30 3 2 3" xfId="8343" xr:uid="{00000000-0005-0000-0000-000097200000}"/>
    <cellStyle name="Nuovo 30 3 2 3 2" xfId="8344" xr:uid="{00000000-0005-0000-0000-000098200000}"/>
    <cellStyle name="Nuovo 30 3 3" xfId="8345" xr:uid="{00000000-0005-0000-0000-000099200000}"/>
    <cellStyle name="Nuovo 30 3 3 2" xfId="8346" xr:uid="{00000000-0005-0000-0000-00009A200000}"/>
    <cellStyle name="Nuovo 30 3 4" xfId="8347" xr:uid="{00000000-0005-0000-0000-00009B200000}"/>
    <cellStyle name="Nuovo 30 3 4 2" xfId="8348" xr:uid="{00000000-0005-0000-0000-00009C200000}"/>
    <cellStyle name="Nuovo 30 3 5" xfId="8349" xr:uid="{00000000-0005-0000-0000-00009D200000}"/>
    <cellStyle name="Nuovo 30 4" xfId="8350" xr:uid="{00000000-0005-0000-0000-00009E200000}"/>
    <cellStyle name="Nuovo 30 4 2" xfId="8351" xr:uid="{00000000-0005-0000-0000-00009F200000}"/>
    <cellStyle name="Nuovo 30 4 2 2" xfId="8352" xr:uid="{00000000-0005-0000-0000-0000A0200000}"/>
    <cellStyle name="Nuovo 30 4 3" xfId="8353" xr:uid="{00000000-0005-0000-0000-0000A1200000}"/>
    <cellStyle name="Nuovo 30 5" xfId="8354" xr:uid="{00000000-0005-0000-0000-0000A2200000}"/>
    <cellStyle name="Nuovo 30 6" xfId="8355" xr:uid="{00000000-0005-0000-0000-0000A3200000}"/>
    <cellStyle name="Nuovo 30 6 2" xfId="8356" xr:uid="{00000000-0005-0000-0000-0000A4200000}"/>
    <cellStyle name="Nuovo 31" xfId="8357" xr:uid="{00000000-0005-0000-0000-0000A5200000}"/>
    <cellStyle name="Nuovo 31 2" xfId="8358" xr:uid="{00000000-0005-0000-0000-0000A6200000}"/>
    <cellStyle name="Nuovo 31 2 2" xfId="8359" xr:uid="{00000000-0005-0000-0000-0000A7200000}"/>
    <cellStyle name="Nuovo 31 2 2 2" xfId="8360" xr:uid="{00000000-0005-0000-0000-0000A8200000}"/>
    <cellStyle name="Nuovo 31 2 3" xfId="8361" xr:uid="{00000000-0005-0000-0000-0000A9200000}"/>
    <cellStyle name="Nuovo 31 3" xfId="8362" xr:uid="{00000000-0005-0000-0000-0000AA200000}"/>
    <cellStyle name="Nuovo 31 3 2" xfId="8363" xr:uid="{00000000-0005-0000-0000-0000AB200000}"/>
    <cellStyle name="Nuovo 31 3 2 2" xfId="8364" xr:uid="{00000000-0005-0000-0000-0000AC200000}"/>
    <cellStyle name="Nuovo 31 3 2 3" xfId="8365" xr:uid="{00000000-0005-0000-0000-0000AD200000}"/>
    <cellStyle name="Nuovo 31 3 2 3 2" xfId="8366" xr:uid="{00000000-0005-0000-0000-0000AE200000}"/>
    <cellStyle name="Nuovo 31 3 3" xfId="8367" xr:uid="{00000000-0005-0000-0000-0000AF200000}"/>
    <cellStyle name="Nuovo 31 3 3 2" xfId="8368" xr:uid="{00000000-0005-0000-0000-0000B0200000}"/>
    <cellStyle name="Nuovo 31 3 4" xfId="8369" xr:uid="{00000000-0005-0000-0000-0000B1200000}"/>
    <cellStyle name="Nuovo 31 3 4 2" xfId="8370" xr:uid="{00000000-0005-0000-0000-0000B2200000}"/>
    <cellStyle name="Nuovo 31 3 5" xfId="8371" xr:uid="{00000000-0005-0000-0000-0000B3200000}"/>
    <cellStyle name="Nuovo 31 4" xfId="8372" xr:uid="{00000000-0005-0000-0000-0000B4200000}"/>
    <cellStyle name="Nuovo 31 4 2" xfId="8373" xr:uid="{00000000-0005-0000-0000-0000B5200000}"/>
    <cellStyle name="Nuovo 31 4 2 2" xfId="8374" xr:uid="{00000000-0005-0000-0000-0000B6200000}"/>
    <cellStyle name="Nuovo 31 4 3" xfId="8375" xr:uid="{00000000-0005-0000-0000-0000B7200000}"/>
    <cellStyle name="Nuovo 31 5" xfId="8376" xr:uid="{00000000-0005-0000-0000-0000B8200000}"/>
    <cellStyle name="Nuovo 31 6" xfId="8377" xr:uid="{00000000-0005-0000-0000-0000B9200000}"/>
    <cellStyle name="Nuovo 31 6 2" xfId="8378" xr:uid="{00000000-0005-0000-0000-0000BA200000}"/>
    <cellStyle name="Nuovo 32" xfId="8379" xr:uid="{00000000-0005-0000-0000-0000BB200000}"/>
    <cellStyle name="Nuovo 32 2" xfId="8380" xr:uid="{00000000-0005-0000-0000-0000BC200000}"/>
    <cellStyle name="Nuovo 32 2 2" xfId="8381" xr:uid="{00000000-0005-0000-0000-0000BD200000}"/>
    <cellStyle name="Nuovo 32 2 2 2" xfId="8382" xr:uid="{00000000-0005-0000-0000-0000BE200000}"/>
    <cellStyle name="Nuovo 32 2 3" xfId="8383" xr:uid="{00000000-0005-0000-0000-0000BF200000}"/>
    <cellStyle name="Nuovo 32 3" xfId="8384" xr:uid="{00000000-0005-0000-0000-0000C0200000}"/>
    <cellStyle name="Nuovo 32 3 2" xfId="8385" xr:uid="{00000000-0005-0000-0000-0000C1200000}"/>
    <cellStyle name="Nuovo 32 3 2 2" xfId="8386" xr:uid="{00000000-0005-0000-0000-0000C2200000}"/>
    <cellStyle name="Nuovo 32 3 2 3" xfId="8387" xr:uid="{00000000-0005-0000-0000-0000C3200000}"/>
    <cellStyle name="Nuovo 32 3 2 3 2" xfId="8388" xr:uid="{00000000-0005-0000-0000-0000C4200000}"/>
    <cellStyle name="Nuovo 32 3 3" xfId="8389" xr:uid="{00000000-0005-0000-0000-0000C5200000}"/>
    <cellStyle name="Nuovo 32 3 3 2" xfId="8390" xr:uid="{00000000-0005-0000-0000-0000C6200000}"/>
    <cellStyle name="Nuovo 32 3 4" xfId="8391" xr:uid="{00000000-0005-0000-0000-0000C7200000}"/>
    <cellStyle name="Nuovo 32 3 4 2" xfId="8392" xr:uid="{00000000-0005-0000-0000-0000C8200000}"/>
    <cellStyle name="Nuovo 32 3 5" xfId="8393" xr:uid="{00000000-0005-0000-0000-0000C9200000}"/>
    <cellStyle name="Nuovo 32 4" xfId="8394" xr:uid="{00000000-0005-0000-0000-0000CA200000}"/>
    <cellStyle name="Nuovo 32 4 2" xfId="8395" xr:uid="{00000000-0005-0000-0000-0000CB200000}"/>
    <cellStyle name="Nuovo 32 4 2 2" xfId="8396" xr:uid="{00000000-0005-0000-0000-0000CC200000}"/>
    <cellStyle name="Nuovo 32 4 3" xfId="8397" xr:uid="{00000000-0005-0000-0000-0000CD200000}"/>
    <cellStyle name="Nuovo 32 5" xfId="8398" xr:uid="{00000000-0005-0000-0000-0000CE200000}"/>
    <cellStyle name="Nuovo 32 6" xfId="8399" xr:uid="{00000000-0005-0000-0000-0000CF200000}"/>
    <cellStyle name="Nuovo 32 6 2" xfId="8400" xr:uid="{00000000-0005-0000-0000-0000D0200000}"/>
    <cellStyle name="Nuovo 33" xfId="8401" xr:uid="{00000000-0005-0000-0000-0000D1200000}"/>
    <cellStyle name="Nuovo 33 2" xfId="8402" xr:uid="{00000000-0005-0000-0000-0000D2200000}"/>
    <cellStyle name="Nuovo 33 2 2" xfId="8403" xr:uid="{00000000-0005-0000-0000-0000D3200000}"/>
    <cellStyle name="Nuovo 33 2 2 2" xfId="8404" xr:uid="{00000000-0005-0000-0000-0000D4200000}"/>
    <cellStyle name="Nuovo 33 2 3" xfId="8405" xr:uid="{00000000-0005-0000-0000-0000D5200000}"/>
    <cellStyle name="Nuovo 33 3" xfId="8406" xr:uid="{00000000-0005-0000-0000-0000D6200000}"/>
    <cellStyle name="Nuovo 33 3 2" xfId="8407" xr:uid="{00000000-0005-0000-0000-0000D7200000}"/>
    <cellStyle name="Nuovo 33 3 2 2" xfId="8408" xr:uid="{00000000-0005-0000-0000-0000D8200000}"/>
    <cellStyle name="Nuovo 33 3 2 3" xfId="8409" xr:uid="{00000000-0005-0000-0000-0000D9200000}"/>
    <cellStyle name="Nuovo 33 3 2 3 2" xfId="8410" xr:uid="{00000000-0005-0000-0000-0000DA200000}"/>
    <cellStyle name="Nuovo 33 3 3" xfId="8411" xr:uid="{00000000-0005-0000-0000-0000DB200000}"/>
    <cellStyle name="Nuovo 33 3 3 2" xfId="8412" xr:uid="{00000000-0005-0000-0000-0000DC200000}"/>
    <cellStyle name="Nuovo 33 3 4" xfId="8413" xr:uid="{00000000-0005-0000-0000-0000DD200000}"/>
    <cellStyle name="Nuovo 33 3 4 2" xfId="8414" xr:uid="{00000000-0005-0000-0000-0000DE200000}"/>
    <cellStyle name="Nuovo 33 3 5" xfId="8415" xr:uid="{00000000-0005-0000-0000-0000DF200000}"/>
    <cellStyle name="Nuovo 33 4" xfId="8416" xr:uid="{00000000-0005-0000-0000-0000E0200000}"/>
    <cellStyle name="Nuovo 33 4 2" xfId="8417" xr:uid="{00000000-0005-0000-0000-0000E1200000}"/>
    <cellStyle name="Nuovo 33 4 2 2" xfId="8418" xr:uid="{00000000-0005-0000-0000-0000E2200000}"/>
    <cellStyle name="Nuovo 33 4 3" xfId="8419" xr:uid="{00000000-0005-0000-0000-0000E3200000}"/>
    <cellStyle name="Nuovo 33 5" xfId="8420" xr:uid="{00000000-0005-0000-0000-0000E4200000}"/>
    <cellStyle name="Nuovo 33 6" xfId="8421" xr:uid="{00000000-0005-0000-0000-0000E5200000}"/>
    <cellStyle name="Nuovo 33 6 2" xfId="8422" xr:uid="{00000000-0005-0000-0000-0000E6200000}"/>
    <cellStyle name="Nuovo 34" xfId="8423" xr:uid="{00000000-0005-0000-0000-0000E7200000}"/>
    <cellStyle name="Nuovo 34 2" xfId="8424" xr:uid="{00000000-0005-0000-0000-0000E8200000}"/>
    <cellStyle name="Nuovo 34 2 2" xfId="8425" xr:uid="{00000000-0005-0000-0000-0000E9200000}"/>
    <cellStyle name="Nuovo 34 2 2 2" xfId="8426" xr:uid="{00000000-0005-0000-0000-0000EA200000}"/>
    <cellStyle name="Nuovo 34 2 3" xfId="8427" xr:uid="{00000000-0005-0000-0000-0000EB200000}"/>
    <cellStyle name="Nuovo 34 3" xfId="8428" xr:uid="{00000000-0005-0000-0000-0000EC200000}"/>
    <cellStyle name="Nuovo 34 3 2" xfId="8429" xr:uid="{00000000-0005-0000-0000-0000ED200000}"/>
    <cellStyle name="Nuovo 34 3 2 2" xfId="8430" xr:uid="{00000000-0005-0000-0000-0000EE200000}"/>
    <cellStyle name="Nuovo 34 3 2 3" xfId="8431" xr:uid="{00000000-0005-0000-0000-0000EF200000}"/>
    <cellStyle name="Nuovo 34 3 2 3 2" xfId="8432" xr:uid="{00000000-0005-0000-0000-0000F0200000}"/>
    <cellStyle name="Nuovo 34 3 3" xfId="8433" xr:uid="{00000000-0005-0000-0000-0000F1200000}"/>
    <cellStyle name="Nuovo 34 3 3 2" xfId="8434" xr:uid="{00000000-0005-0000-0000-0000F2200000}"/>
    <cellStyle name="Nuovo 34 3 4" xfId="8435" xr:uid="{00000000-0005-0000-0000-0000F3200000}"/>
    <cellStyle name="Nuovo 34 3 4 2" xfId="8436" xr:uid="{00000000-0005-0000-0000-0000F4200000}"/>
    <cellStyle name="Nuovo 34 3 5" xfId="8437" xr:uid="{00000000-0005-0000-0000-0000F5200000}"/>
    <cellStyle name="Nuovo 34 4" xfId="8438" xr:uid="{00000000-0005-0000-0000-0000F6200000}"/>
    <cellStyle name="Nuovo 34 4 2" xfId="8439" xr:uid="{00000000-0005-0000-0000-0000F7200000}"/>
    <cellStyle name="Nuovo 34 4 2 2" xfId="8440" xr:uid="{00000000-0005-0000-0000-0000F8200000}"/>
    <cellStyle name="Nuovo 34 4 3" xfId="8441" xr:uid="{00000000-0005-0000-0000-0000F9200000}"/>
    <cellStyle name="Nuovo 34 5" xfId="8442" xr:uid="{00000000-0005-0000-0000-0000FA200000}"/>
    <cellStyle name="Nuovo 34 6" xfId="8443" xr:uid="{00000000-0005-0000-0000-0000FB200000}"/>
    <cellStyle name="Nuovo 34 6 2" xfId="8444" xr:uid="{00000000-0005-0000-0000-0000FC200000}"/>
    <cellStyle name="Nuovo 35" xfId="8445" xr:uid="{00000000-0005-0000-0000-0000FD200000}"/>
    <cellStyle name="Nuovo 35 2" xfId="8446" xr:uid="{00000000-0005-0000-0000-0000FE200000}"/>
    <cellStyle name="Nuovo 35 2 2" xfId="8447" xr:uid="{00000000-0005-0000-0000-0000FF200000}"/>
    <cellStyle name="Nuovo 35 2 2 2" xfId="8448" xr:uid="{00000000-0005-0000-0000-000000210000}"/>
    <cellStyle name="Nuovo 35 2 3" xfId="8449" xr:uid="{00000000-0005-0000-0000-000001210000}"/>
    <cellStyle name="Nuovo 35 3" xfId="8450" xr:uid="{00000000-0005-0000-0000-000002210000}"/>
    <cellStyle name="Nuovo 35 3 2" xfId="8451" xr:uid="{00000000-0005-0000-0000-000003210000}"/>
    <cellStyle name="Nuovo 35 3 2 2" xfId="8452" xr:uid="{00000000-0005-0000-0000-000004210000}"/>
    <cellStyle name="Nuovo 35 3 2 3" xfId="8453" xr:uid="{00000000-0005-0000-0000-000005210000}"/>
    <cellStyle name="Nuovo 35 3 2 3 2" xfId="8454" xr:uid="{00000000-0005-0000-0000-000006210000}"/>
    <cellStyle name="Nuovo 35 3 3" xfId="8455" xr:uid="{00000000-0005-0000-0000-000007210000}"/>
    <cellStyle name="Nuovo 35 3 3 2" xfId="8456" xr:uid="{00000000-0005-0000-0000-000008210000}"/>
    <cellStyle name="Nuovo 35 3 4" xfId="8457" xr:uid="{00000000-0005-0000-0000-000009210000}"/>
    <cellStyle name="Nuovo 35 3 4 2" xfId="8458" xr:uid="{00000000-0005-0000-0000-00000A210000}"/>
    <cellStyle name="Nuovo 35 3 5" xfId="8459" xr:uid="{00000000-0005-0000-0000-00000B210000}"/>
    <cellStyle name="Nuovo 35 4" xfId="8460" xr:uid="{00000000-0005-0000-0000-00000C210000}"/>
    <cellStyle name="Nuovo 35 4 2" xfId="8461" xr:uid="{00000000-0005-0000-0000-00000D210000}"/>
    <cellStyle name="Nuovo 35 4 2 2" xfId="8462" xr:uid="{00000000-0005-0000-0000-00000E210000}"/>
    <cellStyle name="Nuovo 35 4 3" xfId="8463" xr:uid="{00000000-0005-0000-0000-00000F210000}"/>
    <cellStyle name="Nuovo 35 5" xfId="8464" xr:uid="{00000000-0005-0000-0000-000010210000}"/>
    <cellStyle name="Nuovo 35 6" xfId="8465" xr:uid="{00000000-0005-0000-0000-000011210000}"/>
    <cellStyle name="Nuovo 35 6 2" xfId="8466" xr:uid="{00000000-0005-0000-0000-000012210000}"/>
    <cellStyle name="Nuovo 36" xfId="8467" xr:uid="{00000000-0005-0000-0000-000013210000}"/>
    <cellStyle name="Nuovo 36 2" xfId="8468" xr:uid="{00000000-0005-0000-0000-000014210000}"/>
    <cellStyle name="Nuovo 36 2 2" xfId="8469" xr:uid="{00000000-0005-0000-0000-000015210000}"/>
    <cellStyle name="Nuovo 36 2 2 2" xfId="8470" xr:uid="{00000000-0005-0000-0000-000016210000}"/>
    <cellStyle name="Nuovo 36 2 3" xfId="8471" xr:uid="{00000000-0005-0000-0000-000017210000}"/>
    <cellStyle name="Nuovo 36 3" xfId="8472" xr:uid="{00000000-0005-0000-0000-000018210000}"/>
    <cellStyle name="Nuovo 36 3 2" xfId="8473" xr:uid="{00000000-0005-0000-0000-000019210000}"/>
    <cellStyle name="Nuovo 36 3 2 2" xfId="8474" xr:uid="{00000000-0005-0000-0000-00001A210000}"/>
    <cellStyle name="Nuovo 36 3 2 3" xfId="8475" xr:uid="{00000000-0005-0000-0000-00001B210000}"/>
    <cellStyle name="Nuovo 36 3 2 3 2" xfId="8476" xr:uid="{00000000-0005-0000-0000-00001C210000}"/>
    <cellStyle name="Nuovo 36 3 3" xfId="8477" xr:uid="{00000000-0005-0000-0000-00001D210000}"/>
    <cellStyle name="Nuovo 36 3 3 2" xfId="8478" xr:uid="{00000000-0005-0000-0000-00001E210000}"/>
    <cellStyle name="Nuovo 36 3 4" xfId="8479" xr:uid="{00000000-0005-0000-0000-00001F210000}"/>
    <cellStyle name="Nuovo 36 3 4 2" xfId="8480" xr:uid="{00000000-0005-0000-0000-000020210000}"/>
    <cellStyle name="Nuovo 36 3 5" xfId="8481" xr:uid="{00000000-0005-0000-0000-000021210000}"/>
    <cellStyle name="Nuovo 36 4" xfId="8482" xr:uid="{00000000-0005-0000-0000-000022210000}"/>
    <cellStyle name="Nuovo 36 4 2" xfId="8483" xr:uid="{00000000-0005-0000-0000-000023210000}"/>
    <cellStyle name="Nuovo 36 4 2 2" xfId="8484" xr:uid="{00000000-0005-0000-0000-000024210000}"/>
    <cellStyle name="Nuovo 36 4 3" xfId="8485" xr:uid="{00000000-0005-0000-0000-000025210000}"/>
    <cellStyle name="Nuovo 36 5" xfId="8486" xr:uid="{00000000-0005-0000-0000-000026210000}"/>
    <cellStyle name="Nuovo 36 6" xfId="8487" xr:uid="{00000000-0005-0000-0000-000027210000}"/>
    <cellStyle name="Nuovo 36 6 2" xfId="8488" xr:uid="{00000000-0005-0000-0000-000028210000}"/>
    <cellStyle name="Nuovo 37" xfId="8489" xr:uid="{00000000-0005-0000-0000-000029210000}"/>
    <cellStyle name="Nuovo 37 2" xfId="8490" xr:uid="{00000000-0005-0000-0000-00002A210000}"/>
    <cellStyle name="Nuovo 37 2 2" xfId="8491" xr:uid="{00000000-0005-0000-0000-00002B210000}"/>
    <cellStyle name="Nuovo 37 2 2 2" xfId="8492" xr:uid="{00000000-0005-0000-0000-00002C210000}"/>
    <cellStyle name="Nuovo 37 2 3" xfId="8493" xr:uid="{00000000-0005-0000-0000-00002D210000}"/>
    <cellStyle name="Nuovo 37 3" xfId="8494" xr:uid="{00000000-0005-0000-0000-00002E210000}"/>
    <cellStyle name="Nuovo 37 3 2" xfId="8495" xr:uid="{00000000-0005-0000-0000-00002F210000}"/>
    <cellStyle name="Nuovo 37 3 2 2" xfId="8496" xr:uid="{00000000-0005-0000-0000-000030210000}"/>
    <cellStyle name="Nuovo 37 3 2 3" xfId="8497" xr:uid="{00000000-0005-0000-0000-000031210000}"/>
    <cellStyle name="Nuovo 37 3 2 3 2" xfId="8498" xr:uid="{00000000-0005-0000-0000-000032210000}"/>
    <cellStyle name="Nuovo 37 3 3" xfId="8499" xr:uid="{00000000-0005-0000-0000-000033210000}"/>
    <cellStyle name="Nuovo 37 3 3 2" xfId="8500" xr:uid="{00000000-0005-0000-0000-000034210000}"/>
    <cellStyle name="Nuovo 37 3 4" xfId="8501" xr:uid="{00000000-0005-0000-0000-000035210000}"/>
    <cellStyle name="Nuovo 37 3 4 2" xfId="8502" xr:uid="{00000000-0005-0000-0000-000036210000}"/>
    <cellStyle name="Nuovo 37 3 5" xfId="8503" xr:uid="{00000000-0005-0000-0000-000037210000}"/>
    <cellStyle name="Nuovo 37 4" xfId="8504" xr:uid="{00000000-0005-0000-0000-000038210000}"/>
    <cellStyle name="Nuovo 37 4 2" xfId="8505" xr:uid="{00000000-0005-0000-0000-000039210000}"/>
    <cellStyle name="Nuovo 37 4 2 2" xfId="8506" xr:uid="{00000000-0005-0000-0000-00003A210000}"/>
    <cellStyle name="Nuovo 37 4 3" xfId="8507" xr:uid="{00000000-0005-0000-0000-00003B210000}"/>
    <cellStyle name="Nuovo 37 5" xfId="8508" xr:uid="{00000000-0005-0000-0000-00003C210000}"/>
    <cellStyle name="Nuovo 37 6" xfId="8509" xr:uid="{00000000-0005-0000-0000-00003D210000}"/>
    <cellStyle name="Nuovo 37 6 2" xfId="8510" xr:uid="{00000000-0005-0000-0000-00003E210000}"/>
    <cellStyle name="Nuovo 38" xfId="8511" xr:uid="{00000000-0005-0000-0000-00003F210000}"/>
    <cellStyle name="Nuovo 38 2" xfId="8512" xr:uid="{00000000-0005-0000-0000-000040210000}"/>
    <cellStyle name="Nuovo 38 2 2" xfId="8513" xr:uid="{00000000-0005-0000-0000-000041210000}"/>
    <cellStyle name="Nuovo 38 2 2 2" xfId="8514" xr:uid="{00000000-0005-0000-0000-000042210000}"/>
    <cellStyle name="Nuovo 38 2 3" xfId="8515" xr:uid="{00000000-0005-0000-0000-000043210000}"/>
    <cellStyle name="Nuovo 38 3" xfId="8516" xr:uid="{00000000-0005-0000-0000-000044210000}"/>
    <cellStyle name="Nuovo 38 3 2" xfId="8517" xr:uid="{00000000-0005-0000-0000-000045210000}"/>
    <cellStyle name="Nuovo 38 3 2 2" xfId="8518" xr:uid="{00000000-0005-0000-0000-000046210000}"/>
    <cellStyle name="Nuovo 38 3 2 3" xfId="8519" xr:uid="{00000000-0005-0000-0000-000047210000}"/>
    <cellStyle name="Nuovo 38 3 2 3 2" xfId="8520" xr:uid="{00000000-0005-0000-0000-000048210000}"/>
    <cellStyle name="Nuovo 38 3 3" xfId="8521" xr:uid="{00000000-0005-0000-0000-000049210000}"/>
    <cellStyle name="Nuovo 38 3 3 2" xfId="8522" xr:uid="{00000000-0005-0000-0000-00004A210000}"/>
    <cellStyle name="Nuovo 38 3 4" xfId="8523" xr:uid="{00000000-0005-0000-0000-00004B210000}"/>
    <cellStyle name="Nuovo 38 3 4 2" xfId="8524" xr:uid="{00000000-0005-0000-0000-00004C210000}"/>
    <cellStyle name="Nuovo 38 3 5" xfId="8525" xr:uid="{00000000-0005-0000-0000-00004D210000}"/>
    <cellStyle name="Nuovo 38 4" xfId="8526" xr:uid="{00000000-0005-0000-0000-00004E210000}"/>
    <cellStyle name="Nuovo 38 4 2" xfId="8527" xr:uid="{00000000-0005-0000-0000-00004F210000}"/>
    <cellStyle name="Nuovo 38 4 2 2" xfId="8528" xr:uid="{00000000-0005-0000-0000-000050210000}"/>
    <cellStyle name="Nuovo 38 4 3" xfId="8529" xr:uid="{00000000-0005-0000-0000-000051210000}"/>
    <cellStyle name="Nuovo 38 5" xfId="8530" xr:uid="{00000000-0005-0000-0000-000052210000}"/>
    <cellStyle name="Nuovo 38 6" xfId="8531" xr:uid="{00000000-0005-0000-0000-000053210000}"/>
    <cellStyle name="Nuovo 38 6 2" xfId="8532" xr:uid="{00000000-0005-0000-0000-000054210000}"/>
    <cellStyle name="Nuovo 39" xfId="8533" xr:uid="{00000000-0005-0000-0000-000055210000}"/>
    <cellStyle name="Nuovo 39 2" xfId="8534" xr:uid="{00000000-0005-0000-0000-000056210000}"/>
    <cellStyle name="Nuovo 39 2 2" xfId="8535" xr:uid="{00000000-0005-0000-0000-000057210000}"/>
    <cellStyle name="Nuovo 39 2 2 2" xfId="8536" xr:uid="{00000000-0005-0000-0000-000058210000}"/>
    <cellStyle name="Nuovo 39 2 3" xfId="8537" xr:uid="{00000000-0005-0000-0000-000059210000}"/>
    <cellStyle name="Nuovo 39 3" xfId="8538" xr:uid="{00000000-0005-0000-0000-00005A210000}"/>
    <cellStyle name="Nuovo 39 3 2" xfId="8539" xr:uid="{00000000-0005-0000-0000-00005B210000}"/>
    <cellStyle name="Nuovo 39 3 2 2" xfId="8540" xr:uid="{00000000-0005-0000-0000-00005C210000}"/>
    <cellStyle name="Nuovo 39 3 2 3" xfId="8541" xr:uid="{00000000-0005-0000-0000-00005D210000}"/>
    <cellStyle name="Nuovo 39 3 2 3 2" xfId="8542" xr:uid="{00000000-0005-0000-0000-00005E210000}"/>
    <cellStyle name="Nuovo 39 3 3" xfId="8543" xr:uid="{00000000-0005-0000-0000-00005F210000}"/>
    <cellStyle name="Nuovo 39 3 3 2" xfId="8544" xr:uid="{00000000-0005-0000-0000-000060210000}"/>
    <cellStyle name="Nuovo 39 3 4" xfId="8545" xr:uid="{00000000-0005-0000-0000-000061210000}"/>
    <cellStyle name="Nuovo 39 3 4 2" xfId="8546" xr:uid="{00000000-0005-0000-0000-000062210000}"/>
    <cellStyle name="Nuovo 39 3 5" xfId="8547" xr:uid="{00000000-0005-0000-0000-000063210000}"/>
    <cellStyle name="Nuovo 39 4" xfId="8548" xr:uid="{00000000-0005-0000-0000-000064210000}"/>
    <cellStyle name="Nuovo 39 4 2" xfId="8549" xr:uid="{00000000-0005-0000-0000-000065210000}"/>
    <cellStyle name="Nuovo 39 4 2 2" xfId="8550" xr:uid="{00000000-0005-0000-0000-000066210000}"/>
    <cellStyle name="Nuovo 39 4 3" xfId="8551" xr:uid="{00000000-0005-0000-0000-000067210000}"/>
    <cellStyle name="Nuovo 39 5" xfId="8552" xr:uid="{00000000-0005-0000-0000-000068210000}"/>
    <cellStyle name="Nuovo 39 6" xfId="8553" xr:uid="{00000000-0005-0000-0000-000069210000}"/>
    <cellStyle name="Nuovo 39 6 2" xfId="8554" xr:uid="{00000000-0005-0000-0000-00006A210000}"/>
    <cellStyle name="Nuovo 4" xfId="8555" xr:uid="{00000000-0005-0000-0000-00006B210000}"/>
    <cellStyle name="Nuovo 4 2" xfId="8556" xr:uid="{00000000-0005-0000-0000-00006C210000}"/>
    <cellStyle name="Nuovo 4 2 2" xfId="8557" xr:uid="{00000000-0005-0000-0000-00006D210000}"/>
    <cellStyle name="Nuovo 4 2 2 2" xfId="8558" xr:uid="{00000000-0005-0000-0000-00006E210000}"/>
    <cellStyle name="Nuovo 4 2 3" xfId="8559" xr:uid="{00000000-0005-0000-0000-00006F210000}"/>
    <cellStyle name="Nuovo 4 3" xfId="8560" xr:uid="{00000000-0005-0000-0000-000070210000}"/>
    <cellStyle name="Nuovo 4 3 2" xfId="8561" xr:uid="{00000000-0005-0000-0000-000071210000}"/>
    <cellStyle name="Nuovo 4 3 2 2" xfId="8562" xr:uid="{00000000-0005-0000-0000-000072210000}"/>
    <cellStyle name="Nuovo 4 3 2 3" xfId="8563" xr:uid="{00000000-0005-0000-0000-000073210000}"/>
    <cellStyle name="Nuovo 4 3 2 3 2" xfId="8564" xr:uid="{00000000-0005-0000-0000-000074210000}"/>
    <cellStyle name="Nuovo 4 3 3" xfId="8565" xr:uid="{00000000-0005-0000-0000-000075210000}"/>
    <cellStyle name="Nuovo 4 3 3 2" xfId="8566" xr:uid="{00000000-0005-0000-0000-000076210000}"/>
    <cellStyle name="Nuovo 4 3 4" xfId="8567" xr:uid="{00000000-0005-0000-0000-000077210000}"/>
    <cellStyle name="Nuovo 4 3 4 2" xfId="8568" xr:uid="{00000000-0005-0000-0000-000078210000}"/>
    <cellStyle name="Nuovo 4 3 5" xfId="8569" xr:uid="{00000000-0005-0000-0000-000079210000}"/>
    <cellStyle name="Nuovo 4 4" xfId="8570" xr:uid="{00000000-0005-0000-0000-00007A210000}"/>
    <cellStyle name="Nuovo 4 4 2" xfId="8571" xr:uid="{00000000-0005-0000-0000-00007B210000}"/>
    <cellStyle name="Nuovo 4 4 2 2" xfId="8572" xr:uid="{00000000-0005-0000-0000-00007C210000}"/>
    <cellStyle name="Nuovo 4 4 3" xfId="8573" xr:uid="{00000000-0005-0000-0000-00007D210000}"/>
    <cellStyle name="Nuovo 4 5" xfId="8574" xr:uid="{00000000-0005-0000-0000-00007E210000}"/>
    <cellStyle name="Nuovo 4 6" xfId="8575" xr:uid="{00000000-0005-0000-0000-00007F210000}"/>
    <cellStyle name="Nuovo 4 6 2" xfId="8576" xr:uid="{00000000-0005-0000-0000-000080210000}"/>
    <cellStyle name="Nuovo 40" xfId="8577" xr:uid="{00000000-0005-0000-0000-000081210000}"/>
    <cellStyle name="Nuovo 40 2" xfId="8578" xr:uid="{00000000-0005-0000-0000-000082210000}"/>
    <cellStyle name="Nuovo 40 2 2" xfId="8579" xr:uid="{00000000-0005-0000-0000-000083210000}"/>
    <cellStyle name="Nuovo 40 2 2 2" xfId="8580" xr:uid="{00000000-0005-0000-0000-000084210000}"/>
    <cellStyle name="Nuovo 40 2 3" xfId="8581" xr:uid="{00000000-0005-0000-0000-000085210000}"/>
    <cellStyle name="Nuovo 40 3" xfId="8582" xr:uid="{00000000-0005-0000-0000-000086210000}"/>
    <cellStyle name="Nuovo 40 3 2" xfId="8583" xr:uid="{00000000-0005-0000-0000-000087210000}"/>
    <cellStyle name="Nuovo 40 3 2 2" xfId="8584" xr:uid="{00000000-0005-0000-0000-000088210000}"/>
    <cellStyle name="Nuovo 40 3 2 3" xfId="8585" xr:uid="{00000000-0005-0000-0000-000089210000}"/>
    <cellStyle name="Nuovo 40 3 2 3 2" xfId="8586" xr:uid="{00000000-0005-0000-0000-00008A210000}"/>
    <cellStyle name="Nuovo 40 3 3" xfId="8587" xr:uid="{00000000-0005-0000-0000-00008B210000}"/>
    <cellStyle name="Nuovo 40 3 3 2" xfId="8588" xr:uid="{00000000-0005-0000-0000-00008C210000}"/>
    <cellStyle name="Nuovo 40 3 4" xfId="8589" xr:uid="{00000000-0005-0000-0000-00008D210000}"/>
    <cellStyle name="Nuovo 40 3 4 2" xfId="8590" xr:uid="{00000000-0005-0000-0000-00008E210000}"/>
    <cellStyle name="Nuovo 40 3 5" xfId="8591" xr:uid="{00000000-0005-0000-0000-00008F210000}"/>
    <cellStyle name="Nuovo 40 4" xfId="8592" xr:uid="{00000000-0005-0000-0000-000090210000}"/>
    <cellStyle name="Nuovo 40 4 2" xfId="8593" xr:uid="{00000000-0005-0000-0000-000091210000}"/>
    <cellStyle name="Nuovo 40 4 2 2" xfId="8594" xr:uid="{00000000-0005-0000-0000-000092210000}"/>
    <cellStyle name="Nuovo 40 4 3" xfId="8595" xr:uid="{00000000-0005-0000-0000-000093210000}"/>
    <cellStyle name="Nuovo 40 5" xfId="8596" xr:uid="{00000000-0005-0000-0000-000094210000}"/>
    <cellStyle name="Nuovo 40 6" xfId="8597" xr:uid="{00000000-0005-0000-0000-000095210000}"/>
    <cellStyle name="Nuovo 40 6 2" xfId="8598" xr:uid="{00000000-0005-0000-0000-000096210000}"/>
    <cellStyle name="Nuovo 41" xfId="8599" xr:uid="{00000000-0005-0000-0000-000097210000}"/>
    <cellStyle name="Nuovo 41 2" xfId="8600" xr:uid="{00000000-0005-0000-0000-000098210000}"/>
    <cellStyle name="Nuovo 41 2 2" xfId="8601" xr:uid="{00000000-0005-0000-0000-000099210000}"/>
    <cellStyle name="Nuovo 41 2 2 2" xfId="8602" xr:uid="{00000000-0005-0000-0000-00009A210000}"/>
    <cellStyle name="Nuovo 41 2 3" xfId="8603" xr:uid="{00000000-0005-0000-0000-00009B210000}"/>
    <cellStyle name="Nuovo 41 3" xfId="8604" xr:uid="{00000000-0005-0000-0000-00009C210000}"/>
    <cellStyle name="Nuovo 41 3 2" xfId="8605" xr:uid="{00000000-0005-0000-0000-00009D210000}"/>
    <cellStyle name="Nuovo 41 3 2 2" xfId="8606" xr:uid="{00000000-0005-0000-0000-00009E210000}"/>
    <cellStyle name="Nuovo 41 3 2 3" xfId="8607" xr:uid="{00000000-0005-0000-0000-00009F210000}"/>
    <cellStyle name="Nuovo 41 3 2 3 2" xfId="8608" xr:uid="{00000000-0005-0000-0000-0000A0210000}"/>
    <cellStyle name="Nuovo 41 3 3" xfId="8609" xr:uid="{00000000-0005-0000-0000-0000A1210000}"/>
    <cellStyle name="Nuovo 41 3 3 2" xfId="8610" xr:uid="{00000000-0005-0000-0000-0000A2210000}"/>
    <cellStyle name="Nuovo 41 3 4" xfId="8611" xr:uid="{00000000-0005-0000-0000-0000A3210000}"/>
    <cellStyle name="Nuovo 41 3 4 2" xfId="8612" xr:uid="{00000000-0005-0000-0000-0000A4210000}"/>
    <cellStyle name="Nuovo 41 3 5" xfId="8613" xr:uid="{00000000-0005-0000-0000-0000A5210000}"/>
    <cellStyle name="Nuovo 41 4" xfId="8614" xr:uid="{00000000-0005-0000-0000-0000A6210000}"/>
    <cellStyle name="Nuovo 41 4 2" xfId="8615" xr:uid="{00000000-0005-0000-0000-0000A7210000}"/>
    <cellStyle name="Nuovo 41 4 2 2" xfId="8616" xr:uid="{00000000-0005-0000-0000-0000A8210000}"/>
    <cellStyle name="Nuovo 41 4 3" xfId="8617" xr:uid="{00000000-0005-0000-0000-0000A9210000}"/>
    <cellStyle name="Nuovo 41 5" xfId="8618" xr:uid="{00000000-0005-0000-0000-0000AA210000}"/>
    <cellStyle name="Nuovo 41 6" xfId="8619" xr:uid="{00000000-0005-0000-0000-0000AB210000}"/>
    <cellStyle name="Nuovo 41 6 2" xfId="8620" xr:uid="{00000000-0005-0000-0000-0000AC210000}"/>
    <cellStyle name="Nuovo 42" xfId="8621" xr:uid="{00000000-0005-0000-0000-0000AD210000}"/>
    <cellStyle name="Nuovo 42 2" xfId="8622" xr:uid="{00000000-0005-0000-0000-0000AE210000}"/>
    <cellStyle name="Nuovo 42 2 2" xfId="8623" xr:uid="{00000000-0005-0000-0000-0000AF210000}"/>
    <cellStyle name="Nuovo 42 2 2 2" xfId="8624" xr:uid="{00000000-0005-0000-0000-0000B0210000}"/>
    <cellStyle name="Nuovo 42 2 3" xfId="8625" xr:uid="{00000000-0005-0000-0000-0000B1210000}"/>
    <cellStyle name="Nuovo 42 3" xfId="8626" xr:uid="{00000000-0005-0000-0000-0000B2210000}"/>
    <cellStyle name="Nuovo 42 3 2" xfId="8627" xr:uid="{00000000-0005-0000-0000-0000B3210000}"/>
    <cellStyle name="Nuovo 42 3 2 2" xfId="8628" xr:uid="{00000000-0005-0000-0000-0000B4210000}"/>
    <cellStyle name="Nuovo 42 3 2 3" xfId="8629" xr:uid="{00000000-0005-0000-0000-0000B5210000}"/>
    <cellStyle name="Nuovo 42 3 2 3 2" xfId="8630" xr:uid="{00000000-0005-0000-0000-0000B6210000}"/>
    <cellStyle name="Nuovo 42 3 3" xfId="8631" xr:uid="{00000000-0005-0000-0000-0000B7210000}"/>
    <cellStyle name="Nuovo 42 3 3 2" xfId="8632" xr:uid="{00000000-0005-0000-0000-0000B8210000}"/>
    <cellStyle name="Nuovo 42 3 4" xfId="8633" xr:uid="{00000000-0005-0000-0000-0000B9210000}"/>
    <cellStyle name="Nuovo 42 3 4 2" xfId="8634" xr:uid="{00000000-0005-0000-0000-0000BA210000}"/>
    <cellStyle name="Nuovo 42 3 5" xfId="8635" xr:uid="{00000000-0005-0000-0000-0000BB210000}"/>
    <cellStyle name="Nuovo 42 4" xfId="8636" xr:uid="{00000000-0005-0000-0000-0000BC210000}"/>
    <cellStyle name="Nuovo 42 4 2" xfId="8637" xr:uid="{00000000-0005-0000-0000-0000BD210000}"/>
    <cellStyle name="Nuovo 42 4 2 2" xfId="8638" xr:uid="{00000000-0005-0000-0000-0000BE210000}"/>
    <cellStyle name="Nuovo 42 4 3" xfId="8639" xr:uid="{00000000-0005-0000-0000-0000BF210000}"/>
    <cellStyle name="Nuovo 42 5" xfId="8640" xr:uid="{00000000-0005-0000-0000-0000C0210000}"/>
    <cellStyle name="Nuovo 42 6" xfId="8641" xr:uid="{00000000-0005-0000-0000-0000C1210000}"/>
    <cellStyle name="Nuovo 42 6 2" xfId="8642" xr:uid="{00000000-0005-0000-0000-0000C2210000}"/>
    <cellStyle name="Nuovo 43" xfId="8643" xr:uid="{00000000-0005-0000-0000-0000C3210000}"/>
    <cellStyle name="Nuovo 43 2" xfId="8644" xr:uid="{00000000-0005-0000-0000-0000C4210000}"/>
    <cellStyle name="Nuovo 43 2 2" xfId="8645" xr:uid="{00000000-0005-0000-0000-0000C5210000}"/>
    <cellStyle name="Nuovo 43 2 2 2" xfId="8646" xr:uid="{00000000-0005-0000-0000-0000C6210000}"/>
    <cellStyle name="Nuovo 43 2 3" xfId="8647" xr:uid="{00000000-0005-0000-0000-0000C7210000}"/>
    <cellStyle name="Nuovo 43 3" xfId="8648" xr:uid="{00000000-0005-0000-0000-0000C8210000}"/>
    <cellStyle name="Nuovo 43 3 2" xfId="8649" xr:uid="{00000000-0005-0000-0000-0000C9210000}"/>
    <cellStyle name="Nuovo 43 3 2 2" xfId="8650" xr:uid="{00000000-0005-0000-0000-0000CA210000}"/>
    <cellStyle name="Nuovo 43 3 2 3" xfId="8651" xr:uid="{00000000-0005-0000-0000-0000CB210000}"/>
    <cellStyle name="Nuovo 43 3 2 3 2" xfId="8652" xr:uid="{00000000-0005-0000-0000-0000CC210000}"/>
    <cellStyle name="Nuovo 43 3 3" xfId="8653" xr:uid="{00000000-0005-0000-0000-0000CD210000}"/>
    <cellStyle name="Nuovo 43 3 3 2" xfId="8654" xr:uid="{00000000-0005-0000-0000-0000CE210000}"/>
    <cellStyle name="Nuovo 43 3 4" xfId="8655" xr:uid="{00000000-0005-0000-0000-0000CF210000}"/>
    <cellStyle name="Nuovo 43 3 4 2" xfId="8656" xr:uid="{00000000-0005-0000-0000-0000D0210000}"/>
    <cellStyle name="Nuovo 43 3 5" xfId="8657" xr:uid="{00000000-0005-0000-0000-0000D1210000}"/>
    <cellStyle name="Nuovo 43 4" xfId="8658" xr:uid="{00000000-0005-0000-0000-0000D2210000}"/>
    <cellStyle name="Nuovo 43 4 2" xfId="8659" xr:uid="{00000000-0005-0000-0000-0000D3210000}"/>
    <cellStyle name="Nuovo 43 4 2 2" xfId="8660" xr:uid="{00000000-0005-0000-0000-0000D4210000}"/>
    <cellStyle name="Nuovo 43 4 3" xfId="8661" xr:uid="{00000000-0005-0000-0000-0000D5210000}"/>
    <cellStyle name="Nuovo 43 5" xfId="8662" xr:uid="{00000000-0005-0000-0000-0000D6210000}"/>
    <cellStyle name="Nuovo 43 6" xfId="8663" xr:uid="{00000000-0005-0000-0000-0000D7210000}"/>
    <cellStyle name="Nuovo 43 6 2" xfId="8664" xr:uid="{00000000-0005-0000-0000-0000D8210000}"/>
    <cellStyle name="Nuovo 44" xfId="8665" xr:uid="{00000000-0005-0000-0000-0000D9210000}"/>
    <cellStyle name="Nuovo 44 2" xfId="8666" xr:uid="{00000000-0005-0000-0000-0000DA210000}"/>
    <cellStyle name="Nuovo 44 2 2" xfId="8667" xr:uid="{00000000-0005-0000-0000-0000DB210000}"/>
    <cellStyle name="Nuovo 44 2 2 2" xfId="8668" xr:uid="{00000000-0005-0000-0000-0000DC210000}"/>
    <cellStyle name="Nuovo 44 2 3" xfId="8669" xr:uid="{00000000-0005-0000-0000-0000DD210000}"/>
    <cellStyle name="Nuovo 44 3" xfId="8670" xr:uid="{00000000-0005-0000-0000-0000DE210000}"/>
    <cellStyle name="Nuovo 44 3 2" xfId="8671" xr:uid="{00000000-0005-0000-0000-0000DF210000}"/>
    <cellStyle name="Nuovo 44 3 2 2" xfId="8672" xr:uid="{00000000-0005-0000-0000-0000E0210000}"/>
    <cellStyle name="Nuovo 44 3 2 3" xfId="8673" xr:uid="{00000000-0005-0000-0000-0000E1210000}"/>
    <cellStyle name="Nuovo 44 3 2 3 2" xfId="8674" xr:uid="{00000000-0005-0000-0000-0000E2210000}"/>
    <cellStyle name="Nuovo 44 3 3" xfId="8675" xr:uid="{00000000-0005-0000-0000-0000E3210000}"/>
    <cellStyle name="Nuovo 44 3 3 2" xfId="8676" xr:uid="{00000000-0005-0000-0000-0000E4210000}"/>
    <cellStyle name="Nuovo 44 3 4" xfId="8677" xr:uid="{00000000-0005-0000-0000-0000E5210000}"/>
    <cellStyle name="Nuovo 44 3 4 2" xfId="8678" xr:uid="{00000000-0005-0000-0000-0000E6210000}"/>
    <cellStyle name="Nuovo 44 3 5" xfId="8679" xr:uid="{00000000-0005-0000-0000-0000E7210000}"/>
    <cellStyle name="Nuovo 44 4" xfId="8680" xr:uid="{00000000-0005-0000-0000-0000E8210000}"/>
    <cellStyle name="Nuovo 44 4 2" xfId="8681" xr:uid="{00000000-0005-0000-0000-0000E9210000}"/>
    <cellStyle name="Nuovo 44 4 2 2" xfId="8682" xr:uid="{00000000-0005-0000-0000-0000EA210000}"/>
    <cellStyle name="Nuovo 44 4 3" xfId="8683" xr:uid="{00000000-0005-0000-0000-0000EB210000}"/>
    <cellStyle name="Nuovo 44 5" xfId="8684" xr:uid="{00000000-0005-0000-0000-0000EC210000}"/>
    <cellStyle name="Nuovo 44 6" xfId="8685" xr:uid="{00000000-0005-0000-0000-0000ED210000}"/>
    <cellStyle name="Nuovo 44 6 2" xfId="8686" xr:uid="{00000000-0005-0000-0000-0000EE210000}"/>
    <cellStyle name="Nuovo 45" xfId="8687" xr:uid="{00000000-0005-0000-0000-0000EF210000}"/>
    <cellStyle name="Nuovo 45 2" xfId="8688" xr:uid="{00000000-0005-0000-0000-0000F0210000}"/>
    <cellStyle name="Nuovo 45 2 2" xfId="8689" xr:uid="{00000000-0005-0000-0000-0000F1210000}"/>
    <cellStyle name="Nuovo 45 3" xfId="8690" xr:uid="{00000000-0005-0000-0000-0000F2210000}"/>
    <cellStyle name="Nuovo 46" xfId="8691" xr:uid="{00000000-0005-0000-0000-0000F3210000}"/>
    <cellStyle name="Nuovo 46 2" xfId="8692" xr:uid="{00000000-0005-0000-0000-0000F4210000}"/>
    <cellStyle name="Nuovo 46 2 2" xfId="8693" xr:uid="{00000000-0005-0000-0000-0000F5210000}"/>
    <cellStyle name="Nuovo 46 2 3" xfId="8694" xr:uid="{00000000-0005-0000-0000-0000F6210000}"/>
    <cellStyle name="Nuovo 46 2 3 2" xfId="8695" xr:uid="{00000000-0005-0000-0000-0000F7210000}"/>
    <cellStyle name="Nuovo 46 3" xfId="8696" xr:uid="{00000000-0005-0000-0000-0000F8210000}"/>
    <cellStyle name="Nuovo 46 3 2" xfId="8697" xr:uid="{00000000-0005-0000-0000-0000F9210000}"/>
    <cellStyle name="Nuovo 46 4" xfId="8698" xr:uid="{00000000-0005-0000-0000-0000FA210000}"/>
    <cellStyle name="Nuovo 46 4 2" xfId="8699" xr:uid="{00000000-0005-0000-0000-0000FB210000}"/>
    <cellStyle name="Nuovo 46 5" xfId="8700" xr:uid="{00000000-0005-0000-0000-0000FC210000}"/>
    <cellStyle name="Nuovo 47" xfId="8701" xr:uid="{00000000-0005-0000-0000-0000FD210000}"/>
    <cellStyle name="Nuovo 47 2" xfId="8702" xr:uid="{00000000-0005-0000-0000-0000FE210000}"/>
    <cellStyle name="Nuovo 47 2 2" xfId="8703" xr:uid="{00000000-0005-0000-0000-0000FF210000}"/>
    <cellStyle name="Nuovo 47 3" xfId="8704" xr:uid="{00000000-0005-0000-0000-000000220000}"/>
    <cellStyle name="Nuovo 48" xfId="8705" xr:uid="{00000000-0005-0000-0000-000001220000}"/>
    <cellStyle name="Nuovo 49" xfId="8706" xr:uid="{00000000-0005-0000-0000-000002220000}"/>
    <cellStyle name="Nuovo 49 2" xfId="8707" xr:uid="{00000000-0005-0000-0000-000003220000}"/>
    <cellStyle name="Nuovo 5" xfId="8708" xr:uid="{00000000-0005-0000-0000-000004220000}"/>
    <cellStyle name="Nuovo 5 2" xfId="8709" xr:uid="{00000000-0005-0000-0000-000005220000}"/>
    <cellStyle name="Nuovo 5 2 2" xfId="8710" xr:uid="{00000000-0005-0000-0000-000006220000}"/>
    <cellStyle name="Nuovo 5 2 2 2" xfId="8711" xr:uid="{00000000-0005-0000-0000-000007220000}"/>
    <cellStyle name="Nuovo 5 2 3" xfId="8712" xr:uid="{00000000-0005-0000-0000-000008220000}"/>
    <cellStyle name="Nuovo 5 3" xfId="8713" xr:uid="{00000000-0005-0000-0000-000009220000}"/>
    <cellStyle name="Nuovo 5 3 2" xfId="8714" xr:uid="{00000000-0005-0000-0000-00000A220000}"/>
    <cellStyle name="Nuovo 5 3 2 2" xfId="8715" xr:uid="{00000000-0005-0000-0000-00000B220000}"/>
    <cellStyle name="Nuovo 5 3 2 3" xfId="8716" xr:uid="{00000000-0005-0000-0000-00000C220000}"/>
    <cellStyle name="Nuovo 5 3 2 3 2" xfId="8717" xr:uid="{00000000-0005-0000-0000-00000D220000}"/>
    <cellStyle name="Nuovo 5 3 3" xfId="8718" xr:uid="{00000000-0005-0000-0000-00000E220000}"/>
    <cellStyle name="Nuovo 5 3 3 2" xfId="8719" xr:uid="{00000000-0005-0000-0000-00000F220000}"/>
    <cellStyle name="Nuovo 5 3 4" xfId="8720" xr:uid="{00000000-0005-0000-0000-000010220000}"/>
    <cellStyle name="Nuovo 5 3 4 2" xfId="8721" xr:uid="{00000000-0005-0000-0000-000011220000}"/>
    <cellStyle name="Nuovo 5 3 5" xfId="8722" xr:uid="{00000000-0005-0000-0000-000012220000}"/>
    <cellStyle name="Nuovo 5 4" xfId="8723" xr:uid="{00000000-0005-0000-0000-000013220000}"/>
    <cellStyle name="Nuovo 5 4 2" xfId="8724" xr:uid="{00000000-0005-0000-0000-000014220000}"/>
    <cellStyle name="Nuovo 5 4 2 2" xfId="8725" xr:uid="{00000000-0005-0000-0000-000015220000}"/>
    <cellStyle name="Nuovo 5 4 3" xfId="8726" xr:uid="{00000000-0005-0000-0000-000016220000}"/>
    <cellStyle name="Nuovo 5 5" xfId="8727" xr:uid="{00000000-0005-0000-0000-000017220000}"/>
    <cellStyle name="Nuovo 5 6" xfId="8728" xr:uid="{00000000-0005-0000-0000-000018220000}"/>
    <cellStyle name="Nuovo 5 6 2" xfId="8729" xr:uid="{00000000-0005-0000-0000-000019220000}"/>
    <cellStyle name="Nuovo 6" xfId="8730" xr:uid="{00000000-0005-0000-0000-00001A220000}"/>
    <cellStyle name="Nuovo 6 2" xfId="8731" xr:uid="{00000000-0005-0000-0000-00001B220000}"/>
    <cellStyle name="Nuovo 6 2 2" xfId="8732" xr:uid="{00000000-0005-0000-0000-00001C220000}"/>
    <cellStyle name="Nuovo 6 2 2 2" xfId="8733" xr:uid="{00000000-0005-0000-0000-00001D220000}"/>
    <cellStyle name="Nuovo 6 2 3" xfId="8734" xr:uid="{00000000-0005-0000-0000-00001E220000}"/>
    <cellStyle name="Nuovo 6 3" xfId="8735" xr:uid="{00000000-0005-0000-0000-00001F220000}"/>
    <cellStyle name="Nuovo 6 3 2" xfId="8736" xr:uid="{00000000-0005-0000-0000-000020220000}"/>
    <cellStyle name="Nuovo 6 3 2 2" xfId="8737" xr:uid="{00000000-0005-0000-0000-000021220000}"/>
    <cellStyle name="Nuovo 6 3 2 3" xfId="8738" xr:uid="{00000000-0005-0000-0000-000022220000}"/>
    <cellStyle name="Nuovo 6 3 2 3 2" xfId="8739" xr:uid="{00000000-0005-0000-0000-000023220000}"/>
    <cellStyle name="Nuovo 6 3 3" xfId="8740" xr:uid="{00000000-0005-0000-0000-000024220000}"/>
    <cellStyle name="Nuovo 6 3 3 2" xfId="8741" xr:uid="{00000000-0005-0000-0000-000025220000}"/>
    <cellStyle name="Nuovo 6 3 4" xfId="8742" xr:uid="{00000000-0005-0000-0000-000026220000}"/>
    <cellStyle name="Nuovo 6 3 4 2" xfId="8743" xr:uid="{00000000-0005-0000-0000-000027220000}"/>
    <cellStyle name="Nuovo 6 3 5" xfId="8744" xr:uid="{00000000-0005-0000-0000-000028220000}"/>
    <cellStyle name="Nuovo 6 4" xfId="8745" xr:uid="{00000000-0005-0000-0000-000029220000}"/>
    <cellStyle name="Nuovo 6 4 2" xfId="8746" xr:uid="{00000000-0005-0000-0000-00002A220000}"/>
    <cellStyle name="Nuovo 6 4 2 2" xfId="8747" xr:uid="{00000000-0005-0000-0000-00002B220000}"/>
    <cellStyle name="Nuovo 6 4 3" xfId="8748" xr:uid="{00000000-0005-0000-0000-00002C220000}"/>
    <cellStyle name="Nuovo 6 5" xfId="8749" xr:uid="{00000000-0005-0000-0000-00002D220000}"/>
    <cellStyle name="Nuovo 6 6" xfId="8750" xr:uid="{00000000-0005-0000-0000-00002E220000}"/>
    <cellStyle name="Nuovo 6 6 2" xfId="8751" xr:uid="{00000000-0005-0000-0000-00002F220000}"/>
    <cellStyle name="Nuovo 7" xfId="8752" xr:uid="{00000000-0005-0000-0000-000030220000}"/>
    <cellStyle name="Nuovo 7 2" xfId="8753" xr:uid="{00000000-0005-0000-0000-000031220000}"/>
    <cellStyle name="Nuovo 7 2 2" xfId="8754" xr:uid="{00000000-0005-0000-0000-000032220000}"/>
    <cellStyle name="Nuovo 7 2 2 2" xfId="8755" xr:uid="{00000000-0005-0000-0000-000033220000}"/>
    <cellStyle name="Nuovo 7 2 3" xfId="8756" xr:uid="{00000000-0005-0000-0000-000034220000}"/>
    <cellStyle name="Nuovo 7 3" xfId="8757" xr:uid="{00000000-0005-0000-0000-000035220000}"/>
    <cellStyle name="Nuovo 7 3 2" xfId="8758" xr:uid="{00000000-0005-0000-0000-000036220000}"/>
    <cellStyle name="Nuovo 7 3 2 2" xfId="8759" xr:uid="{00000000-0005-0000-0000-000037220000}"/>
    <cellStyle name="Nuovo 7 3 2 3" xfId="8760" xr:uid="{00000000-0005-0000-0000-000038220000}"/>
    <cellStyle name="Nuovo 7 3 2 3 2" xfId="8761" xr:uid="{00000000-0005-0000-0000-000039220000}"/>
    <cellStyle name="Nuovo 7 3 3" xfId="8762" xr:uid="{00000000-0005-0000-0000-00003A220000}"/>
    <cellStyle name="Nuovo 7 3 3 2" xfId="8763" xr:uid="{00000000-0005-0000-0000-00003B220000}"/>
    <cellStyle name="Nuovo 7 3 4" xfId="8764" xr:uid="{00000000-0005-0000-0000-00003C220000}"/>
    <cellStyle name="Nuovo 7 3 4 2" xfId="8765" xr:uid="{00000000-0005-0000-0000-00003D220000}"/>
    <cellStyle name="Nuovo 7 3 5" xfId="8766" xr:uid="{00000000-0005-0000-0000-00003E220000}"/>
    <cellStyle name="Nuovo 7 4" xfId="8767" xr:uid="{00000000-0005-0000-0000-00003F220000}"/>
    <cellStyle name="Nuovo 7 4 2" xfId="8768" xr:uid="{00000000-0005-0000-0000-000040220000}"/>
    <cellStyle name="Nuovo 7 4 2 2" xfId="8769" xr:uid="{00000000-0005-0000-0000-000041220000}"/>
    <cellStyle name="Nuovo 7 4 3" xfId="8770" xr:uid="{00000000-0005-0000-0000-000042220000}"/>
    <cellStyle name="Nuovo 7 5" xfId="8771" xr:uid="{00000000-0005-0000-0000-000043220000}"/>
    <cellStyle name="Nuovo 7 6" xfId="8772" xr:uid="{00000000-0005-0000-0000-000044220000}"/>
    <cellStyle name="Nuovo 7 6 2" xfId="8773" xr:uid="{00000000-0005-0000-0000-000045220000}"/>
    <cellStyle name="Nuovo 8" xfId="8774" xr:uid="{00000000-0005-0000-0000-000046220000}"/>
    <cellStyle name="Nuovo 8 2" xfId="8775" xr:uid="{00000000-0005-0000-0000-000047220000}"/>
    <cellStyle name="Nuovo 8 2 2" xfId="8776" xr:uid="{00000000-0005-0000-0000-000048220000}"/>
    <cellStyle name="Nuovo 8 2 2 2" xfId="8777" xr:uid="{00000000-0005-0000-0000-000049220000}"/>
    <cellStyle name="Nuovo 8 2 3" xfId="8778" xr:uid="{00000000-0005-0000-0000-00004A220000}"/>
    <cellStyle name="Nuovo 8 3" xfId="8779" xr:uid="{00000000-0005-0000-0000-00004B220000}"/>
    <cellStyle name="Nuovo 8 3 2" xfId="8780" xr:uid="{00000000-0005-0000-0000-00004C220000}"/>
    <cellStyle name="Nuovo 8 3 2 2" xfId="8781" xr:uid="{00000000-0005-0000-0000-00004D220000}"/>
    <cellStyle name="Nuovo 8 3 2 3" xfId="8782" xr:uid="{00000000-0005-0000-0000-00004E220000}"/>
    <cellStyle name="Nuovo 8 3 2 3 2" xfId="8783" xr:uid="{00000000-0005-0000-0000-00004F220000}"/>
    <cellStyle name="Nuovo 8 3 3" xfId="8784" xr:uid="{00000000-0005-0000-0000-000050220000}"/>
    <cellStyle name="Nuovo 8 3 3 2" xfId="8785" xr:uid="{00000000-0005-0000-0000-000051220000}"/>
    <cellStyle name="Nuovo 8 3 4" xfId="8786" xr:uid="{00000000-0005-0000-0000-000052220000}"/>
    <cellStyle name="Nuovo 8 3 4 2" xfId="8787" xr:uid="{00000000-0005-0000-0000-000053220000}"/>
    <cellStyle name="Nuovo 8 3 5" xfId="8788" xr:uid="{00000000-0005-0000-0000-000054220000}"/>
    <cellStyle name="Nuovo 8 4" xfId="8789" xr:uid="{00000000-0005-0000-0000-000055220000}"/>
    <cellStyle name="Nuovo 8 4 2" xfId="8790" xr:uid="{00000000-0005-0000-0000-000056220000}"/>
    <cellStyle name="Nuovo 8 4 2 2" xfId="8791" xr:uid="{00000000-0005-0000-0000-000057220000}"/>
    <cellStyle name="Nuovo 8 4 3" xfId="8792" xr:uid="{00000000-0005-0000-0000-000058220000}"/>
    <cellStyle name="Nuovo 8 5" xfId="8793" xr:uid="{00000000-0005-0000-0000-000059220000}"/>
    <cellStyle name="Nuovo 8 6" xfId="8794" xr:uid="{00000000-0005-0000-0000-00005A220000}"/>
    <cellStyle name="Nuovo 8 6 2" xfId="8795" xr:uid="{00000000-0005-0000-0000-00005B220000}"/>
    <cellStyle name="Nuovo 9" xfId="8796" xr:uid="{00000000-0005-0000-0000-00005C220000}"/>
    <cellStyle name="Nuovo 9 2" xfId="8797" xr:uid="{00000000-0005-0000-0000-00005D220000}"/>
    <cellStyle name="Nuovo 9 2 2" xfId="8798" xr:uid="{00000000-0005-0000-0000-00005E220000}"/>
    <cellStyle name="Nuovo 9 2 2 2" xfId="8799" xr:uid="{00000000-0005-0000-0000-00005F220000}"/>
    <cellStyle name="Nuovo 9 2 3" xfId="8800" xr:uid="{00000000-0005-0000-0000-000060220000}"/>
    <cellStyle name="Nuovo 9 3" xfId="8801" xr:uid="{00000000-0005-0000-0000-000061220000}"/>
    <cellStyle name="Nuovo 9 3 2" xfId="8802" xr:uid="{00000000-0005-0000-0000-000062220000}"/>
    <cellStyle name="Nuovo 9 3 2 2" xfId="8803" xr:uid="{00000000-0005-0000-0000-000063220000}"/>
    <cellStyle name="Nuovo 9 3 2 3" xfId="8804" xr:uid="{00000000-0005-0000-0000-000064220000}"/>
    <cellStyle name="Nuovo 9 3 2 3 2" xfId="8805" xr:uid="{00000000-0005-0000-0000-000065220000}"/>
    <cellStyle name="Nuovo 9 3 3" xfId="8806" xr:uid="{00000000-0005-0000-0000-000066220000}"/>
    <cellStyle name="Nuovo 9 3 3 2" xfId="8807" xr:uid="{00000000-0005-0000-0000-000067220000}"/>
    <cellStyle name="Nuovo 9 3 4" xfId="8808" xr:uid="{00000000-0005-0000-0000-000068220000}"/>
    <cellStyle name="Nuovo 9 3 4 2" xfId="8809" xr:uid="{00000000-0005-0000-0000-000069220000}"/>
    <cellStyle name="Nuovo 9 3 5" xfId="8810" xr:uid="{00000000-0005-0000-0000-00006A220000}"/>
    <cellStyle name="Nuovo 9 4" xfId="8811" xr:uid="{00000000-0005-0000-0000-00006B220000}"/>
    <cellStyle name="Nuovo 9 4 2" xfId="8812" xr:uid="{00000000-0005-0000-0000-00006C220000}"/>
    <cellStyle name="Nuovo 9 4 2 2" xfId="8813" xr:uid="{00000000-0005-0000-0000-00006D220000}"/>
    <cellStyle name="Nuovo 9 4 3" xfId="8814" xr:uid="{00000000-0005-0000-0000-00006E220000}"/>
    <cellStyle name="Nuovo 9 5" xfId="8815" xr:uid="{00000000-0005-0000-0000-00006F220000}"/>
    <cellStyle name="Nuovo 9 6" xfId="8816" xr:uid="{00000000-0005-0000-0000-000070220000}"/>
    <cellStyle name="Nuovo 9 6 2" xfId="8817" xr:uid="{00000000-0005-0000-0000-000071220000}"/>
    <cellStyle name="Output 2" xfId="8818" xr:uid="{00000000-0005-0000-0000-000072220000}"/>
    <cellStyle name="Output 2 2" xfId="8819" xr:uid="{00000000-0005-0000-0000-000073220000}"/>
    <cellStyle name="Output 2 2 2" xfId="8820" xr:uid="{00000000-0005-0000-0000-000074220000}"/>
    <cellStyle name="Output 2 3" xfId="8821" xr:uid="{00000000-0005-0000-0000-000075220000}"/>
    <cellStyle name="Output 2 4" xfId="8822" xr:uid="{00000000-0005-0000-0000-000076220000}"/>
    <cellStyle name="Output 2 5" xfId="8823" xr:uid="{00000000-0005-0000-0000-000077220000}"/>
    <cellStyle name="Output 2 6" xfId="8824" xr:uid="{00000000-0005-0000-0000-000078220000}"/>
    <cellStyle name="Output 3" xfId="8825" xr:uid="{00000000-0005-0000-0000-000079220000}"/>
    <cellStyle name="Output 3 2" xfId="8826" xr:uid="{00000000-0005-0000-0000-00007A220000}"/>
    <cellStyle name="Output 3 2 2" xfId="8827" xr:uid="{00000000-0005-0000-0000-00007B220000}"/>
    <cellStyle name="Output 3 3" xfId="8828" xr:uid="{00000000-0005-0000-0000-00007C220000}"/>
    <cellStyle name="Output 3 3 2" xfId="8829" xr:uid="{00000000-0005-0000-0000-00007D220000}"/>
    <cellStyle name="Output 3 4" xfId="8830" xr:uid="{00000000-0005-0000-0000-00007E220000}"/>
    <cellStyle name="Output 3 4 2" xfId="8831" xr:uid="{00000000-0005-0000-0000-00007F220000}"/>
    <cellStyle name="Output 3 5" xfId="8832" xr:uid="{00000000-0005-0000-0000-000080220000}"/>
    <cellStyle name="Output 4" xfId="8833" xr:uid="{00000000-0005-0000-0000-000081220000}"/>
    <cellStyle name="Overskrift 1 2" xfId="8834" xr:uid="{00000000-0005-0000-0000-000082220000}"/>
    <cellStyle name="Overskrift 2 2" xfId="8835" xr:uid="{00000000-0005-0000-0000-000083220000}"/>
    <cellStyle name="Overskrift 3 2" xfId="8836" xr:uid="{00000000-0005-0000-0000-000084220000}"/>
    <cellStyle name="Overskrift 4 2" xfId="8837" xr:uid="{00000000-0005-0000-0000-000085220000}"/>
    <cellStyle name="Percen - Type1" xfId="8838" xr:uid="{00000000-0005-0000-0000-000086220000}"/>
    <cellStyle name="Percent" xfId="10379" builtinId="5"/>
    <cellStyle name="Percent 10" xfId="10385" xr:uid="{104E961B-819F-430E-AE11-3EDB44E61D22}"/>
    <cellStyle name="Percent 2" xfId="8839" xr:uid="{00000000-0005-0000-0000-000087220000}"/>
    <cellStyle name="Percent 2 2" xfId="8840" xr:uid="{00000000-0005-0000-0000-000088220000}"/>
    <cellStyle name="Percent 2 2 2" xfId="8841" xr:uid="{00000000-0005-0000-0000-000089220000}"/>
    <cellStyle name="Percent 2 2 3" xfId="8842" xr:uid="{00000000-0005-0000-0000-00008A220000}"/>
    <cellStyle name="Percent 2 2 3 2" xfId="8843" xr:uid="{00000000-0005-0000-0000-00008B220000}"/>
    <cellStyle name="Percent 2 2 4" xfId="8844" xr:uid="{00000000-0005-0000-0000-00008C220000}"/>
    <cellStyle name="Percent 2 3" xfId="8845" xr:uid="{00000000-0005-0000-0000-00008D220000}"/>
    <cellStyle name="Percent 2 3 2" xfId="8846" xr:uid="{00000000-0005-0000-0000-00008E220000}"/>
    <cellStyle name="Percent 2 3 3" xfId="8847" xr:uid="{00000000-0005-0000-0000-00008F220000}"/>
    <cellStyle name="Percent 3" xfId="8848" xr:uid="{00000000-0005-0000-0000-000090220000}"/>
    <cellStyle name="Percent 3 2" xfId="8849" xr:uid="{00000000-0005-0000-0000-000091220000}"/>
    <cellStyle name="Percent 3 2 2" xfId="8850" xr:uid="{00000000-0005-0000-0000-000092220000}"/>
    <cellStyle name="Percent 3 2 3" xfId="8851" xr:uid="{00000000-0005-0000-0000-000093220000}"/>
    <cellStyle name="Percent 3 2 4" xfId="8852" xr:uid="{00000000-0005-0000-0000-000094220000}"/>
    <cellStyle name="Percent 3 3" xfId="8853" xr:uid="{00000000-0005-0000-0000-000095220000}"/>
    <cellStyle name="Percent 3 3 2" xfId="8854" xr:uid="{00000000-0005-0000-0000-000096220000}"/>
    <cellStyle name="Percent 3 3 2 2" xfId="8855" xr:uid="{00000000-0005-0000-0000-000097220000}"/>
    <cellStyle name="Percent 3 3 3" xfId="8856" xr:uid="{00000000-0005-0000-0000-000098220000}"/>
    <cellStyle name="Percent 3 3 3 2" xfId="8857" xr:uid="{00000000-0005-0000-0000-000099220000}"/>
    <cellStyle name="Percent 3 3 4" xfId="8858" xr:uid="{00000000-0005-0000-0000-00009A220000}"/>
    <cellStyle name="Percent 3 3 4 2" xfId="8859" xr:uid="{00000000-0005-0000-0000-00009B220000}"/>
    <cellStyle name="Percent 3 3 5" xfId="8860" xr:uid="{00000000-0005-0000-0000-00009C220000}"/>
    <cellStyle name="Percent 3 4" xfId="8861" xr:uid="{00000000-0005-0000-0000-00009D220000}"/>
    <cellStyle name="Percent 3 4 2" xfId="8862" xr:uid="{00000000-0005-0000-0000-00009E220000}"/>
    <cellStyle name="Percent 3 5" xfId="8863" xr:uid="{00000000-0005-0000-0000-00009F220000}"/>
    <cellStyle name="Percent 3 5 2" xfId="8864" xr:uid="{00000000-0005-0000-0000-0000A0220000}"/>
    <cellStyle name="Percent 3 6" xfId="8865" xr:uid="{00000000-0005-0000-0000-0000A1220000}"/>
    <cellStyle name="Percent 4" xfId="8866" xr:uid="{00000000-0005-0000-0000-0000A2220000}"/>
    <cellStyle name="Percent 4 2" xfId="8867" xr:uid="{00000000-0005-0000-0000-0000A3220000}"/>
    <cellStyle name="Percent 4 2 2" xfId="8868" xr:uid="{00000000-0005-0000-0000-0000A4220000}"/>
    <cellStyle name="Percent 4 3" xfId="8869" xr:uid="{00000000-0005-0000-0000-0000A5220000}"/>
    <cellStyle name="Percent 5" xfId="8870" xr:uid="{00000000-0005-0000-0000-0000A6220000}"/>
    <cellStyle name="Percent 6" xfId="8871" xr:uid="{00000000-0005-0000-0000-0000A7220000}"/>
    <cellStyle name="Percent 6 2" xfId="8872" xr:uid="{00000000-0005-0000-0000-0000A8220000}"/>
    <cellStyle name="Percent 6 2 2" xfId="8873" xr:uid="{00000000-0005-0000-0000-0000A9220000}"/>
    <cellStyle name="Percent 6 3" xfId="8874" xr:uid="{00000000-0005-0000-0000-0000AA220000}"/>
    <cellStyle name="Percent 6 3 2" xfId="8875" xr:uid="{00000000-0005-0000-0000-0000AB220000}"/>
    <cellStyle name="Percent 6 4" xfId="8876" xr:uid="{00000000-0005-0000-0000-0000AC220000}"/>
    <cellStyle name="Percent 6 4 2" xfId="8877" xr:uid="{00000000-0005-0000-0000-0000AD220000}"/>
    <cellStyle name="Percent 6 5" xfId="8878" xr:uid="{00000000-0005-0000-0000-0000AE220000}"/>
    <cellStyle name="Percent 6 6" xfId="8879" xr:uid="{00000000-0005-0000-0000-0000AF220000}"/>
    <cellStyle name="Percentuale 10" xfId="8880" xr:uid="{00000000-0005-0000-0000-0000B0220000}"/>
    <cellStyle name="Percentuale 10 2" xfId="8881" xr:uid="{00000000-0005-0000-0000-0000B1220000}"/>
    <cellStyle name="Percentuale 10 2 2" xfId="8882" xr:uid="{00000000-0005-0000-0000-0000B2220000}"/>
    <cellStyle name="Percentuale 10 2 2 2" xfId="8883" xr:uid="{00000000-0005-0000-0000-0000B3220000}"/>
    <cellStyle name="Percentuale 10 2 3" xfId="8884" xr:uid="{00000000-0005-0000-0000-0000B4220000}"/>
    <cellStyle name="Percentuale 10 3" xfId="8885" xr:uid="{00000000-0005-0000-0000-0000B5220000}"/>
    <cellStyle name="Percentuale 10 3 2" xfId="8886" xr:uid="{00000000-0005-0000-0000-0000B6220000}"/>
    <cellStyle name="Percentuale 10 3 2 2" xfId="8887" xr:uid="{00000000-0005-0000-0000-0000B7220000}"/>
    <cellStyle name="Percentuale 10 3 2 3" xfId="8888" xr:uid="{00000000-0005-0000-0000-0000B8220000}"/>
    <cellStyle name="Percentuale 10 3 2 3 2" xfId="8889" xr:uid="{00000000-0005-0000-0000-0000B9220000}"/>
    <cellStyle name="Percentuale 10 3 3" xfId="8890" xr:uid="{00000000-0005-0000-0000-0000BA220000}"/>
    <cellStyle name="Percentuale 10 3 3 2" xfId="8891" xr:uid="{00000000-0005-0000-0000-0000BB220000}"/>
    <cellStyle name="Percentuale 10 3 4" xfId="8892" xr:uid="{00000000-0005-0000-0000-0000BC220000}"/>
    <cellStyle name="Percentuale 10 3 4 2" xfId="8893" xr:uid="{00000000-0005-0000-0000-0000BD220000}"/>
    <cellStyle name="Percentuale 10 3 5" xfId="8894" xr:uid="{00000000-0005-0000-0000-0000BE220000}"/>
    <cellStyle name="Percentuale 10 4" xfId="8895" xr:uid="{00000000-0005-0000-0000-0000BF220000}"/>
    <cellStyle name="Percentuale 10 4 2" xfId="8896" xr:uid="{00000000-0005-0000-0000-0000C0220000}"/>
    <cellStyle name="Percentuale 10 4 2 2" xfId="8897" xr:uid="{00000000-0005-0000-0000-0000C1220000}"/>
    <cellStyle name="Percentuale 10 4 3" xfId="8898" xr:uid="{00000000-0005-0000-0000-0000C2220000}"/>
    <cellStyle name="Percentuale 10 5" xfId="8899" xr:uid="{00000000-0005-0000-0000-0000C3220000}"/>
    <cellStyle name="Percentuale 10 6" xfId="8900" xr:uid="{00000000-0005-0000-0000-0000C4220000}"/>
    <cellStyle name="Percentuale 10 6 2" xfId="8901" xr:uid="{00000000-0005-0000-0000-0000C5220000}"/>
    <cellStyle name="Percentuale 11" xfId="8902" xr:uid="{00000000-0005-0000-0000-0000C6220000}"/>
    <cellStyle name="Percentuale 11 2" xfId="8903" xr:uid="{00000000-0005-0000-0000-0000C7220000}"/>
    <cellStyle name="Percentuale 11 2 2" xfId="8904" xr:uid="{00000000-0005-0000-0000-0000C8220000}"/>
    <cellStyle name="Percentuale 11 2 2 2" xfId="8905" xr:uid="{00000000-0005-0000-0000-0000C9220000}"/>
    <cellStyle name="Percentuale 11 2 3" xfId="8906" xr:uid="{00000000-0005-0000-0000-0000CA220000}"/>
    <cellStyle name="Percentuale 11 3" xfId="8907" xr:uid="{00000000-0005-0000-0000-0000CB220000}"/>
    <cellStyle name="Percentuale 11 3 2" xfId="8908" xr:uid="{00000000-0005-0000-0000-0000CC220000}"/>
    <cellStyle name="Percentuale 11 3 2 2" xfId="8909" xr:uid="{00000000-0005-0000-0000-0000CD220000}"/>
    <cellStyle name="Percentuale 11 3 2 3" xfId="8910" xr:uid="{00000000-0005-0000-0000-0000CE220000}"/>
    <cellStyle name="Percentuale 11 3 2 3 2" xfId="8911" xr:uid="{00000000-0005-0000-0000-0000CF220000}"/>
    <cellStyle name="Percentuale 11 3 3" xfId="8912" xr:uid="{00000000-0005-0000-0000-0000D0220000}"/>
    <cellStyle name="Percentuale 11 3 3 2" xfId="8913" xr:uid="{00000000-0005-0000-0000-0000D1220000}"/>
    <cellStyle name="Percentuale 11 3 4" xfId="8914" xr:uid="{00000000-0005-0000-0000-0000D2220000}"/>
    <cellStyle name="Percentuale 11 3 4 2" xfId="8915" xr:uid="{00000000-0005-0000-0000-0000D3220000}"/>
    <cellStyle name="Percentuale 11 3 5" xfId="8916" xr:uid="{00000000-0005-0000-0000-0000D4220000}"/>
    <cellStyle name="Percentuale 11 4" xfId="8917" xr:uid="{00000000-0005-0000-0000-0000D5220000}"/>
    <cellStyle name="Percentuale 11 4 2" xfId="8918" xr:uid="{00000000-0005-0000-0000-0000D6220000}"/>
    <cellStyle name="Percentuale 11 4 2 2" xfId="8919" xr:uid="{00000000-0005-0000-0000-0000D7220000}"/>
    <cellStyle name="Percentuale 11 4 3" xfId="8920" xr:uid="{00000000-0005-0000-0000-0000D8220000}"/>
    <cellStyle name="Percentuale 11 5" xfId="8921" xr:uid="{00000000-0005-0000-0000-0000D9220000}"/>
    <cellStyle name="Percentuale 11 6" xfId="8922" xr:uid="{00000000-0005-0000-0000-0000DA220000}"/>
    <cellStyle name="Percentuale 11 6 2" xfId="8923" xr:uid="{00000000-0005-0000-0000-0000DB220000}"/>
    <cellStyle name="Percentuale 12" xfId="8924" xr:uid="{00000000-0005-0000-0000-0000DC220000}"/>
    <cellStyle name="Percentuale 12 2" xfId="8925" xr:uid="{00000000-0005-0000-0000-0000DD220000}"/>
    <cellStyle name="Percentuale 12 2 2" xfId="8926" xr:uid="{00000000-0005-0000-0000-0000DE220000}"/>
    <cellStyle name="Percentuale 12 2 2 2" xfId="8927" xr:uid="{00000000-0005-0000-0000-0000DF220000}"/>
    <cellStyle name="Percentuale 12 2 3" xfId="8928" xr:uid="{00000000-0005-0000-0000-0000E0220000}"/>
    <cellStyle name="Percentuale 12 3" xfId="8929" xr:uid="{00000000-0005-0000-0000-0000E1220000}"/>
    <cellStyle name="Percentuale 12 3 2" xfId="8930" xr:uid="{00000000-0005-0000-0000-0000E2220000}"/>
    <cellStyle name="Percentuale 12 3 2 2" xfId="8931" xr:uid="{00000000-0005-0000-0000-0000E3220000}"/>
    <cellStyle name="Percentuale 12 3 2 3" xfId="8932" xr:uid="{00000000-0005-0000-0000-0000E4220000}"/>
    <cellStyle name="Percentuale 12 3 2 3 2" xfId="8933" xr:uid="{00000000-0005-0000-0000-0000E5220000}"/>
    <cellStyle name="Percentuale 12 3 3" xfId="8934" xr:uid="{00000000-0005-0000-0000-0000E6220000}"/>
    <cellStyle name="Percentuale 12 3 3 2" xfId="8935" xr:uid="{00000000-0005-0000-0000-0000E7220000}"/>
    <cellStyle name="Percentuale 12 3 4" xfId="8936" xr:uid="{00000000-0005-0000-0000-0000E8220000}"/>
    <cellStyle name="Percentuale 12 3 4 2" xfId="8937" xr:uid="{00000000-0005-0000-0000-0000E9220000}"/>
    <cellStyle name="Percentuale 12 3 5" xfId="8938" xr:uid="{00000000-0005-0000-0000-0000EA220000}"/>
    <cellStyle name="Percentuale 12 4" xfId="8939" xr:uid="{00000000-0005-0000-0000-0000EB220000}"/>
    <cellStyle name="Percentuale 12 4 2" xfId="8940" xr:uid="{00000000-0005-0000-0000-0000EC220000}"/>
    <cellStyle name="Percentuale 12 4 2 2" xfId="8941" xr:uid="{00000000-0005-0000-0000-0000ED220000}"/>
    <cellStyle name="Percentuale 12 4 3" xfId="8942" xr:uid="{00000000-0005-0000-0000-0000EE220000}"/>
    <cellStyle name="Percentuale 12 5" xfId="8943" xr:uid="{00000000-0005-0000-0000-0000EF220000}"/>
    <cellStyle name="Percentuale 12 6" xfId="8944" xr:uid="{00000000-0005-0000-0000-0000F0220000}"/>
    <cellStyle name="Percentuale 12 6 2" xfId="8945" xr:uid="{00000000-0005-0000-0000-0000F1220000}"/>
    <cellStyle name="Percentuale 13" xfId="8946" xr:uid="{00000000-0005-0000-0000-0000F2220000}"/>
    <cellStyle name="Percentuale 13 2" xfId="8947" xr:uid="{00000000-0005-0000-0000-0000F3220000}"/>
    <cellStyle name="Percentuale 13 2 2" xfId="8948" xr:uid="{00000000-0005-0000-0000-0000F4220000}"/>
    <cellStyle name="Percentuale 13 2 2 2" xfId="8949" xr:uid="{00000000-0005-0000-0000-0000F5220000}"/>
    <cellStyle name="Percentuale 13 2 3" xfId="8950" xr:uid="{00000000-0005-0000-0000-0000F6220000}"/>
    <cellStyle name="Percentuale 13 3" xfId="8951" xr:uid="{00000000-0005-0000-0000-0000F7220000}"/>
    <cellStyle name="Percentuale 13 3 2" xfId="8952" xr:uid="{00000000-0005-0000-0000-0000F8220000}"/>
    <cellStyle name="Percentuale 13 3 2 2" xfId="8953" xr:uid="{00000000-0005-0000-0000-0000F9220000}"/>
    <cellStyle name="Percentuale 13 3 2 3" xfId="8954" xr:uid="{00000000-0005-0000-0000-0000FA220000}"/>
    <cellStyle name="Percentuale 13 3 2 3 2" xfId="8955" xr:uid="{00000000-0005-0000-0000-0000FB220000}"/>
    <cellStyle name="Percentuale 13 3 3" xfId="8956" xr:uid="{00000000-0005-0000-0000-0000FC220000}"/>
    <cellStyle name="Percentuale 13 3 3 2" xfId="8957" xr:uid="{00000000-0005-0000-0000-0000FD220000}"/>
    <cellStyle name="Percentuale 13 3 4" xfId="8958" xr:uid="{00000000-0005-0000-0000-0000FE220000}"/>
    <cellStyle name="Percentuale 13 3 4 2" xfId="8959" xr:uid="{00000000-0005-0000-0000-0000FF220000}"/>
    <cellStyle name="Percentuale 13 3 5" xfId="8960" xr:uid="{00000000-0005-0000-0000-000000230000}"/>
    <cellStyle name="Percentuale 13 4" xfId="8961" xr:uid="{00000000-0005-0000-0000-000001230000}"/>
    <cellStyle name="Percentuale 13 4 2" xfId="8962" xr:uid="{00000000-0005-0000-0000-000002230000}"/>
    <cellStyle name="Percentuale 13 4 2 2" xfId="8963" xr:uid="{00000000-0005-0000-0000-000003230000}"/>
    <cellStyle name="Percentuale 13 4 3" xfId="8964" xr:uid="{00000000-0005-0000-0000-000004230000}"/>
    <cellStyle name="Percentuale 13 5" xfId="8965" xr:uid="{00000000-0005-0000-0000-000005230000}"/>
    <cellStyle name="Percentuale 13 6" xfId="8966" xr:uid="{00000000-0005-0000-0000-000006230000}"/>
    <cellStyle name="Percentuale 13 6 2" xfId="8967" xr:uid="{00000000-0005-0000-0000-000007230000}"/>
    <cellStyle name="Percentuale 14" xfId="8968" xr:uid="{00000000-0005-0000-0000-000008230000}"/>
    <cellStyle name="Percentuale 14 2" xfId="8969" xr:uid="{00000000-0005-0000-0000-000009230000}"/>
    <cellStyle name="Percentuale 14 2 2" xfId="8970" xr:uid="{00000000-0005-0000-0000-00000A230000}"/>
    <cellStyle name="Percentuale 14 2 2 2" xfId="8971" xr:uid="{00000000-0005-0000-0000-00000B230000}"/>
    <cellStyle name="Percentuale 14 2 3" xfId="8972" xr:uid="{00000000-0005-0000-0000-00000C230000}"/>
    <cellStyle name="Percentuale 14 3" xfId="8973" xr:uid="{00000000-0005-0000-0000-00000D230000}"/>
    <cellStyle name="Percentuale 14 3 2" xfId="8974" xr:uid="{00000000-0005-0000-0000-00000E230000}"/>
    <cellStyle name="Percentuale 14 3 2 2" xfId="8975" xr:uid="{00000000-0005-0000-0000-00000F230000}"/>
    <cellStyle name="Percentuale 14 3 2 3" xfId="8976" xr:uid="{00000000-0005-0000-0000-000010230000}"/>
    <cellStyle name="Percentuale 14 3 2 3 2" xfId="8977" xr:uid="{00000000-0005-0000-0000-000011230000}"/>
    <cellStyle name="Percentuale 14 3 3" xfId="8978" xr:uid="{00000000-0005-0000-0000-000012230000}"/>
    <cellStyle name="Percentuale 14 3 3 2" xfId="8979" xr:uid="{00000000-0005-0000-0000-000013230000}"/>
    <cellStyle name="Percentuale 14 3 4" xfId="8980" xr:uid="{00000000-0005-0000-0000-000014230000}"/>
    <cellStyle name="Percentuale 14 3 4 2" xfId="8981" xr:uid="{00000000-0005-0000-0000-000015230000}"/>
    <cellStyle name="Percentuale 14 3 5" xfId="8982" xr:uid="{00000000-0005-0000-0000-000016230000}"/>
    <cellStyle name="Percentuale 14 4" xfId="8983" xr:uid="{00000000-0005-0000-0000-000017230000}"/>
    <cellStyle name="Percentuale 14 4 2" xfId="8984" xr:uid="{00000000-0005-0000-0000-000018230000}"/>
    <cellStyle name="Percentuale 14 4 2 2" xfId="8985" xr:uid="{00000000-0005-0000-0000-000019230000}"/>
    <cellStyle name="Percentuale 14 4 3" xfId="8986" xr:uid="{00000000-0005-0000-0000-00001A230000}"/>
    <cellStyle name="Percentuale 14 5" xfId="8987" xr:uid="{00000000-0005-0000-0000-00001B230000}"/>
    <cellStyle name="Percentuale 14 6" xfId="8988" xr:uid="{00000000-0005-0000-0000-00001C230000}"/>
    <cellStyle name="Percentuale 14 6 2" xfId="8989" xr:uid="{00000000-0005-0000-0000-00001D230000}"/>
    <cellStyle name="Percentuale 15" xfId="8990" xr:uid="{00000000-0005-0000-0000-00001E230000}"/>
    <cellStyle name="Percentuale 15 2" xfId="8991" xr:uid="{00000000-0005-0000-0000-00001F230000}"/>
    <cellStyle name="Percentuale 15 2 2" xfId="8992" xr:uid="{00000000-0005-0000-0000-000020230000}"/>
    <cellStyle name="Percentuale 15 2 2 2" xfId="8993" xr:uid="{00000000-0005-0000-0000-000021230000}"/>
    <cellStyle name="Percentuale 15 2 3" xfId="8994" xr:uid="{00000000-0005-0000-0000-000022230000}"/>
    <cellStyle name="Percentuale 15 3" xfId="8995" xr:uid="{00000000-0005-0000-0000-000023230000}"/>
    <cellStyle name="Percentuale 15 3 2" xfId="8996" xr:uid="{00000000-0005-0000-0000-000024230000}"/>
    <cellStyle name="Percentuale 15 3 2 2" xfId="8997" xr:uid="{00000000-0005-0000-0000-000025230000}"/>
    <cellStyle name="Percentuale 15 3 2 3" xfId="8998" xr:uid="{00000000-0005-0000-0000-000026230000}"/>
    <cellStyle name="Percentuale 15 3 2 3 2" xfId="8999" xr:uid="{00000000-0005-0000-0000-000027230000}"/>
    <cellStyle name="Percentuale 15 3 3" xfId="9000" xr:uid="{00000000-0005-0000-0000-000028230000}"/>
    <cellStyle name="Percentuale 15 3 3 2" xfId="9001" xr:uid="{00000000-0005-0000-0000-000029230000}"/>
    <cellStyle name="Percentuale 15 3 4" xfId="9002" xr:uid="{00000000-0005-0000-0000-00002A230000}"/>
    <cellStyle name="Percentuale 15 3 4 2" xfId="9003" xr:uid="{00000000-0005-0000-0000-00002B230000}"/>
    <cellStyle name="Percentuale 15 3 5" xfId="9004" xr:uid="{00000000-0005-0000-0000-00002C230000}"/>
    <cellStyle name="Percentuale 15 4" xfId="9005" xr:uid="{00000000-0005-0000-0000-00002D230000}"/>
    <cellStyle name="Percentuale 15 4 2" xfId="9006" xr:uid="{00000000-0005-0000-0000-00002E230000}"/>
    <cellStyle name="Percentuale 15 4 2 2" xfId="9007" xr:uid="{00000000-0005-0000-0000-00002F230000}"/>
    <cellStyle name="Percentuale 15 4 3" xfId="9008" xr:uid="{00000000-0005-0000-0000-000030230000}"/>
    <cellStyle name="Percentuale 15 5" xfId="9009" xr:uid="{00000000-0005-0000-0000-000031230000}"/>
    <cellStyle name="Percentuale 15 6" xfId="9010" xr:uid="{00000000-0005-0000-0000-000032230000}"/>
    <cellStyle name="Percentuale 15 6 2" xfId="9011" xr:uid="{00000000-0005-0000-0000-000033230000}"/>
    <cellStyle name="Percentuale 16" xfId="9012" xr:uid="{00000000-0005-0000-0000-000034230000}"/>
    <cellStyle name="Percentuale 16 2" xfId="9013" xr:uid="{00000000-0005-0000-0000-000035230000}"/>
    <cellStyle name="Percentuale 16 2 2" xfId="9014" xr:uid="{00000000-0005-0000-0000-000036230000}"/>
    <cellStyle name="Percentuale 16 2 2 2" xfId="9015" xr:uid="{00000000-0005-0000-0000-000037230000}"/>
    <cellStyle name="Percentuale 16 2 3" xfId="9016" xr:uid="{00000000-0005-0000-0000-000038230000}"/>
    <cellStyle name="Percentuale 16 3" xfId="9017" xr:uid="{00000000-0005-0000-0000-000039230000}"/>
    <cellStyle name="Percentuale 16 3 2" xfId="9018" xr:uid="{00000000-0005-0000-0000-00003A230000}"/>
    <cellStyle name="Percentuale 16 3 2 2" xfId="9019" xr:uid="{00000000-0005-0000-0000-00003B230000}"/>
    <cellStyle name="Percentuale 16 3 2 3" xfId="9020" xr:uid="{00000000-0005-0000-0000-00003C230000}"/>
    <cellStyle name="Percentuale 16 3 2 3 2" xfId="9021" xr:uid="{00000000-0005-0000-0000-00003D230000}"/>
    <cellStyle name="Percentuale 16 3 3" xfId="9022" xr:uid="{00000000-0005-0000-0000-00003E230000}"/>
    <cellStyle name="Percentuale 16 3 3 2" xfId="9023" xr:uid="{00000000-0005-0000-0000-00003F230000}"/>
    <cellStyle name="Percentuale 16 3 4" xfId="9024" xr:uid="{00000000-0005-0000-0000-000040230000}"/>
    <cellStyle name="Percentuale 16 3 4 2" xfId="9025" xr:uid="{00000000-0005-0000-0000-000041230000}"/>
    <cellStyle name="Percentuale 16 3 5" xfId="9026" xr:uid="{00000000-0005-0000-0000-000042230000}"/>
    <cellStyle name="Percentuale 16 4" xfId="9027" xr:uid="{00000000-0005-0000-0000-000043230000}"/>
    <cellStyle name="Percentuale 16 4 2" xfId="9028" xr:uid="{00000000-0005-0000-0000-000044230000}"/>
    <cellStyle name="Percentuale 16 4 2 2" xfId="9029" xr:uid="{00000000-0005-0000-0000-000045230000}"/>
    <cellStyle name="Percentuale 16 4 3" xfId="9030" xr:uid="{00000000-0005-0000-0000-000046230000}"/>
    <cellStyle name="Percentuale 16 5" xfId="9031" xr:uid="{00000000-0005-0000-0000-000047230000}"/>
    <cellStyle name="Percentuale 16 6" xfId="9032" xr:uid="{00000000-0005-0000-0000-000048230000}"/>
    <cellStyle name="Percentuale 16 6 2" xfId="9033" xr:uid="{00000000-0005-0000-0000-000049230000}"/>
    <cellStyle name="Percentuale 17" xfId="9034" xr:uid="{00000000-0005-0000-0000-00004A230000}"/>
    <cellStyle name="Percentuale 17 2" xfId="9035" xr:uid="{00000000-0005-0000-0000-00004B230000}"/>
    <cellStyle name="Percentuale 17 2 2" xfId="9036" xr:uid="{00000000-0005-0000-0000-00004C230000}"/>
    <cellStyle name="Percentuale 17 2 2 2" xfId="9037" xr:uid="{00000000-0005-0000-0000-00004D230000}"/>
    <cellStyle name="Percentuale 17 2 3" xfId="9038" xr:uid="{00000000-0005-0000-0000-00004E230000}"/>
    <cellStyle name="Percentuale 17 3" xfId="9039" xr:uid="{00000000-0005-0000-0000-00004F230000}"/>
    <cellStyle name="Percentuale 17 3 2" xfId="9040" xr:uid="{00000000-0005-0000-0000-000050230000}"/>
    <cellStyle name="Percentuale 17 3 2 2" xfId="9041" xr:uid="{00000000-0005-0000-0000-000051230000}"/>
    <cellStyle name="Percentuale 17 3 2 3" xfId="9042" xr:uid="{00000000-0005-0000-0000-000052230000}"/>
    <cellStyle name="Percentuale 17 3 2 3 2" xfId="9043" xr:uid="{00000000-0005-0000-0000-000053230000}"/>
    <cellStyle name="Percentuale 17 3 3" xfId="9044" xr:uid="{00000000-0005-0000-0000-000054230000}"/>
    <cellStyle name="Percentuale 17 3 3 2" xfId="9045" xr:uid="{00000000-0005-0000-0000-000055230000}"/>
    <cellStyle name="Percentuale 17 3 4" xfId="9046" xr:uid="{00000000-0005-0000-0000-000056230000}"/>
    <cellStyle name="Percentuale 17 3 4 2" xfId="9047" xr:uid="{00000000-0005-0000-0000-000057230000}"/>
    <cellStyle name="Percentuale 17 3 5" xfId="9048" xr:uid="{00000000-0005-0000-0000-000058230000}"/>
    <cellStyle name="Percentuale 17 4" xfId="9049" xr:uid="{00000000-0005-0000-0000-000059230000}"/>
    <cellStyle name="Percentuale 17 4 2" xfId="9050" xr:uid="{00000000-0005-0000-0000-00005A230000}"/>
    <cellStyle name="Percentuale 17 4 2 2" xfId="9051" xr:uid="{00000000-0005-0000-0000-00005B230000}"/>
    <cellStyle name="Percentuale 17 4 3" xfId="9052" xr:uid="{00000000-0005-0000-0000-00005C230000}"/>
    <cellStyle name="Percentuale 17 5" xfId="9053" xr:uid="{00000000-0005-0000-0000-00005D230000}"/>
    <cellStyle name="Percentuale 17 6" xfId="9054" xr:uid="{00000000-0005-0000-0000-00005E230000}"/>
    <cellStyle name="Percentuale 17 6 2" xfId="9055" xr:uid="{00000000-0005-0000-0000-00005F230000}"/>
    <cellStyle name="Percentuale 18" xfId="9056" xr:uid="{00000000-0005-0000-0000-000060230000}"/>
    <cellStyle name="Percentuale 18 2" xfId="9057" xr:uid="{00000000-0005-0000-0000-000061230000}"/>
    <cellStyle name="Percentuale 18 2 2" xfId="9058" xr:uid="{00000000-0005-0000-0000-000062230000}"/>
    <cellStyle name="Percentuale 18 2 2 2" xfId="9059" xr:uid="{00000000-0005-0000-0000-000063230000}"/>
    <cellStyle name="Percentuale 18 2 3" xfId="9060" xr:uid="{00000000-0005-0000-0000-000064230000}"/>
    <cellStyle name="Percentuale 18 3" xfId="9061" xr:uid="{00000000-0005-0000-0000-000065230000}"/>
    <cellStyle name="Percentuale 18 3 2" xfId="9062" xr:uid="{00000000-0005-0000-0000-000066230000}"/>
    <cellStyle name="Percentuale 18 3 2 2" xfId="9063" xr:uid="{00000000-0005-0000-0000-000067230000}"/>
    <cellStyle name="Percentuale 18 3 2 3" xfId="9064" xr:uid="{00000000-0005-0000-0000-000068230000}"/>
    <cellStyle name="Percentuale 18 3 2 3 2" xfId="9065" xr:uid="{00000000-0005-0000-0000-000069230000}"/>
    <cellStyle name="Percentuale 18 3 3" xfId="9066" xr:uid="{00000000-0005-0000-0000-00006A230000}"/>
    <cellStyle name="Percentuale 18 3 3 2" xfId="9067" xr:uid="{00000000-0005-0000-0000-00006B230000}"/>
    <cellStyle name="Percentuale 18 3 4" xfId="9068" xr:uid="{00000000-0005-0000-0000-00006C230000}"/>
    <cellStyle name="Percentuale 18 3 4 2" xfId="9069" xr:uid="{00000000-0005-0000-0000-00006D230000}"/>
    <cellStyle name="Percentuale 18 3 5" xfId="9070" xr:uid="{00000000-0005-0000-0000-00006E230000}"/>
    <cellStyle name="Percentuale 18 4" xfId="9071" xr:uid="{00000000-0005-0000-0000-00006F230000}"/>
    <cellStyle name="Percentuale 18 4 2" xfId="9072" xr:uid="{00000000-0005-0000-0000-000070230000}"/>
    <cellStyle name="Percentuale 18 4 2 2" xfId="9073" xr:uid="{00000000-0005-0000-0000-000071230000}"/>
    <cellStyle name="Percentuale 18 4 3" xfId="9074" xr:uid="{00000000-0005-0000-0000-000072230000}"/>
    <cellStyle name="Percentuale 18 5" xfId="9075" xr:uid="{00000000-0005-0000-0000-000073230000}"/>
    <cellStyle name="Percentuale 18 6" xfId="9076" xr:uid="{00000000-0005-0000-0000-000074230000}"/>
    <cellStyle name="Percentuale 18 6 2" xfId="9077" xr:uid="{00000000-0005-0000-0000-000075230000}"/>
    <cellStyle name="Percentuale 19" xfId="9078" xr:uid="{00000000-0005-0000-0000-000076230000}"/>
    <cellStyle name="Percentuale 19 2" xfId="9079" xr:uid="{00000000-0005-0000-0000-000077230000}"/>
    <cellStyle name="Percentuale 19 2 2" xfId="9080" xr:uid="{00000000-0005-0000-0000-000078230000}"/>
    <cellStyle name="Percentuale 19 2 2 2" xfId="9081" xr:uid="{00000000-0005-0000-0000-000079230000}"/>
    <cellStyle name="Percentuale 19 2 3" xfId="9082" xr:uid="{00000000-0005-0000-0000-00007A230000}"/>
    <cellStyle name="Percentuale 19 3" xfId="9083" xr:uid="{00000000-0005-0000-0000-00007B230000}"/>
    <cellStyle name="Percentuale 19 3 2" xfId="9084" xr:uid="{00000000-0005-0000-0000-00007C230000}"/>
    <cellStyle name="Percentuale 19 3 2 2" xfId="9085" xr:uid="{00000000-0005-0000-0000-00007D230000}"/>
    <cellStyle name="Percentuale 19 3 2 3" xfId="9086" xr:uid="{00000000-0005-0000-0000-00007E230000}"/>
    <cellStyle name="Percentuale 19 3 2 3 2" xfId="9087" xr:uid="{00000000-0005-0000-0000-00007F230000}"/>
    <cellStyle name="Percentuale 19 3 3" xfId="9088" xr:uid="{00000000-0005-0000-0000-000080230000}"/>
    <cellStyle name="Percentuale 19 3 3 2" xfId="9089" xr:uid="{00000000-0005-0000-0000-000081230000}"/>
    <cellStyle name="Percentuale 19 3 4" xfId="9090" xr:uid="{00000000-0005-0000-0000-000082230000}"/>
    <cellStyle name="Percentuale 19 3 4 2" xfId="9091" xr:uid="{00000000-0005-0000-0000-000083230000}"/>
    <cellStyle name="Percentuale 19 3 5" xfId="9092" xr:uid="{00000000-0005-0000-0000-000084230000}"/>
    <cellStyle name="Percentuale 19 4" xfId="9093" xr:uid="{00000000-0005-0000-0000-000085230000}"/>
    <cellStyle name="Percentuale 19 4 2" xfId="9094" xr:uid="{00000000-0005-0000-0000-000086230000}"/>
    <cellStyle name="Percentuale 19 4 2 2" xfId="9095" xr:uid="{00000000-0005-0000-0000-000087230000}"/>
    <cellStyle name="Percentuale 19 4 3" xfId="9096" xr:uid="{00000000-0005-0000-0000-000088230000}"/>
    <cellStyle name="Percentuale 19 5" xfId="9097" xr:uid="{00000000-0005-0000-0000-000089230000}"/>
    <cellStyle name="Percentuale 19 6" xfId="9098" xr:uid="{00000000-0005-0000-0000-00008A230000}"/>
    <cellStyle name="Percentuale 19 6 2" xfId="9099" xr:uid="{00000000-0005-0000-0000-00008B230000}"/>
    <cellStyle name="Percentuale 2" xfId="9100" xr:uid="{00000000-0005-0000-0000-00008C230000}"/>
    <cellStyle name="Percentuale 2 2" xfId="9101" xr:uid="{00000000-0005-0000-0000-00008D230000}"/>
    <cellStyle name="Percentuale 2 2 2" xfId="9102" xr:uid="{00000000-0005-0000-0000-00008E230000}"/>
    <cellStyle name="Percentuale 2 2 2 2" xfId="9103" xr:uid="{00000000-0005-0000-0000-00008F230000}"/>
    <cellStyle name="Percentuale 2 2 3" xfId="9104" xr:uid="{00000000-0005-0000-0000-000090230000}"/>
    <cellStyle name="Percentuale 2 3" xfId="9105" xr:uid="{00000000-0005-0000-0000-000091230000}"/>
    <cellStyle name="Percentuale 2 3 2" xfId="9106" xr:uid="{00000000-0005-0000-0000-000092230000}"/>
    <cellStyle name="Percentuale 2 3 2 2" xfId="9107" xr:uid="{00000000-0005-0000-0000-000093230000}"/>
    <cellStyle name="Percentuale 2 3 2 3" xfId="9108" xr:uid="{00000000-0005-0000-0000-000094230000}"/>
    <cellStyle name="Percentuale 2 3 2 3 2" xfId="9109" xr:uid="{00000000-0005-0000-0000-000095230000}"/>
    <cellStyle name="Percentuale 2 3 3" xfId="9110" xr:uid="{00000000-0005-0000-0000-000096230000}"/>
    <cellStyle name="Percentuale 2 3 3 2" xfId="9111" xr:uid="{00000000-0005-0000-0000-000097230000}"/>
    <cellStyle name="Percentuale 2 3 4" xfId="9112" xr:uid="{00000000-0005-0000-0000-000098230000}"/>
    <cellStyle name="Percentuale 2 3 4 2" xfId="9113" xr:uid="{00000000-0005-0000-0000-000099230000}"/>
    <cellStyle name="Percentuale 2 3 5" xfId="9114" xr:uid="{00000000-0005-0000-0000-00009A230000}"/>
    <cellStyle name="Percentuale 2 4" xfId="9115" xr:uid="{00000000-0005-0000-0000-00009B230000}"/>
    <cellStyle name="Percentuale 2 4 2" xfId="9116" xr:uid="{00000000-0005-0000-0000-00009C230000}"/>
    <cellStyle name="Percentuale 2 4 2 2" xfId="9117" xr:uid="{00000000-0005-0000-0000-00009D230000}"/>
    <cellStyle name="Percentuale 2 4 3" xfId="9118" xr:uid="{00000000-0005-0000-0000-00009E230000}"/>
    <cellStyle name="Percentuale 2 5" xfId="9119" xr:uid="{00000000-0005-0000-0000-00009F230000}"/>
    <cellStyle name="Percentuale 2 6" xfId="9120" xr:uid="{00000000-0005-0000-0000-0000A0230000}"/>
    <cellStyle name="Percentuale 2 6 2" xfId="9121" xr:uid="{00000000-0005-0000-0000-0000A1230000}"/>
    <cellStyle name="Percentuale 20" xfId="9122" xr:uid="{00000000-0005-0000-0000-0000A2230000}"/>
    <cellStyle name="Percentuale 20 2" xfId="9123" xr:uid="{00000000-0005-0000-0000-0000A3230000}"/>
    <cellStyle name="Percentuale 20 2 2" xfId="9124" xr:uid="{00000000-0005-0000-0000-0000A4230000}"/>
    <cellStyle name="Percentuale 20 2 2 2" xfId="9125" xr:uid="{00000000-0005-0000-0000-0000A5230000}"/>
    <cellStyle name="Percentuale 20 2 3" xfId="9126" xr:uid="{00000000-0005-0000-0000-0000A6230000}"/>
    <cellStyle name="Percentuale 20 3" xfId="9127" xr:uid="{00000000-0005-0000-0000-0000A7230000}"/>
    <cellStyle name="Percentuale 20 3 2" xfId="9128" xr:uid="{00000000-0005-0000-0000-0000A8230000}"/>
    <cellStyle name="Percentuale 20 3 2 2" xfId="9129" xr:uid="{00000000-0005-0000-0000-0000A9230000}"/>
    <cellStyle name="Percentuale 20 3 2 3" xfId="9130" xr:uid="{00000000-0005-0000-0000-0000AA230000}"/>
    <cellStyle name="Percentuale 20 3 2 3 2" xfId="9131" xr:uid="{00000000-0005-0000-0000-0000AB230000}"/>
    <cellStyle name="Percentuale 20 3 3" xfId="9132" xr:uid="{00000000-0005-0000-0000-0000AC230000}"/>
    <cellStyle name="Percentuale 20 3 3 2" xfId="9133" xr:uid="{00000000-0005-0000-0000-0000AD230000}"/>
    <cellStyle name="Percentuale 20 3 4" xfId="9134" xr:uid="{00000000-0005-0000-0000-0000AE230000}"/>
    <cellStyle name="Percentuale 20 3 4 2" xfId="9135" xr:uid="{00000000-0005-0000-0000-0000AF230000}"/>
    <cellStyle name="Percentuale 20 3 5" xfId="9136" xr:uid="{00000000-0005-0000-0000-0000B0230000}"/>
    <cellStyle name="Percentuale 20 4" xfId="9137" xr:uid="{00000000-0005-0000-0000-0000B1230000}"/>
    <cellStyle name="Percentuale 20 4 2" xfId="9138" xr:uid="{00000000-0005-0000-0000-0000B2230000}"/>
    <cellStyle name="Percentuale 20 4 2 2" xfId="9139" xr:uid="{00000000-0005-0000-0000-0000B3230000}"/>
    <cellStyle name="Percentuale 20 4 3" xfId="9140" xr:uid="{00000000-0005-0000-0000-0000B4230000}"/>
    <cellStyle name="Percentuale 20 5" xfId="9141" xr:uid="{00000000-0005-0000-0000-0000B5230000}"/>
    <cellStyle name="Percentuale 20 6" xfId="9142" xr:uid="{00000000-0005-0000-0000-0000B6230000}"/>
    <cellStyle name="Percentuale 20 6 2" xfId="9143" xr:uid="{00000000-0005-0000-0000-0000B7230000}"/>
    <cellStyle name="Percentuale 21" xfId="9144" xr:uid="{00000000-0005-0000-0000-0000B8230000}"/>
    <cellStyle name="Percentuale 21 2" xfId="9145" xr:uid="{00000000-0005-0000-0000-0000B9230000}"/>
    <cellStyle name="Percentuale 21 2 2" xfId="9146" xr:uid="{00000000-0005-0000-0000-0000BA230000}"/>
    <cellStyle name="Percentuale 21 2 2 2" xfId="9147" xr:uid="{00000000-0005-0000-0000-0000BB230000}"/>
    <cellStyle name="Percentuale 21 2 3" xfId="9148" xr:uid="{00000000-0005-0000-0000-0000BC230000}"/>
    <cellStyle name="Percentuale 21 3" xfId="9149" xr:uid="{00000000-0005-0000-0000-0000BD230000}"/>
    <cellStyle name="Percentuale 21 3 2" xfId="9150" xr:uid="{00000000-0005-0000-0000-0000BE230000}"/>
    <cellStyle name="Percentuale 21 3 2 2" xfId="9151" xr:uid="{00000000-0005-0000-0000-0000BF230000}"/>
    <cellStyle name="Percentuale 21 3 2 3" xfId="9152" xr:uid="{00000000-0005-0000-0000-0000C0230000}"/>
    <cellStyle name="Percentuale 21 3 2 3 2" xfId="9153" xr:uid="{00000000-0005-0000-0000-0000C1230000}"/>
    <cellStyle name="Percentuale 21 3 3" xfId="9154" xr:uid="{00000000-0005-0000-0000-0000C2230000}"/>
    <cellStyle name="Percentuale 21 3 3 2" xfId="9155" xr:uid="{00000000-0005-0000-0000-0000C3230000}"/>
    <cellStyle name="Percentuale 21 3 4" xfId="9156" xr:uid="{00000000-0005-0000-0000-0000C4230000}"/>
    <cellStyle name="Percentuale 21 3 4 2" xfId="9157" xr:uid="{00000000-0005-0000-0000-0000C5230000}"/>
    <cellStyle name="Percentuale 21 3 5" xfId="9158" xr:uid="{00000000-0005-0000-0000-0000C6230000}"/>
    <cellStyle name="Percentuale 21 4" xfId="9159" xr:uid="{00000000-0005-0000-0000-0000C7230000}"/>
    <cellStyle name="Percentuale 21 4 2" xfId="9160" xr:uid="{00000000-0005-0000-0000-0000C8230000}"/>
    <cellStyle name="Percentuale 21 4 2 2" xfId="9161" xr:uid="{00000000-0005-0000-0000-0000C9230000}"/>
    <cellStyle name="Percentuale 21 4 3" xfId="9162" xr:uid="{00000000-0005-0000-0000-0000CA230000}"/>
    <cellStyle name="Percentuale 21 5" xfId="9163" xr:uid="{00000000-0005-0000-0000-0000CB230000}"/>
    <cellStyle name="Percentuale 21 6" xfId="9164" xr:uid="{00000000-0005-0000-0000-0000CC230000}"/>
    <cellStyle name="Percentuale 21 6 2" xfId="9165" xr:uid="{00000000-0005-0000-0000-0000CD230000}"/>
    <cellStyle name="Percentuale 22" xfId="9166" xr:uid="{00000000-0005-0000-0000-0000CE230000}"/>
    <cellStyle name="Percentuale 22 2" xfId="9167" xr:uid="{00000000-0005-0000-0000-0000CF230000}"/>
    <cellStyle name="Percentuale 22 2 2" xfId="9168" xr:uid="{00000000-0005-0000-0000-0000D0230000}"/>
    <cellStyle name="Percentuale 22 2 2 2" xfId="9169" xr:uid="{00000000-0005-0000-0000-0000D1230000}"/>
    <cellStyle name="Percentuale 22 2 3" xfId="9170" xr:uid="{00000000-0005-0000-0000-0000D2230000}"/>
    <cellStyle name="Percentuale 22 3" xfId="9171" xr:uid="{00000000-0005-0000-0000-0000D3230000}"/>
    <cellStyle name="Percentuale 22 3 2" xfId="9172" xr:uid="{00000000-0005-0000-0000-0000D4230000}"/>
    <cellStyle name="Percentuale 22 3 2 2" xfId="9173" xr:uid="{00000000-0005-0000-0000-0000D5230000}"/>
    <cellStyle name="Percentuale 22 3 2 3" xfId="9174" xr:uid="{00000000-0005-0000-0000-0000D6230000}"/>
    <cellStyle name="Percentuale 22 3 2 3 2" xfId="9175" xr:uid="{00000000-0005-0000-0000-0000D7230000}"/>
    <cellStyle name="Percentuale 22 3 3" xfId="9176" xr:uid="{00000000-0005-0000-0000-0000D8230000}"/>
    <cellStyle name="Percentuale 22 3 3 2" xfId="9177" xr:uid="{00000000-0005-0000-0000-0000D9230000}"/>
    <cellStyle name="Percentuale 22 3 4" xfId="9178" xr:uid="{00000000-0005-0000-0000-0000DA230000}"/>
    <cellStyle name="Percentuale 22 3 4 2" xfId="9179" xr:uid="{00000000-0005-0000-0000-0000DB230000}"/>
    <cellStyle name="Percentuale 22 3 5" xfId="9180" xr:uid="{00000000-0005-0000-0000-0000DC230000}"/>
    <cellStyle name="Percentuale 22 4" xfId="9181" xr:uid="{00000000-0005-0000-0000-0000DD230000}"/>
    <cellStyle name="Percentuale 22 4 2" xfId="9182" xr:uid="{00000000-0005-0000-0000-0000DE230000}"/>
    <cellStyle name="Percentuale 22 4 2 2" xfId="9183" xr:uid="{00000000-0005-0000-0000-0000DF230000}"/>
    <cellStyle name="Percentuale 22 4 3" xfId="9184" xr:uid="{00000000-0005-0000-0000-0000E0230000}"/>
    <cellStyle name="Percentuale 22 5" xfId="9185" xr:uid="{00000000-0005-0000-0000-0000E1230000}"/>
    <cellStyle name="Percentuale 22 6" xfId="9186" xr:uid="{00000000-0005-0000-0000-0000E2230000}"/>
    <cellStyle name="Percentuale 22 6 2" xfId="9187" xr:uid="{00000000-0005-0000-0000-0000E3230000}"/>
    <cellStyle name="Percentuale 23" xfId="9188" xr:uid="{00000000-0005-0000-0000-0000E4230000}"/>
    <cellStyle name="Percentuale 23 2" xfId="9189" xr:uid="{00000000-0005-0000-0000-0000E5230000}"/>
    <cellStyle name="Percentuale 23 2 2" xfId="9190" xr:uid="{00000000-0005-0000-0000-0000E6230000}"/>
    <cellStyle name="Percentuale 23 2 2 2" xfId="9191" xr:uid="{00000000-0005-0000-0000-0000E7230000}"/>
    <cellStyle name="Percentuale 23 2 3" xfId="9192" xr:uid="{00000000-0005-0000-0000-0000E8230000}"/>
    <cellStyle name="Percentuale 23 3" xfId="9193" xr:uid="{00000000-0005-0000-0000-0000E9230000}"/>
    <cellStyle name="Percentuale 23 3 2" xfId="9194" xr:uid="{00000000-0005-0000-0000-0000EA230000}"/>
    <cellStyle name="Percentuale 23 3 2 2" xfId="9195" xr:uid="{00000000-0005-0000-0000-0000EB230000}"/>
    <cellStyle name="Percentuale 23 3 2 3" xfId="9196" xr:uid="{00000000-0005-0000-0000-0000EC230000}"/>
    <cellStyle name="Percentuale 23 3 2 3 2" xfId="9197" xr:uid="{00000000-0005-0000-0000-0000ED230000}"/>
    <cellStyle name="Percentuale 23 3 3" xfId="9198" xr:uid="{00000000-0005-0000-0000-0000EE230000}"/>
    <cellStyle name="Percentuale 23 3 3 2" xfId="9199" xr:uid="{00000000-0005-0000-0000-0000EF230000}"/>
    <cellStyle name="Percentuale 23 3 4" xfId="9200" xr:uid="{00000000-0005-0000-0000-0000F0230000}"/>
    <cellStyle name="Percentuale 23 3 4 2" xfId="9201" xr:uid="{00000000-0005-0000-0000-0000F1230000}"/>
    <cellStyle name="Percentuale 23 3 5" xfId="9202" xr:uid="{00000000-0005-0000-0000-0000F2230000}"/>
    <cellStyle name="Percentuale 23 4" xfId="9203" xr:uid="{00000000-0005-0000-0000-0000F3230000}"/>
    <cellStyle name="Percentuale 23 4 2" xfId="9204" xr:uid="{00000000-0005-0000-0000-0000F4230000}"/>
    <cellStyle name="Percentuale 23 4 2 2" xfId="9205" xr:uid="{00000000-0005-0000-0000-0000F5230000}"/>
    <cellStyle name="Percentuale 23 4 3" xfId="9206" xr:uid="{00000000-0005-0000-0000-0000F6230000}"/>
    <cellStyle name="Percentuale 23 5" xfId="9207" xr:uid="{00000000-0005-0000-0000-0000F7230000}"/>
    <cellStyle name="Percentuale 23 6" xfId="9208" xr:uid="{00000000-0005-0000-0000-0000F8230000}"/>
    <cellStyle name="Percentuale 23 6 2" xfId="9209" xr:uid="{00000000-0005-0000-0000-0000F9230000}"/>
    <cellStyle name="Percentuale 24" xfId="9210" xr:uid="{00000000-0005-0000-0000-0000FA230000}"/>
    <cellStyle name="Percentuale 24 2" xfId="9211" xr:uid="{00000000-0005-0000-0000-0000FB230000}"/>
    <cellStyle name="Percentuale 24 2 2" xfId="9212" xr:uid="{00000000-0005-0000-0000-0000FC230000}"/>
    <cellStyle name="Percentuale 24 2 2 2" xfId="9213" xr:uid="{00000000-0005-0000-0000-0000FD230000}"/>
    <cellStyle name="Percentuale 24 2 3" xfId="9214" xr:uid="{00000000-0005-0000-0000-0000FE230000}"/>
    <cellStyle name="Percentuale 24 3" xfId="9215" xr:uid="{00000000-0005-0000-0000-0000FF230000}"/>
    <cellStyle name="Percentuale 24 3 2" xfId="9216" xr:uid="{00000000-0005-0000-0000-000000240000}"/>
    <cellStyle name="Percentuale 24 3 2 2" xfId="9217" xr:uid="{00000000-0005-0000-0000-000001240000}"/>
    <cellStyle name="Percentuale 24 3 2 3" xfId="9218" xr:uid="{00000000-0005-0000-0000-000002240000}"/>
    <cellStyle name="Percentuale 24 3 2 3 2" xfId="9219" xr:uid="{00000000-0005-0000-0000-000003240000}"/>
    <cellStyle name="Percentuale 24 3 3" xfId="9220" xr:uid="{00000000-0005-0000-0000-000004240000}"/>
    <cellStyle name="Percentuale 24 3 3 2" xfId="9221" xr:uid="{00000000-0005-0000-0000-000005240000}"/>
    <cellStyle name="Percentuale 24 3 4" xfId="9222" xr:uid="{00000000-0005-0000-0000-000006240000}"/>
    <cellStyle name="Percentuale 24 3 4 2" xfId="9223" xr:uid="{00000000-0005-0000-0000-000007240000}"/>
    <cellStyle name="Percentuale 24 3 5" xfId="9224" xr:uid="{00000000-0005-0000-0000-000008240000}"/>
    <cellStyle name="Percentuale 24 4" xfId="9225" xr:uid="{00000000-0005-0000-0000-000009240000}"/>
    <cellStyle name="Percentuale 24 4 2" xfId="9226" xr:uid="{00000000-0005-0000-0000-00000A240000}"/>
    <cellStyle name="Percentuale 24 4 2 2" xfId="9227" xr:uid="{00000000-0005-0000-0000-00000B240000}"/>
    <cellStyle name="Percentuale 24 4 3" xfId="9228" xr:uid="{00000000-0005-0000-0000-00000C240000}"/>
    <cellStyle name="Percentuale 24 5" xfId="9229" xr:uid="{00000000-0005-0000-0000-00000D240000}"/>
    <cellStyle name="Percentuale 24 6" xfId="9230" xr:uid="{00000000-0005-0000-0000-00000E240000}"/>
    <cellStyle name="Percentuale 24 6 2" xfId="9231" xr:uid="{00000000-0005-0000-0000-00000F240000}"/>
    <cellStyle name="Percentuale 25" xfId="9232" xr:uid="{00000000-0005-0000-0000-000010240000}"/>
    <cellStyle name="Percentuale 25 2" xfId="9233" xr:uid="{00000000-0005-0000-0000-000011240000}"/>
    <cellStyle name="Percentuale 25 2 2" xfId="9234" xr:uid="{00000000-0005-0000-0000-000012240000}"/>
    <cellStyle name="Percentuale 25 2 2 2" xfId="9235" xr:uid="{00000000-0005-0000-0000-000013240000}"/>
    <cellStyle name="Percentuale 25 2 3" xfId="9236" xr:uid="{00000000-0005-0000-0000-000014240000}"/>
    <cellStyle name="Percentuale 25 3" xfId="9237" xr:uid="{00000000-0005-0000-0000-000015240000}"/>
    <cellStyle name="Percentuale 25 3 2" xfId="9238" xr:uid="{00000000-0005-0000-0000-000016240000}"/>
    <cellStyle name="Percentuale 25 3 2 2" xfId="9239" xr:uid="{00000000-0005-0000-0000-000017240000}"/>
    <cellStyle name="Percentuale 25 3 2 3" xfId="9240" xr:uid="{00000000-0005-0000-0000-000018240000}"/>
    <cellStyle name="Percentuale 25 3 2 3 2" xfId="9241" xr:uid="{00000000-0005-0000-0000-000019240000}"/>
    <cellStyle name="Percentuale 25 3 3" xfId="9242" xr:uid="{00000000-0005-0000-0000-00001A240000}"/>
    <cellStyle name="Percentuale 25 3 3 2" xfId="9243" xr:uid="{00000000-0005-0000-0000-00001B240000}"/>
    <cellStyle name="Percentuale 25 3 4" xfId="9244" xr:uid="{00000000-0005-0000-0000-00001C240000}"/>
    <cellStyle name="Percentuale 25 3 4 2" xfId="9245" xr:uid="{00000000-0005-0000-0000-00001D240000}"/>
    <cellStyle name="Percentuale 25 3 5" xfId="9246" xr:uid="{00000000-0005-0000-0000-00001E240000}"/>
    <cellStyle name="Percentuale 25 4" xfId="9247" xr:uid="{00000000-0005-0000-0000-00001F240000}"/>
    <cellStyle name="Percentuale 25 4 2" xfId="9248" xr:uid="{00000000-0005-0000-0000-000020240000}"/>
    <cellStyle name="Percentuale 25 4 2 2" xfId="9249" xr:uid="{00000000-0005-0000-0000-000021240000}"/>
    <cellStyle name="Percentuale 25 4 3" xfId="9250" xr:uid="{00000000-0005-0000-0000-000022240000}"/>
    <cellStyle name="Percentuale 25 5" xfId="9251" xr:uid="{00000000-0005-0000-0000-000023240000}"/>
    <cellStyle name="Percentuale 25 6" xfId="9252" xr:uid="{00000000-0005-0000-0000-000024240000}"/>
    <cellStyle name="Percentuale 25 6 2" xfId="9253" xr:uid="{00000000-0005-0000-0000-000025240000}"/>
    <cellStyle name="Percentuale 26" xfId="9254" xr:uid="{00000000-0005-0000-0000-000026240000}"/>
    <cellStyle name="Percentuale 26 2" xfId="9255" xr:uid="{00000000-0005-0000-0000-000027240000}"/>
    <cellStyle name="Percentuale 26 2 2" xfId="9256" xr:uid="{00000000-0005-0000-0000-000028240000}"/>
    <cellStyle name="Percentuale 26 2 2 2" xfId="9257" xr:uid="{00000000-0005-0000-0000-000029240000}"/>
    <cellStyle name="Percentuale 26 2 3" xfId="9258" xr:uid="{00000000-0005-0000-0000-00002A240000}"/>
    <cellStyle name="Percentuale 26 3" xfId="9259" xr:uid="{00000000-0005-0000-0000-00002B240000}"/>
    <cellStyle name="Percentuale 26 3 2" xfId="9260" xr:uid="{00000000-0005-0000-0000-00002C240000}"/>
    <cellStyle name="Percentuale 26 3 2 2" xfId="9261" xr:uid="{00000000-0005-0000-0000-00002D240000}"/>
    <cellStyle name="Percentuale 26 3 2 3" xfId="9262" xr:uid="{00000000-0005-0000-0000-00002E240000}"/>
    <cellStyle name="Percentuale 26 3 2 3 2" xfId="9263" xr:uid="{00000000-0005-0000-0000-00002F240000}"/>
    <cellStyle name="Percentuale 26 3 3" xfId="9264" xr:uid="{00000000-0005-0000-0000-000030240000}"/>
    <cellStyle name="Percentuale 26 3 3 2" xfId="9265" xr:uid="{00000000-0005-0000-0000-000031240000}"/>
    <cellStyle name="Percentuale 26 3 4" xfId="9266" xr:uid="{00000000-0005-0000-0000-000032240000}"/>
    <cellStyle name="Percentuale 26 3 4 2" xfId="9267" xr:uid="{00000000-0005-0000-0000-000033240000}"/>
    <cellStyle name="Percentuale 26 3 5" xfId="9268" xr:uid="{00000000-0005-0000-0000-000034240000}"/>
    <cellStyle name="Percentuale 26 4" xfId="9269" xr:uid="{00000000-0005-0000-0000-000035240000}"/>
    <cellStyle name="Percentuale 26 4 2" xfId="9270" xr:uid="{00000000-0005-0000-0000-000036240000}"/>
    <cellStyle name="Percentuale 26 4 2 2" xfId="9271" xr:uid="{00000000-0005-0000-0000-000037240000}"/>
    <cellStyle name="Percentuale 26 4 3" xfId="9272" xr:uid="{00000000-0005-0000-0000-000038240000}"/>
    <cellStyle name="Percentuale 26 5" xfId="9273" xr:uid="{00000000-0005-0000-0000-000039240000}"/>
    <cellStyle name="Percentuale 26 6" xfId="9274" xr:uid="{00000000-0005-0000-0000-00003A240000}"/>
    <cellStyle name="Percentuale 26 6 2" xfId="9275" xr:uid="{00000000-0005-0000-0000-00003B240000}"/>
    <cellStyle name="Percentuale 27" xfId="9276" xr:uid="{00000000-0005-0000-0000-00003C240000}"/>
    <cellStyle name="Percentuale 27 2" xfId="9277" xr:uid="{00000000-0005-0000-0000-00003D240000}"/>
    <cellStyle name="Percentuale 27 2 2" xfId="9278" xr:uid="{00000000-0005-0000-0000-00003E240000}"/>
    <cellStyle name="Percentuale 27 2 2 2" xfId="9279" xr:uid="{00000000-0005-0000-0000-00003F240000}"/>
    <cellStyle name="Percentuale 27 2 3" xfId="9280" xr:uid="{00000000-0005-0000-0000-000040240000}"/>
    <cellStyle name="Percentuale 27 3" xfId="9281" xr:uid="{00000000-0005-0000-0000-000041240000}"/>
    <cellStyle name="Percentuale 27 3 2" xfId="9282" xr:uid="{00000000-0005-0000-0000-000042240000}"/>
    <cellStyle name="Percentuale 27 3 2 2" xfId="9283" xr:uid="{00000000-0005-0000-0000-000043240000}"/>
    <cellStyle name="Percentuale 27 3 2 3" xfId="9284" xr:uid="{00000000-0005-0000-0000-000044240000}"/>
    <cellStyle name="Percentuale 27 3 2 3 2" xfId="9285" xr:uid="{00000000-0005-0000-0000-000045240000}"/>
    <cellStyle name="Percentuale 27 3 3" xfId="9286" xr:uid="{00000000-0005-0000-0000-000046240000}"/>
    <cellStyle name="Percentuale 27 3 3 2" xfId="9287" xr:uid="{00000000-0005-0000-0000-000047240000}"/>
    <cellStyle name="Percentuale 27 3 4" xfId="9288" xr:uid="{00000000-0005-0000-0000-000048240000}"/>
    <cellStyle name="Percentuale 27 3 4 2" xfId="9289" xr:uid="{00000000-0005-0000-0000-000049240000}"/>
    <cellStyle name="Percentuale 27 3 5" xfId="9290" xr:uid="{00000000-0005-0000-0000-00004A240000}"/>
    <cellStyle name="Percentuale 27 4" xfId="9291" xr:uid="{00000000-0005-0000-0000-00004B240000}"/>
    <cellStyle name="Percentuale 27 4 2" xfId="9292" xr:uid="{00000000-0005-0000-0000-00004C240000}"/>
    <cellStyle name="Percentuale 27 4 2 2" xfId="9293" xr:uid="{00000000-0005-0000-0000-00004D240000}"/>
    <cellStyle name="Percentuale 27 4 3" xfId="9294" xr:uid="{00000000-0005-0000-0000-00004E240000}"/>
    <cellStyle name="Percentuale 27 5" xfId="9295" xr:uid="{00000000-0005-0000-0000-00004F240000}"/>
    <cellStyle name="Percentuale 27 6" xfId="9296" xr:uid="{00000000-0005-0000-0000-000050240000}"/>
    <cellStyle name="Percentuale 27 6 2" xfId="9297" xr:uid="{00000000-0005-0000-0000-000051240000}"/>
    <cellStyle name="Percentuale 28" xfId="9298" xr:uid="{00000000-0005-0000-0000-000052240000}"/>
    <cellStyle name="Percentuale 28 2" xfId="9299" xr:uid="{00000000-0005-0000-0000-000053240000}"/>
    <cellStyle name="Percentuale 28 2 2" xfId="9300" xr:uid="{00000000-0005-0000-0000-000054240000}"/>
    <cellStyle name="Percentuale 28 2 2 2" xfId="9301" xr:uid="{00000000-0005-0000-0000-000055240000}"/>
    <cellStyle name="Percentuale 28 2 3" xfId="9302" xr:uid="{00000000-0005-0000-0000-000056240000}"/>
    <cellStyle name="Percentuale 28 3" xfId="9303" xr:uid="{00000000-0005-0000-0000-000057240000}"/>
    <cellStyle name="Percentuale 28 3 2" xfId="9304" xr:uid="{00000000-0005-0000-0000-000058240000}"/>
    <cellStyle name="Percentuale 28 3 2 2" xfId="9305" xr:uid="{00000000-0005-0000-0000-000059240000}"/>
    <cellStyle name="Percentuale 28 3 2 3" xfId="9306" xr:uid="{00000000-0005-0000-0000-00005A240000}"/>
    <cellStyle name="Percentuale 28 3 2 3 2" xfId="9307" xr:uid="{00000000-0005-0000-0000-00005B240000}"/>
    <cellStyle name="Percentuale 28 3 3" xfId="9308" xr:uid="{00000000-0005-0000-0000-00005C240000}"/>
    <cellStyle name="Percentuale 28 3 3 2" xfId="9309" xr:uid="{00000000-0005-0000-0000-00005D240000}"/>
    <cellStyle name="Percentuale 28 3 4" xfId="9310" xr:uid="{00000000-0005-0000-0000-00005E240000}"/>
    <cellStyle name="Percentuale 28 3 4 2" xfId="9311" xr:uid="{00000000-0005-0000-0000-00005F240000}"/>
    <cellStyle name="Percentuale 28 3 5" xfId="9312" xr:uid="{00000000-0005-0000-0000-000060240000}"/>
    <cellStyle name="Percentuale 28 4" xfId="9313" xr:uid="{00000000-0005-0000-0000-000061240000}"/>
    <cellStyle name="Percentuale 28 4 2" xfId="9314" xr:uid="{00000000-0005-0000-0000-000062240000}"/>
    <cellStyle name="Percentuale 28 4 2 2" xfId="9315" xr:uid="{00000000-0005-0000-0000-000063240000}"/>
    <cellStyle name="Percentuale 28 4 3" xfId="9316" xr:uid="{00000000-0005-0000-0000-000064240000}"/>
    <cellStyle name="Percentuale 28 5" xfId="9317" xr:uid="{00000000-0005-0000-0000-000065240000}"/>
    <cellStyle name="Percentuale 28 6" xfId="9318" xr:uid="{00000000-0005-0000-0000-000066240000}"/>
    <cellStyle name="Percentuale 28 6 2" xfId="9319" xr:uid="{00000000-0005-0000-0000-000067240000}"/>
    <cellStyle name="Percentuale 29" xfId="9320" xr:uid="{00000000-0005-0000-0000-000068240000}"/>
    <cellStyle name="Percentuale 29 2" xfId="9321" xr:uid="{00000000-0005-0000-0000-000069240000}"/>
    <cellStyle name="Percentuale 29 2 2" xfId="9322" xr:uid="{00000000-0005-0000-0000-00006A240000}"/>
    <cellStyle name="Percentuale 29 2 2 2" xfId="9323" xr:uid="{00000000-0005-0000-0000-00006B240000}"/>
    <cellStyle name="Percentuale 29 2 3" xfId="9324" xr:uid="{00000000-0005-0000-0000-00006C240000}"/>
    <cellStyle name="Percentuale 29 3" xfId="9325" xr:uid="{00000000-0005-0000-0000-00006D240000}"/>
    <cellStyle name="Percentuale 29 3 2" xfId="9326" xr:uid="{00000000-0005-0000-0000-00006E240000}"/>
    <cellStyle name="Percentuale 29 3 2 2" xfId="9327" xr:uid="{00000000-0005-0000-0000-00006F240000}"/>
    <cellStyle name="Percentuale 29 3 2 3" xfId="9328" xr:uid="{00000000-0005-0000-0000-000070240000}"/>
    <cellStyle name="Percentuale 29 3 2 3 2" xfId="9329" xr:uid="{00000000-0005-0000-0000-000071240000}"/>
    <cellStyle name="Percentuale 29 3 3" xfId="9330" xr:uid="{00000000-0005-0000-0000-000072240000}"/>
    <cellStyle name="Percentuale 29 3 3 2" xfId="9331" xr:uid="{00000000-0005-0000-0000-000073240000}"/>
    <cellStyle name="Percentuale 29 3 4" xfId="9332" xr:uid="{00000000-0005-0000-0000-000074240000}"/>
    <cellStyle name="Percentuale 29 3 4 2" xfId="9333" xr:uid="{00000000-0005-0000-0000-000075240000}"/>
    <cellStyle name="Percentuale 29 3 5" xfId="9334" xr:uid="{00000000-0005-0000-0000-000076240000}"/>
    <cellStyle name="Percentuale 29 4" xfId="9335" xr:uid="{00000000-0005-0000-0000-000077240000}"/>
    <cellStyle name="Percentuale 29 4 2" xfId="9336" xr:uid="{00000000-0005-0000-0000-000078240000}"/>
    <cellStyle name="Percentuale 29 4 2 2" xfId="9337" xr:uid="{00000000-0005-0000-0000-000079240000}"/>
    <cellStyle name="Percentuale 29 4 3" xfId="9338" xr:uid="{00000000-0005-0000-0000-00007A240000}"/>
    <cellStyle name="Percentuale 29 5" xfId="9339" xr:uid="{00000000-0005-0000-0000-00007B240000}"/>
    <cellStyle name="Percentuale 29 6" xfId="9340" xr:uid="{00000000-0005-0000-0000-00007C240000}"/>
    <cellStyle name="Percentuale 29 6 2" xfId="9341" xr:uid="{00000000-0005-0000-0000-00007D240000}"/>
    <cellStyle name="Percentuale 3" xfId="9342" xr:uid="{00000000-0005-0000-0000-00007E240000}"/>
    <cellStyle name="Percentuale 3 2" xfId="9343" xr:uid="{00000000-0005-0000-0000-00007F240000}"/>
    <cellStyle name="Percentuale 3 2 2" xfId="9344" xr:uid="{00000000-0005-0000-0000-000080240000}"/>
    <cellStyle name="Percentuale 3 2 2 2" xfId="9345" xr:uid="{00000000-0005-0000-0000-000081240000}"/>
    <cellStyle name="Percentuale 3 2 3" xfId="9346" xr:uid="{00000000-0005-0000-0000-000082240000}"/>
    <cellStyle name="Percentuale 3 3" xfId="9347" xr:uid="{00000000-0005-0000-0000-000083240000}"/>
    <cellStyle name="Percentuale 3 3 2" xfId="9348" xr:uid="{00000000-0005-0000-0000-000084240000}"/>
    <cellStyle name="Percentuale 3 3 2 2" xfId="9349" xr:uid="{00000000-0005-0000-0000-000085240000}"/>
    <cellStyle name="Percentuale 3 3 2 3" xfId="9350" xr:uid="{00000000-0005-0000-0000-000086240000}"/>
    <cellStyle name="Percentuale 3 3 2 3 2" xfId="9351" xr:uid="{00000000-0005-0000-0000-000087240000}"/>
    <cellStyle name="Percentuale 3 3 3" xfId="9352" xr:uid="{00000000-0005-0000-0000-000088240000}"/>
    <cellStyle name="Percentuale 3 3 3 2" xfId="9353" xr:uid="{00000000-0005-0000-0000-000089240000}"/>
    <cellStyle name="Percentuale 3 3 4" xfId="9354" xr:uid="{00000000-0005-0000-0000-00008A240000}"/>
    <cellStyle name="Percentuale 3 3 4 2" xfId="9355" xr:uid="{00000000-0005-0000-0000-00008B240000}"/>
    <cellStyle name="Percentuale 3 3 5" xfId="9356" xr:uid="{00000000-0005-0000-0000-00008C240000}"/>
    <cellStyle name="Percentuale 3 4" xfId="9357" xr:uid="{00000000-0005-0000-0000-00008D240000}"/>
    <cellStyle name="Percentuale 3 4 2" xfId="9358" xr:uid="{00000000-0005-0000-0000-00008E240000}"/>
    <cellStyle name="Percentuale 3 4 2 2" xfId="9359" xr:uid="{00000000-0005-0000-0000-00008F240000}"/>
    <cellStyle name="Percentuale 3 4 3" xfId="9360" xr:uid="{00000000-0005-0000-0000-000090240000}"/>
    <cellStyle name="Percentuale 3 5" xfId="9361" xr:uid="{00000000-0005-0000-0000-000091240000}"/>
    <cellStyle name="Percentuale 3 6" xfId="9362" xr:uid="{00000000-0005-0000-0000-000092240000}"/>
    <cellStyle name="Percentuale 3 6 2" xfId="9363" xr:uid="{00000000-0005-0000-0000-000093240000}"/>
    <cellStyle name="Percentuale 30" xfId="9364" xr:uid="{00000000-0005-0000-0000-000094240000}"/>
    <cellStyle name="Percentuale 30 2" xfId="9365" xr:uid="{00000000-0005-0000-0000-000095240000}"/>
    <cellStyle name="Percentuale 30 2 2" xfId="9366" xr:uid="{00000000-0005-0000-0000-000096240000}"/>
    <cellStyle name="Percentuale 30 2 2 2" xfId="9367" xr:uid="{00000000-0005-0000-0000-000097240000}"/>
    <cellStyle name="Percentuale 30 2 3" xfId="9368" xr:uid="{00000000-0005-0000-0000-000098240000}"/>
    <cellStyle name="Percentuale 30 3" xfId="9369" xr:uid="{00000000-0005-0000-0000-000099240000}"/>
    <cellStyle name="Percentuale 30 3 2" xfId="9370" xr:uid="{00000000-0005-0000-0000-00009A240000}"/>
    <cellStyle name="Percentuale 30 3 2 2" xfId="9371" xr:uid="{00000000-0005-0000-0000-00009B240000}"/>
    <cellStyle name="Percentuale 30 3 2 3" xfId="9372" xr:uid="{00000000-0005-0000-0000-00009C240000}"/>
    <cellStyle name="Percentuale 30 3 2 3 2" xfId="9373" xr:uid="{00000000-0005-0000-0000-00009D240000}"/>
    <cellStyle name="Percentuale 30 3 3" xfId="9374" xr:uid="{00000000-0005-0000-0000-00009E240000}"/>
    <cellStyle name="Percentuale 30 3 3 2" xfId="9375" xr:uid="{00000000-0005-0000-0000-00009F240000}"/>
    <cellStyle name="Percentuale 30 3 4" xfId="9376" xr:uid="{00000000-0005-0000-0000-0000A0240000}"/>
    <cellStyle name="Percentuale 30 3 4 2" xfId="9377" xr:uid="{00000000-0005-0000-0000-0000A1240000}"/>
    <cellStyle name="Percentuale 30 3 5" xfId="9378" xr:uid="{00000000-0005-0000-0000-0000A2240000}"/>
    <cellStyle name="Percentuale 30 4" xfId="9379" xr:uid="{00000000-0005-0000-0000-0000A3240000}"/>
    <cellStyle name="Percentuale 30 4 2" xfId="9380" xr:uid="{00000000-0005-0000-0000-0000A4240000}"/>
    <cellStyle name="Percentuale 30 4 2 2" xfId="9381" xr:uid="{00000000-0005-0000-0000-0000A5240000}"/>
    <cellStyle name="Percentuale 30 4 3" xfId="9382" xr:uid="{00000000-0005-0000-0000-0000A6240000}"/>
    <cellStyle name="Percentuale 30 5" xfId="9383" xr:uid="{00000000-0005-0000-0000-0000A7240000}"/>
    <cellStyle name="Percentuale 30 6" xfId="9384" xr:uid="{00000000-0005-0000-0000-0000A8240000}"/>
    <cellStyle name="Percentuale 30 6 2" xfId="9385" xr:uid="{00000000-0005-0000-0000-0000A9240000}"/>
    <cellStyle name="Percentuale 31" xfId="9386" xr:uid="{00000000-0005-0000-0000-0000AA240000}"/>
    <cellStyle name="Percentuale 31 2" xfId="9387" xr:uid="{00000000-0005-0000-0000-0000AB240000}"/>
    <cellStyle name="Percentuale 31 2 2" xfId="9388" xr:uid="{00000000-0005-0000-0000-0000AC240000}"/>
    <cellStyle name="Percentuale 31 2 2 2" xfId="9389" xr:uid="{00000000-0005-0000-0000-0000AD240000}"/>
    <cellStyle name="Percentuale 31 2 3" xfId="9390" xr:uid="{00000000-0005-0000-0000-0000AE240000}"/>
    <cellStyle name="Percentuale 31 3" xfId="9391" xr:uid="{00000000-0005-0000-0000-0000AF240000}"/>
    <cellStyle name="Percentuale 31 3 2" xfId="9392" xr:uid="{00000000-0005-0000-0000-0000B0240000}"/>
    <cellStyle name="Percentuale 31 3 2 2" xfId="9393" xr:uid="{00000000-0005-0000-0000-0000B1240000}"/>
    <cellStyle name="Percentuale 31 3 2 3" xfId="9394" xr:uid="{00000000-0005-0000-0000-0000B2240000}"/>
    <cellStyle name="Percentuale 31 3 2 3 2" xfId="9395" xr:uid="{00000000-0005-0000-0000-0000B3240000}"/>
    <cellStyle name="Percentuale 31 3 3" xfId="9396" xr:uid="{00000000-0005-0000-0000-0000B4240000}"/>
    <cellStyle name="Percentuale 31 3 3 2" xfId="9397" xr:uid="{00000000-0005-0000-0000-0000B5240000}"/>
    <cellStyle name="Percentuale 31 3 4" xfId="9398" xr:uid="{00000000-0005-0000-0000-0000B6240000}"/>
    <cellStyle name="Percentuale 31 3 4 2" xfId="9399" xr:uid="{00000000-0005-0000-0000-0000B7240000}"/>
    <cellStyle name="Percentuale 31 3 5" xfId="9400" xr:uid="{00000000-0005-0000-0000-0000B8240000}"/>
    <cellStyle name="Percentuale 31 4" xfId="9401" xr:uid="{00000000-0005-0000-0000-0000B9240000}"/>
    <cellStyle name="Percentuale 31 4 2" xfId="9402" xr:uid="{00000000-0005-0000-0000-0000BA240000}"/>
    <cellStyle name="Percentuale 31 4 2 2" xfId="9403" xr:uid="{00000000-0005-0000-0000-0000BB240000}"/>
    <cellStyle name="Percentuale 31 4 3" xfId="9404" xr:uid="{00000000-0005-0000-0000-0000BC240000}"/>
    <cellStyle name="Percentuale 31 5" xfId="9405" xr:uid="{00000000-0005-0000-0000-0000BD240000}"/>
    <cellStyle name="Percentuale 31 6" xfId="9406" xr:uid="{00000000-0005-0000-0000-0000BE240000}"/>
    <cellStyle name="Percentuale 31 6 2" xfId="9407" xr:uid="{00000000-0005-0000-0000-0000BF240000}"/>
    <cellStyle name="Percentuale 32" xfId="9408" xr:uid="{00000000-0005-0000-0000-0000C0240000}"/>
    <cellStyle name="Percentuale 32 2" xfId="9409" xr:uid="{00000000-0005-0000-0000-0000C1240000}"/>
    <cellStyle name="Percentuale 32 2 2" xfId="9410" xr:uid="{00000000-0005-0000-0000-0000C2240000}"/>
    <cellStyle name="Percentuale 32 2 2 2" xfId="9411" xr:uid="{00000000-0005-0000-0000-0000C3240000}"/>
    <cellStyle name="Percentuale 32 2 3" xfId="9412" xr:uid="{00000000-0005-0000-0000-0000C4240000}"/>
    <cellStyle name="Percentuale 32 3" xfId="9413" xr:uid="{00000000-0005-0000-0000-0000C5240000}"/>
    <cellStyle name="Percentuale 32 3 2" xfId="9414" xr:uid="{00000000-0005-0000-0000-0000C6240000}"/>
    <cellStyle name="Percentuale 32 3 2 2" xfId="9415" xr:uid="{00000000-0005-0000-0000-0000C7240000}"/>
    <cellStyle name="Percentuale 32 3 2 3" xfId="9416" xr:uid="{00000000-0005-0000-0000-0000C8240000}"/>
    <cellStyle name="Percentuale 32 3 2 3 2" xfId="9417" xr:uid="{00000000-0005-0000-0000-0000C9240000}"/>
    <cellStyle name="Percentuale 32 3 3" xfId="9418" xr:uid="{00000000-0005-0000-0000-0000CA240000}"/>
    <cellStyle name="Percentuale 32 3 3 2" xfId="9419" xr:uid="{00000000-0005-0000-0000-0000CB240000}"/>
    <cellStyle name="Percentuale 32 3 4" xfId="9420" xr:uid="{00000000-0005-0000-0000-0000CC240000}"/>
    <cellStyle name="Percentuale 32 3 4 2" xfId="9421" xr:uid="{00000000-0005-0000-0000-0000CD240000}"/>
    <cellStyle name="Percentuale 32 3 5" xfId="9422" xr:uid="{00000000-0005-0000-0000-0000CE240000}"/>
    <cellStyle name="Percentuale 32 4" xfId="9423" xr:uid="{00000000-0005-0000-0000-0000CF240000}"/>
    <cellStyle name="Percentuale 32 4 2" xfId="9424" xr:uid="{00000000-0005-0000-0000-0000D0240000}"/>
    <cellStyle name="Percentuale 32 4 2 2" xfId="9425" xr:uid="{00000000-0005-0000-0000-0000D1240000}"/>
    <cellStyle name="Percentuale 32 4 3" xfId="9426" xr:uid="{00000000-0005-0000-0000-0000D2240000}"/>
    <cellStyle name="Percentuale 32 5" xfId="9427" xr:uid="{00000000-0005-0000-0000-0000D3240000}"/>
    <cellStyle name="Percentuale 32 6" xfId="9428" xr:uid="{00000000-0005-0000-0000-0000D4240000}"/>
    <cellStyle name="Percentuale 32 6 2" xfId="9429" xr:uid="{00000000-0005-0000-0000-0000D5240000}"/>
    <cellStyle name="Percentuale 33" xfId="9430" xr:uid="{00000000-0005-0000-0000-0000D6240000}"/>
    <cellStyle name="Percentuale 33 2" xfId="9431" xr:uid="{00000000-0005-0000-0000-0000D7240000}"/>
    <cellStyle name="Percentuale 33 2 2" xfId="9432" xr:uid="{00000000-0005-0000-0000-0000D8240000}"/>
    <cellStyle name="Percentuale 33 2 2 2" xfId="9433" xr:uid="{00000000-0005-0000-0000-0000D9240000}"/>
    <cellStyle name="Percentuale 33 2 3" xfId="9434" xr:uid="{00000000-0005-0000-0000-0000DA240000}"/>
    <cellStyle name="Percentuale 33 3" xfId="9435" xr:uid="{00000000-0005-0000-0000-0000DB240000}"/>
    <cellStyle name="Percentuale 33 3 2" xfId="9436" xr:uid="{00000000-0005-0000-0000-0000DC240000}"/>
    <cellStyle name="Percentuale 33 3 2 2" xfId="9437" xr:uid="{00000000-0005-0000-0000-0000DD240000}"/>
    <cellStyle name="Percentuale 33 3 2 3" xfId="9438" xr:uid="{00000000-0005-0000-0000-0000DE240000}"/>
    <cellStyle name="Percentuale 33 3 2 3 2" xfId="9439" xr:uid="{00000000-0005-0000-0000-0000DF240000}"/>
    <cellStyle name="Percentuale 33 3 3" xfId="9440" xr:uid="{00000000-0005-0000-0000-0000E0240000}"/>
    <cellStyle name="Percentuale 33 3 3 2" xfId="9441" xr:uid="{00000000-0005-0000-0000-0000E1240000}"/>
    <cellStyle name="Percentuale 33 3 4" xfId="9442" xr:uid="{00000000-0005-0000-0000-0000E2240000}"/>
    <cellStyle name="Percentuale 33 3 4 2" xfId="9443" xr:uid="{00000000-0005-0000-0000-0000E3240000}"/>
    <cellStyle name="Percentuale 33 3 5" xfId="9444" xr:uid="{00000000-0005-0000-0000-0000E4240000}"/>
    <cellStyle name="Percentuale 33 4" xfId="9445" xr:uid="{00000000-0005-0000-0000-0000E5240000}"/>
    <cellStyle name="Percentuale 33 4 2" xfId="9446" xr:uid="{00000000-0005-0000-0000-0000E6240000}"/>
    <cellStyle name="Percentuale 33 4 2 2" xfId="9447" xr:uid="{00000000-0005-0000-0000-0000E7240000}"/>
    <cellStyle name="Percentuale 33 4 3" xfId="9448" xr:uid="{00000000-0005-0000-0000-0000E8240000}"/>
    <cellStyle name="Percentuale 33 5" xfId="9449" xr:uid="{00000000-0005-0000-0000-0000E9240000}"/>
    <cellStyle name="Percentuale 33 6" xfId="9450" xr:uid="{00000000-0005-0000-0000-0000EA240000}"/>
    <cellStyle name="Percentuale 33 6 2" xfId="9451" xr:uid="{00000000-0005-0000-0000-0000EB240000}"/>
    <cellStyle name="Percentuale 34" xfId="9452" xr:uid="{00000000-0005-0000-0000-0000EC240000}"/>
    <cellStyle name="Percentuale 34 2" xfId="9453" xr:uid="{00000000-0005-0000-0000-0000ED240000}"/>
    <cellStyle name="Percentuale 34 2 2" xfId="9454" xr:uid="{00000000-0005-0000-0000-0000EE240000}"/>
    <cellStyle name="Percentuale 34 2 2 2" xfId="9455" xr:uid="{00000000-0005-0000-0000-0000EF240000}"/>
    <cellStyle name="Percentuale 34 2 3" xfId="9456" xr:uid="{00000000-0005-0000-0000-0000F0240000}"/>
    <cellStyle name="Percentuale 34 3" xfId="9457" xr:uid="{00000000-0005-0000-0000-0000F1240000}"/>
    <cellStyle name="Percentuale 34 3 2" xfId="9458" xr:uid="{00000000-0005-0000-0000-0000F2240000}"/>
    <cellStyle name="Percentuale 34 3 2 2" xfId="9459" xr:uid="{00000000-0005-0000-0000-0000F3240000}"/>
    <cellStyle name="Percentuale 34 3 2 3" xfId="9460" xr:uid="{00000000-0005-0000-0000-0000F4240000}"/>
    <cellStyle name="Percentuale 34 3 2 3 2" xfId="9461" xr:uid="{00000000-0005-0000-0000-0000F5240000}"/>
    <cellStyle name="Percentuale 34 3 3" xfId="9462" xr:uid="{00000000-0005-0000-0000-0000F6240000}"/>
    <cellStyle name="Percentuale 34 3 3 2" xfId="9463" xr:uid="{00000000-0005-0000-0000-0000F7240000}"/>
    <cellStyle name="Percentuale 34 3 4" xfId="9464" xr:uid="{00000000-0005-0000-0000-0000F8240000}"/>
    <cellStyle name="Percentuale 34 3 4 2" xfId="9465" xr:uid="{00000000-0005-0000-0000-0000F9240000}"/>
    <cellStyle name="Percentuale 34 3 5" xfId="9466" xr:uid="{00000000-0005-0000-0000-0000FA240000}"/>
    <cellStyle name="Percentuale 34 4" xfId="9467" xr:uid="{00000000-0005-0000-0000-0000FB240000}"/>
    <cellStyle name="Percentuale 34 4 2" xfId="9468" xr:uid="{00000000-0005-0000-0000-0000FC240000}"/>
    <cellStyle name="Percentuale 34 4 2 2" xfId="9469" xr:uid="{00000000-0005-0000-0000-0000FD240000}"/>
    <cellStyle name="Percentuale 34 4 3" xfId="9470" xr:uid="{00000000-0005-0000-0000-0000FE240000}"/>
    <cellStyle name="Percentuale 34 5" xfId="9471" xr:uid="{00000000-0005-0000-0000-0000FF240000}"/>
    <cellStyle name="Percentuale 34 6" xfId="9472" xr:uid="{00000000-0005-0000-0000-000000250000}"/>
    <cellStyle name="Percentuale 34 6 2" xfId="9473" xr:uid="{00000000-0005-0000-0000-000001250000}"/>
    <cellStyle name="Percentuale 35" xfId="9474" xr:uid="{00000000-0005-0000-0000-000002250000}"/>
    <cellStyle name="Percentuale 35 2" xfId="9475" xr:uid="{00000000-0005-0000-0000-000003250000}"/>
    <cellStyle name="Percentuale 35 2 2" xfId="9476" xr:uid="{00000000-0005-0000-0000-000004250000}"/>
    <cellStyle name="Percentuale 35 2 2 2" xfId="9477" xr:uid="{00000000-0005-0000-0000-000005250000}"/>
    <cellStyle name="Percentuale 35 2 3" xfId="9478" xr:uid="{00000000-0005-0000-0000-000006250000}"/>
    <cellStyle name="Percentuale 35 3" xfId="9479" xr:uid="{00000000-0005-0000-0000-000007250000}"/>
    <cellStyle name="Percentuale 35 3 2" xfId="9480" xr:uid="{00000000-0005-0000-0000-000008250000}"/>
    <cellStyle name="Percentuale 35 3 2 2" xfId="9481" xr:uid="{00000000-0005-0000-0000-000009250000}"/>
    <cellStyle name="Percentuale 35 3 2 3" xfId="9482" xr:uid="{00000000-0005-0000-0000-00000A250000}"/>
    <cellStyle name="Percentuale 35 3 2 3 2" xfId="9483" xr:uid="{00000000-0005-0000-0000-00000B250000}"/>
    <cellStyle name="Percentuale 35 3 3" xfId="9484" xr:uid="{00000000-0005-0000-0000-00000C250000}"/>
    <cellStyle name="Percentuale 35 3 3 2" xfId="9485" xr:uid="{00000000-0005-0000-0000-00000D250000}"/>
    <cellStyle name="Percentuale 35 3 4" xfId="9486" xr:uid="{00000000-0005-0000-0000-00000E250000}"/>
    <cellStyle name="Percentuale 35 3 4 2" xfId="9487" xr:uid="{00000000-0005-0000-0000-00000F250000}"/>
    <cellStyle name="Percentuale 35 3 5" xfId="9488" xr:uid="{00000000-0005-0000-0000-000010250000}"/>
    <cellStyle name="Percentuale 35 4" xfId="9489" xr:uid="{00000000-0005-0000-0000-000011250000}"/>
    <cellStyle name="Percentuale 35 4 2" xfId="9490" xr:uid="{00000000-0005-0000-0000-000012250000}"/>
    <cellStyle name="Percentuale 35 4 2 2" xfId="9491" xr:uid="{00000000-0005-0000-0000-000013250000}"/>
    <cellStyle name="Percentuale 35 4 3" xfId="9492" xr:uid="{00000000-0005-0000-0000-000014250000}"/>
    <cellStyle name="Percentuale 35 5" xfId="9493" xr:uid="{00000000-0005-0000-0000-000015250000}"/>
    <cellStyle name="Percentuale 35 6" xfId="9494" xr:uid="{00000000-0005-0000-0000-000016250000}"/>
    <cellStyle name="Percentuale 35 6 2" xfId="9495" xr:uid="{00000000-0005-0000-0000-000017250000}"/>
    <cellStyle name="Percentuale 36" xfId="9496" xr:uid="{00000000-0005-0000-0000-000018250000}"/>
    <cellStyle name="Percentuale 36 2" xfId="9497" xr:uid="{00000000-0005-0000-0000-000019250000}"/>
    <cellStyle name="Percentuale 36 2 2" xfId="9498" xr:uid="{00000000-0005-0000-0000-00001A250000}"/>
    <cellStyle name="Percentuale 36 2 2 2" xfId="9499" xr:uid="{00000000-0005-0000-0000-00001B250000}"/>
    <cellStyle name="Percentuale 36 2 3" xfId="9500" xr:uid="{00000000-0005-0000-0000-00001C250000}"/>
    <cellStyle name="Percentuale 36 3" xfId="9501" xr:uid="{00000000-0005-0000-0000-00001D250000}"/>
    <cellStyle name="Percentuale 36 3 2" xfId="9502" xr:uid="{00000000-0005-0000-0000-00001E250000}"/>
    <cellStyle name="Percentuale 36 3 2 2" xfId="9503" xr:uid="{00000000-0005-0000-0000-00001F250000}"/>
    <cellStyle name="Percentuale 36 3 2 3" xfId="9504" xr:uid="{00000000-0005-0000-0000-000020250000}"/>
    <cellStyle name="Percentuale 36 3 2 3 2" xfId="9505" xr:uid="{00000000-0005-0000-0000-000021250000}"/>
    <cellStyle name="Percentuale 36 3 3" xfId="9506" xr:uid="{00000000-0005-0000-0000-000022250000}"/>
    <cellStyle name="Percentuale 36 3 3 2" xfId="9507" xr:uid="{00000000-0005-0000-0000-000023250000}"/>
    <cellStyle name="Percentuale 36 3 4" xfId="9508" xr:uid="{00000000-0005-0000-0000-000024250000}"/>
    <cellStyle name="Percentuale 36 3 4 2" xfId="9509" xr:uid="{00000000-0005-0000-0000-000025250000}"/>
    <cellStyle name="Percentuale 36 3 5" xfId="9510" xr:uid="{00000000-0005-0000-0000-000026250000}"/>
    <cellStyle name="Percentuale 36 4" xfId="9511" xr:uid="{00000000-0005-0000-0000-000027250000}"/>
    <cellStyle name="Percentuale 36 4 2" xfId="9512" xr:uid="{00000000-0005-0000-0000-000028250000}"/>
    <cellStyle name="Percentuale 36 4 2 2" xfId="9513" xr:uid="{00000000-0005-0000-0000-000029250000}"/>
    <cellStyle name="Percentuale 36 4 3" xfId="9514" xr:uid="{00000000-0005-0000-0000-00002A250000}"/>
    <cellStyle name="Percentuale 36 5" xfId="9515" xr:uid="{00000000-0005-0000-0000-00002B250000}"/>
    <cellStyle name="Percentuale 36 6" xfId="9516" xr:uid="{00000000-0005-0000-0000-00002C250000}"/>
    <cellStyle name="Percentuale 36 6 2" xfId="9517" xr:uid="{00000000-0005-0000-0000-00002D250000}"/>
    <cellStyle name="Percentuale 37" xfId="9518" xr:uid="{00000000-0005-0000-0000-00002E250000}"/>
    <cellStyle name="Percentuale 37 2" xfId="9519" xr:uid="{00000000-0005-0000-0000-00002F250000}"/>
    <cellStyle name="Percentuale 37 2 2" xfId="9520" xr:uid="{00000000-0005-0000-0000-000030250000}"/>
    <cellStyle name="Percentuale 37 2 2 2" xfId="9521" xr:uid="{00000000-0005-0000-0000-000031250000}"/>
    <cellStyle name="Percentuale 37 2 3" xfId="9522" xr:uid="{00000000-0005-0000-0000-000032250000}"/>
    <cellStyle name="Percentuale 37 3" xfId="9523" xr:uid="{00000000-0005-0000-0000-000033250000}"/>
    <cellStyle name="Percentuale 37 3 2" xfId="9524" xr:uid="{00000000-0005-0000-0000-000034250000}"/>
    <cellStyle name="Percentuale 37 3 2 2" xfId="9525" xr:uid="{00000000-0005-0000-0000-000035250000}"/>
    <cellStyle name="Percentuale 37 3 2 3" xfId="9526" xr:uid="{00000000-0005-0000-0000-000036250000}"/>
    <cellStyle name="Percentuale 37 3 2 3 2" xfId="9527" xr:uid="{00000000-0005-0000-0000-000037250000}"/>
    <cellStyle name="Percentuale 37 3 3" xfId="9528" xr:uid="{00000000-0005-0000-0000-000038250000}"/>
    <cellStyle name="Percentuale 37 3 3 2" xfId="9529" xr:uid="{00000000-0005-0000-0000-000039250000}"/>
    <cellStyle name="Percentuale 37 3 4" xfId="9530" xr:uid="{00000000-0005-0000-0000-00003A250000}"/>
    <cellStyle name="Percentuale 37 3 4 2" xfId="9531" xr:uid="{00000000-0005-0000-0000-00003B250000}"/>
    <cellStyle name="Percentuale 37 3 5" xfId="9532" xr:uid="{00000000-0005-0000-0000-00003C250000}"/>
    <cellStyle name="Percentuale 37 4" xfId="9533" xr:uid="{00000000-0005-0000-0000-00003D250000}"/>
    <cellStyle name="Percentuale 37 4 2" xfId="9534" xr:uid="{00000000-0005-0000-0000-00003E250000}"/>
    <cellStyle name="Percentuale 37 4 2 2" xfId="9535" xr:uid="{00000000-0005-0000-0000-00003F250000}"/>
    <cellStyle name="Percentuale 37 4 3" xfId="9536" xr:uid="{00000000-0005-0000-0000-000040250000}"/>
    <cellStyle name="Percentuale 37 5" xfId="9537" xr:uid="{00000000-0005-0000-0000-000041250000}"/>
    <cellStyle name="Percentuale 37 6" xfId="9538" xr:uid="{00000000-0005-0000-0000-000042250000}"/>
    <cellStyle name="Percentuale 37 6 2" xfId="9539" xr:uid="{00000000-0005-0000-0000-000043250000}"/>
    <cellStyle name="Percentuale 38" xfId="9540" xr:uid="{00000000-0005-0000-0000-000044250000}"/>
    <cellStyle name="Percentuale 38 2" xfId="9541" xr:uid="{00000000-0005-0000-0000-000045250000}"/>
    <cellStyle name="Percentuale 38 2 2" xfId="9542" xr:uid="{00000000-0005-0000-0000-000046250000}"/>
    <cellStyle name="Percentuale 38 2 2 2" xfId="9543" xr:uid="{00000000-0005-0000-0000-000047250000}"/>
    <cellStyle name="Percentuale 38 2 3" xfId="9544" xr:uid="{00000000-0005-0000-0000-000048250000}"/>
    <cellStyle name="Percentuale 38 3" xfId="9545" xr:uid="{00000000-0005-0000-0000-000049250000}"/>
    <cellStyle name="Percentuale 38 3 2" xfId="9546" xr:uid="{00000000-0005-0000-0000-00004A250000}"/>
    <cellStyle name="Percentuale 38 3 2 2" xfId="9547" xr:uid="{00000000-0005-0000-0000-00004B250000}"/>
    <cellStyle name="Percentuale 38 3 2 3" xfId="9548" xr:uid="{00000000-0005-0000-0000-00004C250000}"/>
    <cellStyle name="Percentuale 38 3 2 3 2" xfId="9549" xr:uid="{00000000-0005-0000-0000-00004D250000}"/>
    <cellStyle name="Percentuale 38 3 3" xfId="9550" xr:uid="{00000000-0005-0000-0000-00004E250000}"/>
    <cellStyle name="Percentuale 38 3 3 2" xfId="9551" xr:uid="{00000000-0005-0000-0000-00004F250000}"/>
    <cellStyle name="Percentuale 38 3 4" xfId="9552" xr:uid="{00000000-0005-0000-0000-000050250000}"/>
    <cellStyle name="Percentuale 38 3 4 2" xfId="9553" xr:uid="{00000000-0005-0000-0000-000051250000}"/>
    <cellStyle name="Percentuale 38 3 5" xfId="9554" xr:uid="{00000000-0005-0000-0000-000052250000}"/>
    <cellStyle name="Percentuale 38 4" xfId="9555" xr:uid="{00000000-0005-0000-0000-000053250000}"/>
    <cellStyle name="Percentuale 38 4 2" xfId="9556" xr:uid="{00000000-0005-0000-0000-000054250000}"/>
    <cellStyle name="Percentuale 38 4 2 2" xfId="9557" xr:uid="{00000000-0005-0000-0000-000055250000}"/>
    <cellStyle name="Percentuale 38 4 3" xfId="9558" xr:uid="{00000000-0005-0000-0000-000056250000}"/>
    <cellStyle name="Percentuale 38 5" xfId="9559" xr:uid="{00000000-0005-0000-0000-000057250000}"/>
    <cellStyle name="Percentuale 38 6" xfId="9560" xr:uid="{00000000-0005-0000-0000-000058250000}"/>
    <cellStyle name="Percentuale 38 6 2" xfId="9561" xr:uid="{00000000-0005-0000-0000-000059250000}"/>
    <cellStyle name="Percentuale 39" xfId="9562" xr:uid="{00000000-0005-0000-0000-00005A250000}"/>
    <cellStyle name="Percentuale 39 2" xfId="9563" xr:uid="{00000000-0005-0000-0000-00005B250000}"/>
    <cellStyle name="Percentuale 39 2 2" xfId="9564" xr:uid="{00000000-0005-0000-0000-00005C250000}"/>
    <cellStyle name="Percentuale 39 2 2 2" xfId="9565" xr:uid="{00000000-0005-0000-0000-00005D250000}"/>
    <cellStyle name="Percentuale 39 2 3" xfId="9566" xr:uid="{00000000-0005-0000-0000-00005E250000}"/>
    <cellStyle name="Percentuale 39 3" xfId="9567" xr:uid="{00000000-0005-0000-0000-00005F250000}"/>
    <cellStyle name="Percentuale 39 3 2" xfId="9568" xr:uid="{00000000-0005-0000-0000-000060250000}"/>
    <cellStyle name="Percentuale 39 3 2 2" xfId="9569" xr:uid="{00000000-0005-0000-0000-000061250000}"/>
    <cellStyle name="Percentuale 39 3 2 3" xfId="9570" xr:uid="{00000000-0005-0000-0000-000062250000}"/>
    <cellStyle name="Percentuale 39 3 2 3 2" xfId="9571" xr:uid="{00000000-0005-0000-0000-000063250000}"/>
    <cellStyle name="Percentuale 39 3 3" xfId="9572" xr:uid="{00000000-0005-0000-0000-000064250000}"/>
    <cellStyle name="Percentuale 39 3 3 2" xfId="9573" xr:uid="{00000000-0005-0000-0000-000065250000}"/>
    <cellStyle name="Percentuale 39 3 4" xfId="9574" xr:uid="{00000000-0005-0000-0000-000066250000}"/>
    <cellStyle name="Percentuale 39 3 4 2" xfId="9575" xr:uid="{00000000-0005-0000-0000-000067250000}"/>
    <cellStyle name="Percentuale 39 3 5" xfId="9576" xr:uid="{00000000-0005-0000-0000-000068250000}"/>
    <cellStyle name="Percentuale 39 4" xfId="9577" xr:uid="{00000000-0005-0000-0000-000069250000}"/>
    <cellStyle name="Percentuale 39 4 2" xfId="9578" xr:uid="{00000000-0005-0000-0000-00006A250000}"/>
    <cellStyle name="Percentuale 39 4 2 2" xfId="9579" xr:uid="{00000000-0005-0000-0000-00006B250000}"/>
    <cellStyle name="Percentuale 39 4 3" xfId="9580" xr:uid="{00000000-0005-0000-0000-00006C250000}"/>
    <cellStyle name="Percentuale 39 5" xfId="9581" xr:uid="{00000000-0005-0000-0000-00006D250000}"/>
    <cellStyle name="Percentuale 39 6" xfId="9582" xr:uid="{00000000-0005-0000-0000-00006E250000}"/>
    <cellStyle name="Percentuale 39 6 2" xfId="9583" xr:uid="{00000000-0005-0000-0000-00006F250000}"/>
    <cellStyle name="Percentuale 4" xfId="9584" xr:uid="{00000000-0005-0000-0000-000070250000}"/>
    <cellStyle name="Percentuale 4 2" xfId="9585" xr:uid="{00000000-0005-0000-0000-000071250000}"/>
    <cellStyle name="Percentuale 4 2 2" xfId="9586" xr:uid="{00000000-0005-0000-0000-000072250000}"/>
    <cellStyle name="Percentuale 4 2 2 2" xfId="9587" xr:uid="{00000000-0005-0000-0000-000073250000}"/>
    <cellStyle name="Percentuale 4 2 3" xfId="9588" xr:uid="{00000000-0005-0000-0000-000074250000}"/>
    <cellStyle name="Percentuale 4 3" xfId="9589" xr:uid="{00000000-0005-0000-0000-000075250000}"/>
    <cellStyle name="Percentuale 4 3 2" xfId="9590" xr:uid="{00000000-0005-0000-0000-000076250000}"/>
    <cellStyle name="Percentuale 4 3 2 2" xfId="9591" xr:uid="{00000000-0005-0000-0000-000077250000}"/>
    <cellStyle name="Percentuale 4 3 2 3" xfId="9592" xr:uid="{00000000-0005-0000-0000-000078250000}"/>
    <cellStyle name="Percentuale 4 3 2 3 2" xfId="9593" xr:uid="{00000000-0005-0000-0000-000079250000}"/>
    <cellStyle name="Percentuale 4 3 3" xfId="9594" xr:uid="{00000000-0005-0000-0000-00007A250000}"/>
    <cellStyle name="Percentuale 4 3 3 2" xfId="9595" xr:uid="{00000000-0005-0000-0000-00007B250000}"/>
    <cellStyle name="Percentuale 4 3 4" xfId="9596" xr:uid="{00000000-0005-0000-0000-00007C250000}"/>
    <cellStyle name="Percentuale 4 3 4 2" xfId="9597" xr:uid="{00000000-0005-0000-0000-00007D250000}"/>
    <cellStyle name="Percentuale 4 3 5" xfId="9598" xr:uid="{00000000-0005-0000-0000-00007E250000}"/>
    <cellStyle name="Percentuale 4 4" xfId="9599" xr:uid="{00000000-0005-0000-0000-00007F250000}"/>
    <cellStyle name="Percentuale 4 4 2" xfId="9600" xr:uid="{00000000-0005-0000-0000-000080250000}"/>
    <cellStyle name="Percentuale 4 4 2 2" xfId="9601" xr:uid="{00000000-0005-0000-0000-000081250000}"/>
    <cellStyle name="Percentuale 4 4 3" xfId="9602" xr:uid="{00000000-0005-0000-0000-000082250000}"/>
    <cellStyle name="Percentuale 4 5" xfId="9603" xr:uid="{00000000-0005-0000-0000-000083250000}"/>
    <cellStyle name="Percentuale 4 6" xfId="9604" xr:uid="{00000000-0005-0000-0000-000084250000}"/>
    <cellStyle name="Percentuale 4 6 2" xfId="9605" xr:uid="{00000000-0005-0000-0000-000085250000}"/>
    <cellStyle name="Percentuale 40" xfId="9606" xr:uid="{00000000-0005-0000-0000-000086250000}"/>
    <cellStyle name="Percentuale 40 2" xfId="9607" xr:uid="{00000000-0005-0000-0000-000087250000}"/>
    <cellStyle name="Percentuale 40 2 2" xfId="9608" xr:uid="{00000000-0005-0000-0000-000088250000}"/>
    <cellStyle name="Percentuale 40 2 2 2" xfId="9609" xr:uid="{00000000-0005-0000-0000-000089250000}"/>
    <cellStyle name="Percentuale 40 2 3" xfId="9610" xr:uid="{00000000-0005-0000-0000-00008A250000}"/>
    <cellStyle name="Percentuale 40 3" xfId="9611" xr:uid="{00000000-0005-0000-0000-00008B250000}"/>
    <cellStyle name="Percentuale 40 3 2" xfId="9612" xr:uid="{00000000-0005-0000-0000-00008C250000}"/>
    <cellStyle name="Percentuale 40 3 2 2" xfId="9613" xr:uid="{00000000-0005-0000-0000-00008D250000}"/>
    <cellStyle name="Percentuale 40 3 2 3" xfId="9614" xr:uid="{00000000-0005-0000-0000-00008E250000}"/>
    <cellStyle name="Percentuale 40 3 2 3 2" xfId="9615" xr:uid="{00000000-0005-0000-0000-00008F250000}"/>
    <cellStyle name="Percentuale 40 3 3" xfId="9616" xr:uid="{00000000-0005-0000-0000-000090250000}"/>
    <cellStyle name="Percentuale 40 3 3 2" xfId="9617" xr:uid="{00000000-0005-0000-0000-000091250000}"/>
    <cellStyle name="Percentuale 40 3 4" xfId="9618" xr:uid="{00000000-0005-0000-0000-000092250000}"/>
    <cellStyle name="Percentuale 40 3 4 2" xfId="9619" xr:uid="{00000000-0005-0000-0000-000093250000}"/>
    <cellStyle name="Percentuale 40 3 5" xfId="9620" xr:uid="{00000000-0005-0000-0000-000094250000}"/>
    <cellStyle name="Percentuale 40 4" xfId="9621" xr:uid="{00000000-0005-0000-0000-000095250000}"/>
    <cellStyle name="Percentuale 40 4 2" xfId="9622" xr:uid="{00000000-0005-0000-0000-000096250000}"/>
    <cellStyle name="Percentuale 40 4 2 2" xfId="9623" xr:uid="{00000000-0005-0000-0000-000097250000}"/>
    <cellStyle name="Percentuale 40 4 3" xfId="9624" xr:uid="{00000000-0005-0000-0000-000098250000}"/>
    <cellStyle name="Percentuale 40 5" xfId="9625" xr:uid="{00000000-0005-0000-0000-000099250000}"/>
    <cellStyle name="Percentuale 40 6" xfId="9626" xr:uid="{00000000-0005-0000-0000-00009A250000}"/>
    <cellStyle name="Percentuale 40 6 2" xfId="9627" xr:uid="{00000000-0005-0000-0000-00009B250000}"/>
    <cellStyle name="Percentuale 41" xfId="9628" xr:uid="{00000000-0005-0000-0000-00009C250000}"/>
    <cellStyle name="Percentuale 41 2" xfId="9629" xr:uid="{00000000-0005-0000-0000-00009D250000}"/>
    <cellStyle name="Percentuale 41 2 2" xfId="9630" xr:uid="{00000000-0005-0000-0000-00009E250000}"/>
    <cellStyle name="Percentuale 41 2 2 2" xfId="9631" xr:uid="{00000000-0005-0000-0000-00009F250000}"/>
    <cellStyle name="Percentuale 41 2 3" xfId="9632" xr:uid="{00000000-0005-0000-0000-0000A0250000}"/>
    <cellStyle name="Percentuale 41 3" xfId="9633" xr:uid="{00000000-0005-0000-0000-0000A1250000}"/>
    <cellStyle name="Percentuale 41 3 2" xfId="9634" xr:uid="{00000000-0005-0000-0000-0000A2250000}"/>
    <cellStyle name="Percentuale 41 3 2 2" xfId="9635" xr:uid="{00000000-0005-0000-0000-0000A3250000}"/>
    <cellStyle name="Percentuale 41 3 2 3" xfId="9636" xr:uid="{00000000-0005-0000-0000-0000A4250000}"/>
    <cellStyle name="Percentuale 41 3 2 3 2" xfId="9637" xr:uid="{00000000-0005-0000-0000-0000A5250000}"/>
    <cellStyle name="Percentuale 41 3 3" xfId="9638" xr:uid="{00000000-0005-0000-0000-0000A6250000}"/>
    <cellStyle name="Percentuale 41 3 3 2" xfId="9639" xr:uid="{00000000-0005-0000-0000-0000A7250000}"/>
    <cellStyle name="Percentuale 41 3 4" xfId="9640" xr:uid="{00000000-0005-0000-0000-0000A8250000}"/>
    <cellStyle name="Percentuale 41 3 4 2" xfId="9641" xr:uid="{00000000-0005-0000-0000-0000A9250000}"/>
    <cellStyle name="Percentuale 41 3 5" xfId="9642" xr:uid="{00000000-0005-0000-0000-0000AA250000}"/>
    <cellStyle name="Percentuale 41 4" xfId="9643" xr:uid="{00000000-0005-0000-0000-0000AB250000}"/>
    <cellStyle name="Percentuale 41 4 2" xfId="9644" xr:uid="{00000000-0005-0000-0000-0000AC250000}"/>
    <cellStyle name="Percentuale 41 4 2 2" xfId="9645" xr:uid="{00000000-0005-0000-0000-0000AD250000}"/>
    <cellStyle name="Percentuale 41 4 3" xfId="9646" xr:uid="{00000000-0005-0000-0000-0000AE250000}"/>
    <cellStyle name="Percentuale 41 5" xfId="9647" xr:uid="{00000000-0005-0000-0000-0000AF250000}"/>
    <cellStyle name="Percentuale 41 6" xfId="9648" xr:uid="{00000000-0005-0000-0000-0000B0250000}"/>
    <cellStyle name="Percentuale 41 6 2" xfId="9649" xr:uid="{00000000-0005-0000-0000-0000B1250000}"/>
    <cellStyle name="Percentuale 42" xfId="9650" xr:uid="{00000000-0005-0000-0000-0000B2250000}"/>
    <cellStyle name="Percentuale 42 2" xfId="9651" xr:uid="{00000000-0005-0000-0000-0000B3250000}"/>
    <cellStyle name="Percentuale 42 2 2" xfId="9652" xr:uid="{00000000-0005-0000-0000-0000B4250000}"/>
    <cellStyle name="Percentuale 42 2 2 2" xfId="9653" xr:uid="{00000000-0005-0000-0000-0000B5250000}"/>
    <cellStyle name="Percentuale 42 2 3" xfId="9654" xr:uid="{00000000-0005-0000-0000-0000B6250000}"/>
    <cellStyle name="Percentuale 42 3" xfId="9655" xr:uid="{00000000-0005-0000-0000-0000B7250000}"/>
    <cellStyle name="Percentuale 42 3 2" xfId="9656" xr:uid="{00000000-0005-0000-0000-0000B8250000}"/>
    <cellStyle name="Percentuale 42 3 2 2" xfId="9657" xr:uid="{00000000-0005-0000-0000-0000B9250000}"/>
    <cellStyle name="Percentuale 42 3 2 3" xfId="9658" xr:uid="{00000000-0005-0000-0000-0000BA250000}"/>
    <cellStyle name="Percentuale 42 3 2 3 2" xfId="9659" xr:uid="{00000000-0005-0000-0000-0000BB250000}"/>
    <cellStyle name="Percentuale 42 3 3" xfId="9660" xr:uid="{00000000-0005-0000-0000-0000BC250000}"/>
    <cellStyle name="Percentuale 42 3 3 2" xfId="9661" xr:uid="{00000000-0005-0000-0000-0000BD250000}"/>
    <cellStyle name="Percentuale 42 3 4" xfId="9662" xr:uid="{00000000-0005-0000-0000-0000BE250000}"/>
    <cellStyle name="Percentuale 42 3 4 2" xfId="9663" xr:uid="{00000000-0005-0000-0000-0000BF250000}"/>
    <cellStyle name="Percentuale 42 3 5" xfId="9664" xr:uid="{00000000-0005-0000-0000-0000C0250000}"/>
    <cellStyle name="Percentuale 42 4" xfId="9665" xr:uid="{00000000-0005-0000-0000-0000C1250000}"/>
    <cellStyle name="Percentuale 42 4 2" xfId="9666" xr:uid="{00000000-0005-0000-0000-0000C2250000}"/>
    <cellStyle name="Percentuale 42 4 2 2" xfId="9667" xr:uid="{00000000-0005-0000-0000-0000C3250000}"/>
    <cellStyle name="Percentuale 42 4 3" xfId="9668" xr:uid="{00000000-0005-0000-0000-0000C4250000}"/>
    <cellStyle name="Percentuale 42 5" xfId="9669" xr:uid="{00000000-0005-0000-0000-0000C5250000}"/>
    <cellStyle name="Percentuale 42 6" xfId="9670" xr:uid="{00000000-0005-0000-0000-0000C6250000}"/>
    <cellStyle name="Percentuale 42 6 2" xfId="9671" xr:uid="{00000000-0005-0000-0000-0000C7250000}"/>
    <cellStyle name="Percentuale 43" xfId="9672" xr:uid="{00000000-0005-0000-0000-0000C8250000}"/>
    <cellStyle name="Percentuale 43 2" xfId="9673" xr:uid="{00000000-0005-0000-0000-0000C9250000}"/>
    <cellStyle name="Percentuale 43 2 2" xfId="9674" xr:uid="{00000000-0005-0000-0000-0000CA250000}"/>
    <cellStyle name="Percentuale 43 2 2 2" xfId="9675" xr:uid="{00000000-0005-0000-0000-0000CB250000}"/>
    <cellStyle name="Percentuale 43 2 3" xfId="9676" xr:uid="{00000000-0005-0000-0000-0000CC250000}"/>
    <cellStyle name="Percentuale 43 3" xfId="9677" xr:uid="{00000000-0005-0000-0000-0000CD250000}"/>
    <cellStyle name="Percentuale 43 3 2" xfId="9678" xr:uid="{00000000-0005-0000-0000-0000CE250000}"/>
    <cellStyle name="Percentuale 43 3 2 2" xfId="9679" xr:uid="{00000000-0005-0000-0000-0000CF250000}"/>
    <cellStyle name="Percentuale 43 3 2 3" xfId="9680" xr:uid="{00000000-0005-0000-0000-0000D0250000}"/>
    <cellStyle name="Percentuale 43 3 2 3 2" xfId="9681" xr:uid="{00000000-0005-0000-0000-0000D1250000}"/>
    <cellStyle name="Percentuale 43 3 3" xfId="9682" xr:uid="{00000000-0005-0000-0000-0000D2250000}"/>
    <cellStyle name="Percentuale 43 3 3 2" xfId="9683" xr:uid="{00000000-0005-0000-0000-0000D3250000}"/>
    <cellStyle name="Percentuale 43 3 4" xfId="9684" xr:uid="{00000000-0005-0000-0000-0000D4250000}"/>
    <cellStyle name="Percentuale 43 3 4 2" xfId="9685" xr:uid="{00000000-0005-0000-0000-0000D5250000}"/>
    <cellStyle name="Percentuale 43 3 5" xfId="9686" xr:uid="{00000000-0005-0000-0000-0000D6250000}"/>
    <cellStyle name="Percentuale 43 4" xfId="9687" xr:uid="{00000000-0005-0000-0000-0000D7250000}"/>
    <cellStyle name="Percentuale 43 4 2" xfId="9688" xr:uid="{00000000-0005-0000-0000-0000D8250000}"/>
    <cellStyle name="Percentuale 43 4 2 2" xfId="9689" xr:uid="{00000000-0005-0000-0000-0000D9250000}"/>
    <cellStyle name="Percentuale 43 4 3" xfId="9690" xr:uid="{00000000-0005-0000-0000-0000DA250000}"/>
    <cellStyle name="Percentuale 43 5" xfId="9691" xr:uid="{00000000-0005-0000-0000-0000DB250000}"/>
    <cellStyle name="Percentuale 43 6" xfId="9692" xr:uid="{00000000-0005-0000-0000-0000DC250000}"/>
    <cellStyle name="Percentuale 43 6 2" xfId="9693" xr:uid="{00000000-0005-0000-0000-0000DD250000}"/>
    <cellStyle name="Percentuale 44" xfId="9694" xr:uid="{00000000-0005-0000-0000-0000DE250000}"/>
    <cellStyle name="Percentuale 44 2" xfId="9695" xr:uid="{00000000-0005-0000-0000-0000DF250000}"/>
    <cellStyle name="Percentuale 44 2 2" xfId="9696" xr:uid="{00000000-0005-0000-0000-0000E0250000}"/>
    <cellStyle name="Percentuale 44 2 2 2" xfId="9697" xr:uid="{00000000-0005-0000-0000-0000E1250000}"/>
    <cellStyle name="Percentuale 44 2 3" xfId="9698" xr:uid="{00000000-0005-0000-0000-0000E2250000}"/>
    <cellStyle name="Percentuale 44 3" xfId="9699" xr:uid="{00000000-0005-0000-0000-0000E3250000}"/>
    <cellStyle name="Percentuale 44 3 2" xfId="9700" xr:uid="{00000000-0005-0000-0000-0000E4250000}"/>
    <cellStyle name="Percentuale 44 3 2 2" xfId="9701" xr:uid="{00000000-0005-0000-0000-0000E5250000}"/>
    <cellStyle name="Percentuale 44 3 2 3" xfId="9702" xr:uid="{00000000-0005-0000-0000-0000E6250000}"/>
    <cellStyle name="Percentuale 44 3 2 3 2" xfId="9703" xr:uid="{00000000-0005-0000-0000-0000E7250000}"/>
    <cellStyle name="Percentuale 44 3 3" xfId="9704" xr:uid="{00000000-0005-0000-0000-0000E8250000}"/>
    <cellStyle name="Percentuale 44 3 3 2" xfId="9705" xr:uid="{00000000-0005-0000-0000-0000E9250000}"/>
    <cellStyle name="Percentuale 44 3 4" xfId="9706" xr:uid="{00000000-0005-0000-0000-0000EA250000}"/>
    <cellStyle name="Percentuale 44 3 4 2" xfId="9707" xr:uid="{00000000-0005-0000-0000-0000EB250000}"/>
    <cellStyle name="Percentuale 44 3 5" xfId="9708" xr:uid="{00000000-0005-0000-0000-0000EC250000}"/>
    <cellStyle name="Percentuale 44 4" xfId="9709" xr:uid="{00000000-0005-0000-0000-0000ED250000}"/>
    <cellStyle name="Percentuale 44 4 2" xfId="9710" xr:uid="{00000000-0005-0000-0000-0000EE250000}"/>
    <cellStyle name="Percentuale 44 4 2 2" xfId="9711" xr:uid="{00000000-0005-0000-0000-0000EF250000}"/>
    <cellStyle name="Percentuale 44 4 3" xfId="9712" xr:uid="{00000000-0005-0000-0000-0000F0250000}"/>
    <cellStyle name="Percentuale 44 5" xfId="9713" xr:uid="{00000000-0005-0000-0000-0000F1250000}"/>
    <cellStyle name="Percentuale 44 6" xfId="9714" xr:uid="{00000000-0005-0000-0000-0000F2250000}"/>
    <cellStyle name="Percentuale 44 6 2" xfId="9715" xr:uid="{00000000-0005-0000-0000-0000F3250000}"/>
    <cellStyle name="Percentuale 45" xfId="9716" xr:uid="{00000000-0005-0000-0000-0000F4250000}"/>
    <cellStyle name="Percentuale 45 2" xfId="9717" xr:uid="{00000000-0005-0000-0000-0000F5250000}"/>
    <cellStyle name="Percentuale 45 2 2" xfId="9718" xr:uid="{00000000-0005-0000-0000-0000F6250000}"/>
    <cellStyle name="Percentuale 45 2 2 2" xfId="9719" xr:uid="{00000000-0005-0000-0000-0000F7250000}"/>
    <cellStyle name="Percentuale 45 2 3" xfId="9720" xr:uid="{00000000-0005-0000-0000-0000F8250000}"/>
    <cellStyle name="Percentuale 45 3" xfId="9721" xr:uid="{00000000-0005-0000-0000-0000F9250000}"/>
    <cellStyle name="Percentuale 45 3 2" xfId="9722" xr:uid="{00000000-0005-0000-0000-0000FA250000}"/>
    <cellStyle name="Percentuale 45 3 2 2" xfId="9723" xr:uid="{00000000-0005-0000-0000-0000FB250000}"/>
    <cellStyle name="Percentuale 45 3 2 3" xfId="9724" xr:uid="{00000000-0005-0000-0000-0000FC250000}"/>
    <cellStyle name="Percentuale 45 3 2 3 2" xfId="9725" xr:uid="{00000000-0005-0000-0000-0000FD250000}"/>
    <cellStyle name="Percentuale 45 3 3" xfId="9726" xr:uid="{00000000-0005-0000-0000-0000FE250000}"/>
    <cellStyle name="Percentuale 45 3 3 2" xfId="9727" xr:uid="{00000000-0005-0000-0000-0000FF250000}"/>
    <cellStyle name="Percentuale 45 3 4" xfId="9728" xr:uid="{00000000-0005-0000-0000-000000260000}"/>
    <cellStyle name="Percentuale 45 3 4 2" xfId="9729" xr:uid="{00000000-0005-0000-0000-000001260000}"/>
    <cellStyle name="Percentuale 45 3 5" xfId="9730" xr:uid="{00000000-0005-0000-0000-000002260000}"/>
    <cellStyle name="Percentuale 45 4" xfId="9731" xr:uid="{00000000-0005-0000-0000-000003260000}"/>
    <cellStyle name="Percentuale 45 4 2" xfId="9732" xr:uid="{00000000-0005-0000-0000-000004260000}"/>
    <cellStyle name="Percentuale 45 4 2 2" xfId="9733" xr:uid="{00000000-0005-0000-0000-000005260000}"/>
    <cellStyle name="Percentuale 45 4 3" xfId="9734" xr:uid="{00000000-0005-0000-0000-000006260000}"/>
    <cellStyle name="Percentuale 45 5" xfId="9735" xr:uid="{00000000-0005-0000-0000-000007260000}"/>
    <cellStyle name="Percentuale 45 6" xfId="9736" xr:uid="{00000000-0005-0000-0000-000008260000}"/>
    <cellStyle name="Percentuale 45 6 2" xfId="9737" xr:uid="{00000000-0005-0000-0000-000009260000}"/>
    <cellStyle name="Percentuale 46" xfId="9738" xr:uid="{00000000-0005-0000-0000-00000A260000}"/>
    <cellStyle name="Percentuale 46 2" xfId="9739" xr:uid="{00000000-0005-0000-0000-00000B260000}"/>
    <cellStyle name="Percentuale 46 2 2" xfId="9740" xr:uid="{00000000-0005-0000-0000-00000C260000}"/>
    <cellStyle name="Percentuale 46 2 2 2" xfId="9741" xr:uid="{00000000-0005-0000-0000-00000D260000}"/>
    <cellStyle name="Percentuale 46 2 3" xfId="9742" xr:uid="{00000000-0005-0000-0000-00000E260000}"/>
    <cellStyle name="Percentuale 46 3" xfId="9743" xr:uid="{00000000-0005-0000-0000-00000F260000}"/>
    <cellStyle name="Percentuale 46 3 2" xfId="9744" xr:uid="{00000000-0005-0000-0000-000010260000}"/>
    <cellStyle name="Percentuale 46 3 2 2" xfId="9745" xr:uid="{00000000-0005-0000-0000-000011260000}"/>
    <cellStyle name="Percentuale 46 3 2 3" xfId="9746" xr:uid="{00000000-0005-0000-0000-000012260000}"/>
    <cellStyle name="Percentuale 46 3 2 3 2" xfId="9747" xr:uid="{00000000-0005-0000-0000-000013260000}"/>
    <cellStyle name="Percentuale 46 3 3" xfId="9748" xr:uid="{00000000-0005-0000-0000-000014260000}"/>
    <cellStyle name="Percentuale 46 3 3 2" xfId="9749" xr:uid="{00000000-0005-0000-0000-000015260000}"/>
    <cellStyle name="Percentuale 46 3 4" xfId="9750" xr:uid="{00000000-0005-0000-0000-000016260000}"/>
    <cellStyle name="Percentuale 46 3 4 2" xfId="9751" xr:uid="{00000000-0005-0000-0000-000017260000}"/>
    <cellStyle name="Percentuale 46 3 5" xfId="9752" xr:uid="{00000000-0005-0000-0000-000018260000}"/>
    <cellStyle name="Percentuale 46 4" xfId="9753" xr:uid="{00000000-0005-0000-0000-000019260000}"/>
    <cellStyle name="Percentuale 46 4 2" xfId="9754" xr:uid="{00000000-0005-0000-0000-00001A260000}"/>
    <cellStyle name="Percentuale 46 4 2 2" xfId="9755" xr:uid="{00000000-0005-0000-0000-00001B260000}"/>
    <cellStyle name="Percentuale 46 4 3" xfId="9756" xr:uid="{00000000-0005-0000-0000-00001C260000}"/>
    <cellStyle name="Percentuale 46 5" xfId="9757" xr:uid="{00000000-0005-0000-0000-00001D260000}"/>
    <cellStyle name="Percentuale 46 6" xfId="9758" xr:uid="{00000000-0005-0000-0000-00001E260000}"/>
    <cellStyle name="Percentuale 46 6 2" xfId="9759" xr:uid="{00000000-0005-0000-0000-00001F260000}"/>
    <cellStyle name="Percentuale 47" xfId="9760" xr:uid="{00000000-0005-0000-0000-000020260000}"/>
    <cellStyle name="Percentuale 47 2" xfId="9761" xr:uid="{00000000-0005-0000-0000-000021260000}"/>
    <cellStyle name="Percentuale 47 2 2" xfId="9762" xr:uid="{00000000-0005-0000-0000-000022260000}"/>
    <cellStyle name="Percentuale 47 2 2 2" xfId="9763" xr:uid="{00000000-0005-0000-0000-000023260000}"/>
    <cellStyle name="Percentuale 47 2 3" xfId="9764" xr:uid="{00000000-0005-0000-0000-000024260000}"/>
    <cellStyle name="Percentuale 47 3" xfId="9765" xr:uid="{00000000-0005-0000-0000-000025260000}"/>
    <cellStyle name="Percentuale 47 3 2" xfId="9766" xr:uid="{00000000-0005-0000-0000-000026260000}"/>
    <cellStyle name="Percentuale 47 3 2 2" xfId="9767" xr:uid="{00000000-0005-0000-0000-000027260000}"/>
    <cellStyle name="Percentuale 47 3 2 3" xfId="9768" xr:uid="{00000000-0005-0000-0000-000028260000}"/>
    <cellStyle name="Percentuale 47 3 2 3 2" xfId="9769" xr:uid="{00000000-0005-0000-0000-000029260000}"/>
    <cellStyle name="Percentuale 47 3 3" xfId="9770" xr:uid="{00000000-0005-0000-0000-00002A260000}"/>
    <cellStyle name="Percentuale 47 3 3 2" xfId="9771" xr:uid="{00000000-0005-0000-0000-00002B260000}"/>
    <cellStyle name="Percentuale 47 3 4" xfId="9772" xr:uid="{00000000-0005-0000-0000-00002C260000}"/>
    <cellStyle name="Percentuale 47 3 4 2" xfId="9773" xr:uid="{00000000-0005-0000-0000-00002D260000}"/>
    <cellStyle name="Percentuale 47 3 5" xfId="9774" xr:uid="{00000000-0005-0000-0000-00002E260000}"/>
    <cellStyle name="Percentuale 47 4" xfId="9775" xr:uid="{00000000-0005-0000-0000-00002F260000}"/>
    <cellStyle name="Percentuale 47 4 2" xfId="9776" xr:uid="{00000000-0005-0000-0000-000030260000}"/>
    <cellStyle name="Percentuale 47 4 2 2" xfId="9777" xr:uid="{00000000-0005-0000-0000-000031260000}"/>
    <cellStyle name="Percentuale 47 4 3" xfId="9778" xr:uid="{00000000-0005-0000-0000-000032260000}"/>
    <cellStyle name="Percentuale 47 5" xfId="9779" xr:uid="{00000000-0005-0000-0000-000033260000}"/>
    <cellStyle name="Percentuale 47 6" xfId="9780" xr:uid="{00000000-0005-0000-0000-000034260000}"/>
    <cellStyle name="Percentuale 47 6 2" xfId="9781" xr:uid="{00000000-0005-0000-0000-000035260000}"/>
    <cellStyle name="Percentuale 48" xfId="9782" xr:uid="{00000000-0005-0000-0000-000036260000}"/>
    <cellStyle name="Percentuale 48 2" xfId="9783" xr:uid="{00000000-0005-0000-0000-000037260000}"/>
    <cellStyle name="Percentuale 48 2 2" xfId="9784" xr:uid="{00000000-0005-0000-0000-000038260000}"/>
    <cellStyle name="Percentuale 48 2 2 2" xfId="9785" xr:uid="{00000000-0005-0000-0000-000039260000}"/>
    <cellStyle name="Percentuale 48 2 3" xfId="9786" xr:uid="{00000000-0005-0000-0000-00003A260000}"/>
    <cellStyle name="Percentuale 48 3" xfId="9787" xr:uid="{00000000-0005-0000-0000-00003B260000}"/>
    <cellStyle name="Percentuale 48 3 2" xfId="9788" xr:uid="{00000000-0005-0000-0000-00003C260000}"/>
    <cellStyle name="Percentuale 48 3 2 2" xfId="9789" xr:uid="{00000000-0005-0000-0000-00003D260000}"/>
    <cellStyle name="Percentuale 48 3 2 3" xfId="9790" xr:uid="{00000000-0005-0000-0000-00003E260000}"/>
    <cellStyle name="Percentuale 48 3 2 3 2" xfId="9791" xr:uid="{00000000-0005-0000-0000-00003F260000}"/>
    <cellStyle name="Percentuale 48 3 3" xfId="9792" xr:uid="{00000000-0005-0000-0000-000040260000}"/>
    <cellStyle name="Percentuale 48 3 3 2" xfId="9793" xr:uid="{00000000-0005-0000-0000-000041260000}"/>
    <cellStyle name="Percentuale 48 3 4" xfId="9794" xr:uid="{00000000-0005-0000-0000-000042260000}"/>
    <cellStyle name="Percentuale 48 3 4 2" xfId="9795" xr:uid="{00000000-0005-0000-0000-000043260000}"/>
    <cellStyle name="Percentuale 48 3 5" xfId="9796" xr:uid="{00000000-0005-0000-0000-000044260000}"/>
    <cellStyle name="Percentuale 48 4" xfId="9797" xr:uid="{00000000-0005-0000-0000-000045260000}"/>
    <cellStyle name="Percentuale 48 4 2" xfId="9798" xr:uid="{00000000-0005-0000-0000-000046260000}"/>
    <cellStyle name="Percentuale 48 4 2 2" xfId="9799" xr:uid="{00000000-0005-0000-0000-000047260000}"/>
    <cellStyle name="Percentuale 48 4 3" xfId="9800" xr:uid="{00000000-0005-0000-0000-000048260000}"/>
    <cellStyle name="Percentuale 48 5" xfId="9801" xr:uid="{00000000-0005-0000-0000-000049260000}"/>
    <cellStyle name="Percentuale 48 6" xfId="9802" xr:uid="{00000000-0005-0000-0000-00004A260000}"/>
    <cellStyle name="Percentuale 48 6 2" xfId="9803" xr:uid="{00000000-0005-0000-0000-00004B260000}"/>
    <cellStyle name="Percentuale 49" xfId="9804" xr:uid="{00000000-0005-0000-0000-00004C260000}"/>
    <cellStyle name="Percentuale 49 2" xfId="9805" xr:uid="{00000000-0005-0000-0000-00004D260000}"/>
    <cellStyle name="Percentuale 49 2 2" xfId="9806" xr:uid="{00000000-0005-0000-0000-00004E260000}"/>
    <cellStyle name="Percentuale 49 2 2 2" xfId="9807" xr:uid="{00000000-0005-0000-0000-00004F260000}"/>
    <cellStyle name="Percentuale 49 2 3" xfId="9808" xr:uid="{00000000-0005-0000-0000-000050260000}"/>
    <cellStyle name="Percentuale 49 3" xfId="9809" xr:uid="{00000000-0005-0000-0000-000051260000}"/>
    <cellStyle name="Percentuale 49 3 2" xfId="9810" xr:uid="{00000000-0005-0000-0000-000052260000}"/>
    <cellStyle name="Percentuale 49 3 2 2" xfId="9811" xr:uid="{00000000-0005-0000-0000-000053260000}"/>
    <cellStyle name="Percentuale 49 3 2 3" xfId="9812" xr:uid="{00000000-0005-0000-0000-000054260000}"/>
    <cellStyle name="Percentuale 49 3 2 3 2" xfId="9813" xr:uid="{00000000-0005-0000-0000-000055260000}"/>
    <cellStyle name="Percentuale 49 3 3" xfId="9814" xr:uid="{00000000-0005-0000-0000-000056260000}"/>
    <cellStyle name="Percentuale 49 3 3 2" xfId="9815" xr:uid="{00000000-0005-0000-0000-000057260000}"/>
    <cellStyle name="Percentuale 49 3 4" xfId="9816" xr:uid="{00000000-0005-0000-0000-000058260000}"/>
    <cellStyle name="Percentuale 49 3 4 2" xfId="9817" xr:uid="{00000000-0005-0000-0000-000059260000}"/>
    <cellStyle name="Percentuale 49 3 5" xfId="9818" xr:uid="{00000000-0005-0000-0000-00005A260000}"/>
    <cellStyle name="Percentuale 49 4" xfId="9819" xr:uid="{00000000-0005-0000-0000-00005B260000}"/>
    <cellStyle name="Percentuale 49 4 2" xfId="9820" xr:uid="{00000000-0005-0000-0000-00005C260000}"/>
    <cellStyle name="Percentuale 49 4 2 2" xfId="9821" xr:uid="{00000000-0005-0000-0000-00005D260000}"/>
    <cellStyle name="Percentuale 49 4 3" xfId="9822" xr:uid="{00000000-0005-0000-0000-00005E260000}"/>
    <cellStyle name="Percentuale 49 5" xfId="9823" xr:uid="{00000000-0005-0000-0000-00005F260000}"/>
    <cellStyle name="Percentuale 49 6" xfId="9824" xr:uid="{00000000-0005-0000-0000-000060260000}"/>
    <cellStyle name="Percentuale 49 6 2" xfId="9825" xr:uid="{00000000-0005-0000-0000-000061260000}"/>
    <cellStyle name="Percentuale 5" xfId="9826" xr:uid="{00000000-0005-0000-0000-000062260000}"/>
    <cellStyle name="Percentuale 5 2" xfId="9827" xr:uid="{00000000-0005-0000-0000-000063260000}"/>
    <cellStyle name="Percentuale 5 2 2" xfId="9828" xr:uid="{00000000-0005-0000-0000-000064260000}"/>
    <cellStyle name="Percentuale 5 2 2 2" xfId="9829" xr:uid="{00000000-0005-0000-0000-000065260000}"/>
    <cellStyle name="Percentuale 5 2 3" xfId="9830" xr:uid="{00000000-0005-0000-0000-000066260000}"/>
    <cellStyle name="Percentuale 5 3" xfId="9831" xr:uid="{00000000-0005-0000-0000-000067260000}"/>
    <cellStyle name="Percentuale 5 3 2" xfId="9832" xr:uid="{00000000-0005-0000-0000-000068260000}"/>
    <cellStyle name="Percentuale 5 3 2 2" xfId="9833" xr:uid="{00000000-0005-0000-0000-000069260000}"/>
    <cellStyle name="Percentuale 5 3 2 3" xfId="9834" xr:uid="{00000000-0005-0000-0000-00006A260000}"/>
    <cellStyle name="Percentuale 5 3 2 3 2" xfId="9835" xr:uid="{00000000-0005-0000-0000-00006B260000}"/>
    <cellStyle name="Percentuale 5 3 3" xfId="9836" xr:uid="{00000000-0005-0000-0000-00006C260000}"/>
    <cellStyle name="Percentuale 5 3 3 2" xfId="9837" xr:uid="{00000000-0005-0000-0000-00006D260000}"/>
    <cellStyle name="Percentuale 5 3 4" xfId="9838" xr:uid="{00000000-0005-0000-0000-00006E260000}"/>
    <cellStyle name="Percentuale 5 3 4 2" xfId="9839" xr:uid="{00000000-0005-0000-0000-00006F260000}"/>
    <cellStyle name="Percentuale 5 3 5" xfId="9840" xr:uid="{00000000-0005-0000-0000-000070260000}"/>
    <cellStyle name="Percentuale 5 4" xfId="9841" xr:uid="{00000000-0005-0000-0000-000071260000}"/>
    <cellStyle name="Percentuale 5 4 2" xfId="9842" xr:uid="{00000000-0005-0000-0000-000072260000}"/>
    <cellStyle name="Percentuale 5 4 2 2" xfId="9843" xr:uid="{00000000-0005-0000-0000-000073260000}"/>
    <cellStyle name="Percentuale 5 4 3" xfId="9844" xr:uid="{00000000-0005-0000-0000-000074260000}"/>
    <cellStyle name="Percentuale 5 5" xfId="9845" xr:uid="{00000000-0005-0000-0000-000075260000}"/>
    <cellStyle name="Percentuale 5 6" xfId="9846" xr:uid="{00000000-0005-0000-0000-000076260000}"/>
    <cellStyle name="Percentuale 5 6 2" xfId="9847" xr:uid="{00000000-0005-0000-0000-000077260000}"/>
    <cellStyle name="Percentuale 50" xfId="9848" xr:uid="{00000000-0005-0000-0000-000078260000}"/>
    <cellStyle name="Percentuale 50 2" xfId="9849" xr:uid="{00000000-0005-0000-0000-000079260000}"/>
    <cellStyle name="Percentuale 50 2 2" xfId="9850" xr:uid="{00000000-0005-0000-0000-00007A260000}"/>
    <cellStyle name="Percentuale 50 2 2 2" xfId="9851" xr:uid="{00000000-0005-0000-0000-00007B260000}"/>
    <cellStyle name="Percentuale 50 2 3" xfId="9852" xr:uid="{00000000-0005-0000-0000-00007C260000}"/>
    <cellStyle name="Percentuale 50 3" xfId="9853" xr:uid="{00000000-0005-0000-0000-00007D260000}"/>
    <cellStyle name="Percentuale 50 3 2" xfId="9854" xr:uid="{00000000-0005-0000-0000-00007E260000}"/>
    <cellStyle name="Percentuale 50 3 2 2" xfId="9855" xr:uid="{00000000-0005-0000-0000-00007F260000}"/>
    <cellStyle name="Percentuale 50 3 2 3" xfId="9856" xr:uid="{00000000-0005-0000-0000-000080260000}"/>
    <cellStyle name="Percentuale 50 3 2 3 2" xfId="9857" xr:uid="{00000000-0005-0000-0000-000081260000}"/>
    <cellStyle name="Percentuale 50 3 3" xfId="9858" xr:uid="{00000000-0005-0000-0000-000082260000}"/>
    <cellStyle name="Percentuale 50 3 3 2" xfId="9859" xr:uid="{00000000-0005-0000-0000-000083260000}"/>
    <cellStyle name="Percentuale 50 3 4" xfId="9860" xr:uid="{00000000-0005-0000-0000-000084260000}"/>
    <cellStyle name="Percentuale 50 3 4 2" xfId="9861" xr:uid="{00000000-0005-0000-0000-000085260000}"/>
    <cellStyle name="Percentuale 50 3 5" xfId="9862" xr:uid="{00000000-0005-0000-0000-000086260000}"/>
    <cellStyle name="Percentuale 50 4" xfId="9863" xr:uid="{00000000-0005-0000-0000-000087260000}"/>
    <cellStyle name="Percentuale 50 4 2" xfId="9864" xr:uid="{00000000-0005-0000-0000-000088260000}"/>
    <cellStyle name="Percentuale 50 4 2 2" xfId="9865" xr:uid="{00000000-0005-0000-0000-000089260000}"/>
    <cellStyle name="Percentuale 50 4 3" xfId="9866" xr:uid="{00000000-0005-0000-0000-00008A260000}"/>
    <cellStyle name="Percentuale 50 5" xfId="9867" xr:uid="{00000000-0005-0000-0000-00008B260000}"/>
    <cellStyle name="Percentuale 50 6" xfId="9868" xr:uid="{00000000-0005-0000-0000-00008C260000}"/>
    <cellStyle name="Percentuale 50 6 2" xfId="9869" xr:uid="{00000000-0005-0000-0000-00008D260000}"/>
    <cellStyle name="Percentuale 51" xfId="9870" xr:uid="{00000000-0005-0000-0000-00008E260000}"/>
    <cellStyle name="Percentuale 51 2" xfId="9871" xr:uid="{00000000-0005-0000-0000-00008F260000}"/>
    <cellStyle name="Percentuale 51 2 2" xfId="9872" xr:uid="{00000000-0005-0000-0000-000090260000}"/>
    <cellStyle name="Percentuale 51 2 2 2" xfId="9873" xr:uid="{00000000-0005-0000-0000-000091260000}"/>
    <cellStyle name="Percentuale 51 2 3" xfId="9874" xr:uid="{00000000-0005-0000-0000-000092260000}"/>
    <cellStyle name="Percentuale 51 3" xfId="9875" xr:uid="{00000000-0005-0000-0000-000093260000}"/>
    <cellStyle name="Percentuale 51 3 2" xfId="9876" xr:uid="{00000000-0005-0000-0000-000094260000}"/>
    <cellStyle name="Percentuale 51 3 2 2" xfId="9877" xr:uid="{00000000-0005-0000-0000-000095260000}"/>
    <cellStyle name="Percentuale 51 3 2 3" xfId="9878" xr:uid="{00000000-0005-0000-0000-000096260000}"/>
    <cellStyle name="Percentuale 51 3 2 3 2" xfId="9879" xr:uid="{00000000-0005-0000-0000-000097260000}"/>
    <cellStyle name="Percentuale 51 3 3" xfId="9880" xr:uid="{00000000-0005-0000-0000-000098260000}"/>
    <cellStyle name="Percentuale 51 3 3 2" xfId="9881" xr:uid="{00000000-0005-0000-0000-000099260000}"/>
    <cellStyle name="Percentuale 51 3 4" xfId="9882" xr:uid="{00000000-0005-0000-0000-00009A260000}"/>
    <cellStyle name="Percentuale 51 3 4 2" xfId="9883" xr:uid="{00000000-0005-0000-0000-00009B260000}"/>
    <cellStyle name="Percentuale 51 3 5" xfId="9884" xr:uid="{00000000-0005-0000-0000-00009C260000}"/>
    <cellStyle name="Percentuale 51 4" xfId="9885" xr:uid="{00000000-0005-0000-0000-00009D260000}"/>
    <cellStyle name="Percentuale 51 4 2" xfId="9886" xr:uid="{00000000-0005-0000-0000-00009E260000}"/>
    <cellStyle name="Percentuale 51 4 2 2" xfId="9887" xr:uid="{00000000-0005-0000-0000-00009F260000}"/>
    <cellStyle name="Percentuale 51 4 3" xfId="9888" xr:uid="{00000000-0005-0000-0000-0000A0260000}"/>
    <cellStyle name="Percentuale 51 5" xfId="9889" xr:uid="{00000000-0005-0000-0000-0000A1260000}"/>
    <cellStyle name="Percentuale 51 6" xfId="9890" xr:uid="{00000000-0005-0000-0000-0000A2260000}"/>
    <cellStyle name="Percentuale 51 6 2" xfId="9891" xr:uid="{00000000-0005-0000-0000-0000A3260000}"/>
    <cellStyle name="Percentuale 52" xfId="9892" xr:uid="{00000000-0005-0000-0000-0000A4260000}"/>
    <cellStyle name="Percentuale 52 2" xfId="9893" xr:uid="{00000000-0005-0000-0000-0000A5260000}"/>
    <cellStyle name="Percentuale 52 2 2" xfId="9894" xr:uid="{00000000-0005-0000-0000-0000A6260000}"/>
    <cellStyle name="Percentuale 52 2 2 2" xfId="9895" xr:uid="{00000000-0005-0000-0000-0000A7260000}"/>
    <cellStyle name="Percentuale 52 2 3" xfId="9896" xr:uid="{00000000-0005-0000-0000-0000A8260000}"/>
    <cellStyle name="Percentuale 52 3" xfId="9897" xr:uid="{00000000-0005-0000-0000-0000A9260000}"/>
    <cellStyle name="Percentuale 52 3 2" xfId="9898" xr:uid="{00000000-0005-0000-0000-0000AA260000}"/>
    <cellStyle name="Percentuale 52 3 2 2" xfId="9899" xr:uid="{00000000-0005-0000-0000-0000AB260000}"/>
    <cellStyle name="Percentuale 52 3 2 3" xfId="9900" xr:uid="{00000000-0005-0000-0000-0000AC260000}"/>
    <cellStyle name="Percentuale 52 3 2 3 2" xfId="9901" xr:uid="{00000000-0005-0000-0000-0000AD260000}"/>
    <cellStyle name="Percentuale 52 3 3" xfId="9902" xr:uid="{00000000-0005-0000-0000-0000AE260000}"/>
    <cellStyle name="Percentuale 52 3 3 2" xfId="9903" xr:uid="{00000000-0005-0000-0000-0000AF260000}"/>
    <cellStyle name="Percentuale 52 3 4" xfId="9904" xr:uid="{00000000-0005-0000-0000-0000B0260000}"/>
    <cellStyle name="Percentuale 52 3 4 2" xfId="9905" xr:uid="{00000000-0005-0000-0000-0000B1260000}"/>
    <cellStyle name="Percentuale 52 3 5" xfId="9906" xr:uid="{00000000-0005-0000-0000-0000B2260000}"/>
    <cellStyle name="Percentuale 52 4" xfId="9907" xr:uid="{00000000-0005-0000-0000-0000B3260000}"/>
    <cellStyle name="Percentuale 52 4 2" xfId="9908" xr:uid="{00000000-0005-0000-0000-0000B4260000}"/>
    <cellStyle name="Percentuale 52 4 2 2" xfId="9909" xr:uid="{00000000-0005-0000-0000-0000B5260000}"/>
    <cellStyle name="Percentuale 52 4 3" xfId="9910" xr:uid="{00000000-0005-0000-0000-0000B6260000}"/>
    <cellStyle name="Percentuale 52 5" xfId="9911" xr:uid="{00000000-0005-0000-0000-0000B7260000}"/>
    <cellStyle name="Percentuale 52 6" xfId="9912" xr:uid="{00000000-0005-0000-0000-0000B8260000}"/>
    <cellStyle name="Percentuale 52 6 2" xfId="9913" xr:uid="{00000000-0005-0000-0000-0000B9260000}"/>
    <cellStyle name="Percentuale 53" xfId="9914" xr:uid="{00000000-0005-0000-0000-0000BA260000}"/>
    <cellStyle name="Percentuale 53 2" xfId="9915" xr:uid="{00000000-0005-0000-0000-0000BB260000}"/>
    <cellStyle name="Percentuale 53 2 2" xfId="9916" xr:uid="{00000000-0005-0000-0000-0000BC260000}"/>
    <cellStyle name="Percentuale 53 2 2 2" xfId="9917" xr:uid="{00000000-0005-0000-0000-0000BD260000}"/>
    <cellStyle name="Percentuale 53 2 3" xfId="9918" xr:uid="{00000000-0005-0000-0000-0000BE260000}"/>
    <cellStyle name="Percentuale 53 3" xfId="9919" xr:uid="{00000000-0005-0000-0000-0000BF260000}"/>
    <cellStyle name="Percentuale 53 3 2" xfId="9920" xr:uid="{00000000-0005-0000-0000-0000C0260000}"/>
    <cellStyle name="Percentuale 53 3 2 2" xfId="9921" xr:uid="{00000000-0005-0000-0000-0000C1260000}"/>
    <cellStyle name="Percentuale 53 3 2 3" xfId="9922" xr:uid="{00000000-0005-0000-0000-0000C2260000}"/>
    <cellStyle name="Percentuale 53 3 2 3 2" xfId="9923" xr:uid="{00000000-0005-0000-0000-0000C3260000}"/>
    <cellStyle name="Percentuale 53 3 3" xfId="9924" xr:uid="{00000000-0005-0000-0000-0000C4260000}"/>
    <cellStyle name="Percentuale 53 3 3 2" xfId="9925" xr:uid="{00000000-0005-0000-0000-0000C5260000}"/>
    <cellStyle name="Percentuale 53 3 4" xfId="9926" xr:uid="{00000000-0005-0000-0000-0000C6260000}"/>
    <cellStyle name="Percentuale 53 3 4 2" xfId="9927" xr:uid="{00000000-0005-0000-0000-0000C7260000}"/>
    <cellStyle name="Percentuale 53 3 5" xfId="9928" xr:uid="{00000000-0005-0000-0000-0000C8260000}"/>
    <cellStyle name="Percentuale 53 4" xfId="9929" xr:uid="{00000000-0005-0000-0000-0000C9260000}"/>
    <cellStyle name="Percentuale 53 4 2" xfId="9930" xr:uid="{00000000-0005-0000-0000-0000CA260000}"/>
    <cellStyle name="Percentuale 53 4 2 2" xfId="9931" xr:uid="{00000000-0005-0000-0000-0000CB260000}"/>
    <cellStyle name="Percentuale 53 4 3" xfId="9932" xr:uid="{00000000-0005-0000-0000-0000CC260000}"/>
    <cellStyle name="Percentuale 53 5" xfId="9933" xr:uid="{00000000-0005-0000-0000-0000CD260000}"/>
    <cellStyle name="Percentuale 53 6" xfId="9934" xr:uid="{00000000-0005-0000-0000-0000CE260000}"/>
    <cellStyle name="Percentuale 53 6 2" xfId="9935" xr:uid="{00000000-0005-0000-0000-0000CF260000}"/>
    <cellStyle name="Percentuale 54" xfId="9936" xr:uid="{00000000-0005-0000-0000-0000D0260000}"/>
    <cellStyle name="Percentuale 54 2" xfId="9937" xr:uid="{00000000-0005-0000-0000-0000D1260000}"/>
    <cellStyle name="Percentuale 54 2 2" xfId="9938" xr:uid="{00000000-0005-0000-0000-0000D2260000}"/>
    <cellStyle name="Percentuale 54 2 2 2" xfId="9939" xr:uid="{00000000-0005-0000-0000-0000D3260000}"/>
    <cellStyle name="Percentuale 54 2 3" xfId="9940" xr:uid="{00000000-0005-0000-0000-0000D4260000}"/>
    <cellStyle name="Percentuale 54 3" xfId="9941" xr:uid="{00000000-0005-0000-0000-0000D5260000}"/>
    <cellStyle name="Percentuale 54 3 2" xfId="9942" xr:uid="{00000000-0005-0000-0000-0000D6260000}"/>
    <cellStyle name="Percentuale 54 3 2 2" xfId="9943" xr:uid="{00000000-0005-0000-0000-0000D7260000}"/>
    <cellStyle name="Percentuale 54 3 2 3" xfId="9944" xr:uid="{00000000-0005-0000-0000-0000D8260000}"/>
    <cellStyle name="Percentuale 54 3 2 3 2" xfId="9945" xr:uid="{00000000-0005-0000-0000-0000D9260000}"/>
    <cellStyle name="Percentuale 54 3 3" xfId="9946" xr:uid="{00000000-0005-0000-0000-0000DA260000}"/>
    <cellStyle name="Percentuale 54 3 3 2" xfId="9947" xr:uid="{00000000-0005-0000-0000-0000DB260000}"/>
    <cellStyle name="Percentuale 54 3 4" xfId="9948" xr:uid="{00000000-0005-0000-0000-0000DC260000}"/>
    <cellStyle name="Percentuale 54 3 4 2" xfId="9949" xr:uid="{00000000-0005-0000-0000-0000DD260000}"/>
    <cellStyle name="Percentuale 54 3 5" xfId="9950" xr:uid="{00000000-0005-0000-0000-0000DE260000}"/>
    <cellStyle name="Percentuale 54 4" xfId="9951" xr:uid="{00000000-0005-0000-0000-0000DF260000}"/>
    <cellStyle name="Percentuale 54 4 2" xfId="9952" xr:uid="{00000000-0005-0000-0000-0000E0260000}"/>
    <cellStyle name="Percentuale 54 4 2 2" xfId="9953" xr:uid="{00000000-0005-0000-0000-0000E1260000}"/>
    <cellStyle name="Percentuale 54 4 3" xfId="9954" xr:uid="{00000000-0005-0000-0000-0000E2260000}"/>
    <cellStyle name="Percentuale 54 5" xfId="9955" xr:uid="{00000000-0005-0000-0000-0000E3260000}"/>
    <cellStyle name="Percentuale 54 6" xfId="9956" xr:uid="{00000000-0005-0000-0000-0000E4260000}"/>
    <cellStyle name="Percentuale 54 6 2" xfId="9957" xr:uid="{00000000-0005-0000-0000-0000E5260000}"/>
    <cellStyle name="Percentuale 55" xfId="9958" xr:uid="{00000000-0005-0000-0000-0000E6260000}"/>
    <cellStyle name="Percentuale 55 2" xfId="9959" xr:uid="{00000000-0005-0000-0000-0000E7260000}"/>
    <cellStyle name="Percentuale 55 2 2" xfId="9960" xr:uid="{00000000-0005-0000-0000-0000E8260000}"/>
    <cellStyle name="Percentuale 55 2 2 2" xfId="9961" xr:uid="{00000000-0005-0000-0000-0000E9260000}"/>
    <cellStyle name="Percentuale 55 2 3" xfId="9962" xr:uid="{00000000-0005-0000-0000-0000EA260000}"/>
    <cellStyle name="Percentuale 55 3" xfId="9963" xr:uid="{00000000-0005-0000-0000-0000EB260000}"/>
    <cellStyle name="Percentuale 55 3 2" xfId="9964" xr:uid="{00000000-0005-0000-0000-0000EC260000}"/>
    <cellStyle name="Percentuale 55 3 2 2" xfId="9965" xr:uid="{00000000-0005-0000-0000-0000ED260000}"/>
    <cellStyle name="Percentuale 55 3 2 3" xfId="9966" xr:uid="{00000000-0005-0000-0000-0000EE260000}"/>
    <cellStyle name="Percentuale 55 3 2 3 2" xfId="9967" xr:uid="{00000000-0005-0000-0000-0000EF260000}"/>
    <cellStyle name="Percentuale 55 3 3" xfId="9968" xr:uid="{00000000-0005-0000-0000-0000F0260000}"/>
    <cellStyle name="Percentuale 55 3 3 2" xfId="9969" xr:uid="{00000000-0005-0000-0000-0000F1260000}"/>
    <cellStyle name="Percentuale 55 3 4" xfId="9970" xr:uid="{00000000-0005-0000-0000-0000F2260000}"/>
    <cellStyle name="Percentuale 55 3 4 2" xfId="9971" xr:uid="{00000000-0005-0000-0000-0000F3260000}"/>
    <cellStyle name="Percentuale 55 3 5" xfId="9972" xr:uid="{00000000-0005-0000-0000-0000F4260000}"/>
    <cellStyle name="Percentuale 55 4" xfId="9973" xr:uid="{00000000-0005-0000-0000-0000F5260000}"/>
    <cellStyle name="Percentuale 55 4 2" xfId="9974" xr:uid="{00000000-0005-0000-0000-0000F6260000}"/>
    <cellStyle name="Percentuale 55 4 2 2" xfId="9975" xr:uid="{00000000-0005-0000-0000-0000F7260000}"/>
    <cellStyle name="Percentuale 55 4 3" xfId="9976" xr:uid="{00000000-0005-0000-0000-0000F8260000}"/>
    <cellStyle name="Percentuale 55 5" xfId="9977" xr:uid="{00000000-0005-0000-0000-0000F9260000}"/>
    <cellStyle name="Percentuale 55 6" xfId="9978" xr:uid="{00000000-0005-0000-0000-0000FA260000}"/>
    <cellStyle name="Percentuale 55 6 2" xfId="9979" xr:uid="{00000000-0005-0000-0000-0000FB260000}"/>
    <cellStyle name="Percentuale 56" xfId="9980" xr:uid="{00000000-0005-0000-0000-0000FC260000}"/>
    <cellStyle name="Percentuale 56 2" xfId="9981" xr:uid="{00000000-0005-0000-0000-0000FD260000}"/>
    <cellStyle name="Percentuale 56 2 2" xfId="9982" xr:uid="{00000000-0005-0000-0000-0000FE260000}"/>
    <cellStyle name="Percentuale 56 2 2 2" xfId="9983" xr:uid="{00000000-0005-0000-0000-0000FF260000}"/>
    <cellStyle name="Percentuale 56 2 3" xfId="9984" xr:uid="{00000000-0005-0000-0000-000000270000}"/>
    <cellStyle name="Percentuale 56 3" xfId="9985" xr:uid="{00000000-0005-0000-0000-000001270000}"/>
    <cellStyle name="Percentuale 56 3 2" xfId="9986" xr:uid="{00000000-0005-0000-0000-000002270000}"/>
    <cellStyle name="Percentuale 56 3 2 2" xfId="9987" xr:uid="{00000000-0005-0000-0000-000003270000}"/>
    <cellStyle name="Percentuale 56 3 2 3" xfId="9988" xr:uid="{00000000-0005-0000-0000-000004270000}"/>
    <cellStyle name="Percentuale 56 3 2 3 2" xfId="9989" xr:uid="{00000000-0005-0000-0000-000005270000}"/>
    <cellStyle name="Percentuale 56 3 3" xfId="9990" xr:uid="{00000000-0005-0000-0000-000006270000}"/>
    <cellStyle name="Percentuale 56 3 3 2" xfId="9991" xr:uid="{00000000-0005-0000-0000-000007270000}"/>
    <cellStyle name="Percentuale 56 3 4" xfId="9992" xr:uid="{00000000-0005-0000-0000-000008270000}"/>
    <cellStyle name="Percentuale 56 3 4 2" xfId="9993" xr:uid="{00000000-0005-0000-0000-000009270000}"/>
    <cellStyle name="Percentuale 56 3 5" xfId="9994" xr:uid="{00000000-0005-0000-0000-00000A270000}"/>
    <cellStyle name="Percentuale 56 4" xfId="9995" xr:uid="{00000000-0005-0000-0000-00000B270000}"/>
    <cellStyle name="Percentuale 56 4 2" xfId="9996" xr:uid="{00000000-0005-0000-0000-00000C270000}"/>
    <cellStyle name="Percentuale 56 4 2 2" xfId="9997" xr:uid="{00000000-0005-0000-0000-00000D270000}"/>
    <cellStyle name="Percentuale 56 4 3" xfId="9998" xr:uid="{00000000-0005-0000-0000-00000E270000}"/>
    <cellStyle name="Percentuale 56 5" xfId="9999" xr:uid="{00000000-0005-0000-0000-00000F270000}"/>
    <cellStyle name="Percentuale 56 6" xfId="10000" xr:uid="{00000000-0005-0000-0000-000010270000}"/>
    <cellStyle name="Percentuale 56 6 2" xfId="10001" xr:uid="{00000000-0005-0000-0000-000011270000}"/>
    <cellStyle name="Percentuale 57" xfId="10002" xr:uid="{00000000-0005-0000-0000-000012270000}"/>
    <cellStyle name="Percentuale 57 2" xfId="10003" xr:uid="{00000000-0005-0000-0000-000013270000}"/>
    <cellStyle name="Percentuale 57 2 2" xfId="10004" xr:uid="{00000000-0005-0000-0000-000014270000}"/>
    <cellStyle name="Percentuale 57 2 2 2" xfId="10005" xr:uid="{00000000-0005-0000-0000-000015270000}"/>
    <cellStyle name="Percentuale 57 2 3" xfId="10006" xr:uid="{00000000-0005-0000-0000-000016270000}"/>
    <cellStyle name="Percentuale 57 3" xfId="10007" xr:uid="{00000000-0005-0000-0000-000017270000}"/>
    <cellStyle name="Percentuale 57 3 2" xfId="10008" xr:uid="{00000000-0005-0000-0000-000018270000}"/>
    <cellStyle name="Percentuale 57 3 2 2" xfId="10009" xr:uid="{00000000-0005-0000-0000-000019270000}"/>
    <cellStyle name="Percentuale 57 3 2 3" xfId="10010" xr:uid="{00000000-0005-0000-0000-00001A270000}"/>
    <cellStyle name="Percentuale 57 3 2 3 2" xfId="10011" xr:uid="{00000000-0005-0000-0000-00001B270000}"/>
    <cellStyle name="Percentuale 57 3 3" xfId="10012" xr:uid="{00000000-0005-0000-0000-00001C270000}"/>
    <cellStyle name="Percentuale 57 3 3 2" xfId="10013" xr:uid="{00000000-0005-0000-0000-00001D270000}"/>
    <cellStyle name="Percentuale 57 3 4" xfId="10014" xr:uid="{00000000-0005-0000-0000-00001E270000}"/>
    <cellStyle name="Percentuale 57 3 4 2" xfId="10015" xr:uid="{00000000-0005-0000-0000-00001F270000}"/>
    <cellStyle name="Percentuale 57 3 5" xfId="10016" xr:uid="{00000000-0005-0000-0000-000020270000}"/>
    <cellStyle name="Percentuale 57 4" xfId="10017" xr:uid="{00000000-0005-0000-0000-000021270000}"/>
    <cellStyle name="Percentuale 57 4 2" xfId="10018" xr:uid="{00000000-0005-0000-0000-000022270000}"/>
    <cellStyle name="Percentuale 57 4 2 2" xfId="10019" xr:uid="{00000000-0005-0000-0000-000023270000}"/>
    <cellStyle name="Percentuale 57 4 3" xfId="10020" xr:uid="{00000000-0005-0000-0000-000024270000}"/>
    <cellStyle name="Percentuale 57 5" xfId="10021" xr:uid="{00000000-0005-0000-0000-000025270000}"/>
    <cellStyle name="Percentuale 57 6" xfId="10022" xr:uid="{00000000-0005-0000-0000-000026270000}"/>
    <cellStyle name="Percentuale 57 6 2" xfId="10023" xr:uid="{00000000-0005-0000-0000-000027270000}"/>
    <cellStyle name="Percentuale 58" xfId="10024" xr:uid="{00000000-0005-0000-0000-000028270000}"/>
    <cellStyle name="Percentuale 58 2" xfId="10025" xr:uid="{00000000-0005-0000-0000-000029270000}"/>
    <cellStyle name="Percentuale 58 2 2" xfId="10026" xr:uid="{00000000-0005-0000-0000-00002A270000}"/>
    <cellStyle name="Percentuale 58 2 2 2" xfId="10027" xr:uid="{00000000-0005-0000-0000-00002B270000}"/>
    <cellStyle name="Percentuale 58 2 3" xfId="10028" xr:uid="{00000000-0005-0000-0000-00002C270000}"/>
    <cellStyle name="Percentuale 58 3" xfId="10029" xr:uid="{00000000-0005-0000-0000-00002D270000}"/>
    <cellStyle name="Percentuale 58 3 2" xfId="10030" xr:uid="{00000000-0005-0000-0000-00002E270000}"/>
    <cellStyle name="Percentuale 58 3 2 2" xfId="10031" xr:uid="{00000000-0005-0000-0000-00002F270000}"/>
    <cellStyle name="Percentuale 58 3 2 3" xfId="10032" xr:uid="{00000000-0005-0000-0000-000030270000}"/>
    <cellStyle name="Percentuale 58 3 2 3 2" xfId="10033" xr:uid="{00000000-0005-0000-0000-000031270000}"/>
    <cellStyle name="Percentuale 58 3 3" xfId="10034" xr:uid="{00000000-0005-0000-0000-000032270000}"/>
    <cellStyle name="Percentuale 58 3 3 2" xfId="10035" xr:uid="{00000000-0005-0000-0000-000033270000}"/>
    <cellStyle name="Percentuale 58 3 4" xfId="10036" xr:uid="{00000000-0005-0000-0000-000034270000}"/>
    <cellStyle name="Percentuale 58 3 4 2" xfId="10037" xr:uid="{00000000-0005-0000-0000-000035270000}"/>
    <cellStyle name="Percentuale 58 3 5" xfId="10038" xr:uid="{00000000-0005-0000-0000-000036270000}"/>
    <cellStyle name="Percentuale 58 4" xfId="10039" xr:uid="{00000000-0005-0000-0000-000037270000}"/>
    <cellStyle name="Percentuale 58 4 2" xfId="10040" xr:uid="{00000000-0005-0000-0000-000038270000}"/>
    <cellStyle name="Percentuale 58 4 2 2" xfId="10041" xr:uid="{00000000-0005-0000-0000-000039270000}"/>
    <cellStyle name="Percentuale 58 4 3" xfId="10042" xr:uid="{00000000-0005-0000-0000-00003A270000}"/>
    <cellStyle name="Percentuale 58 5" xfId="10043" xr:uid="{00000000-0005-0000-0000-00003B270000}"/>
    <cellStyle name="Percentuale 58 6" xfId="10044" xr:uid="{00000000-0005-0000-0000-00003C270000}"/>
    <cellStyle name="Percentuale 58 6 2" xfId="10045" xr:uid="{00000000-0005-0000-0000-00003D270000}"/>
    <cellStyle name="Percentuale 59" xfId="10046" xr:uid="{00000000-0005-0000-0000-00003E270000}"/>
    <cellStyle name="Percentuale 59 2" xfId="10047" xr:uid="{00000000-0005-0000-0000-00003F270000}"/>
    <cellStyle name="Percentuale 59 2 2" xfId="10048" xr:uid="{00000000-0005-0000-0000-000040270000}"/>
    <cellStyle name="Percentuale 59 2 2 2" xfId="10049" xr:uid="{00000000-0005-0000-0000-000041270000}"/>
    <cellStyle name="Percentuale 59 2 3" xfId="10050" xr:uid="{00000000-0005-0000-0000-000042270000}"/>
    <cellStyle name="Percentuale 59 3" xfId="10051" xr:uid="{00000000-0005-0000-0000-000043270000}"/>
    <cellStyle name="Percentuale 59 3 2" xfId="10052" xr:uid="{00000000-0005-0000-0000-000044270000}"/>
    <cellStyle name="Percentuale 59 3 2 2" xfId="10053" xr:uid="{00000000-0005-0000-0000-000045270000}"/>
    <cellStyle name="Percentuale 59 3 2 3" xfId="10054" xr:uid="{00000000-0005-0000-0000-000046270000}"/>
    <cellStyle name="Percentuale 59 3 2 3 2" xfId="10055" xr:uid="{00000000-0005-0000-0000-000047270000}"/>
    <cellStyle name="Percentuale 59 3 3" xfId="10056" xr:uid="{00000000-0005-0000-0000-000048270000}"/>
    <cellStyle name="Percentuale 59 3 3 2" xfId="10057" xr:uid="{00000000-0005-0000-0000-000049270000}"/>
    <cellStyle name="Percentuale 59 3 4" xfId="10058" xr:uid="{00000000-0005-0000-0000-00004A270000}"/>
    <cellStyle name="Percentuale 59 3 4 2" xfId="10059" xr:uid="{00000000-0005-0000-0000-00004B270000}"/>
    <cellStyle name="Percentuale 59 3 5" xfId="10060" xr:uid="{00000000-0005-0000-0000-00004C270000}"/>
    <cellStyle name="Percentuale 59 4" xfId="10061" xr:uid="{00000000-0005-0000-0000-00004D270000}"/>
    <cellStyle name="Percentuale 59 4 2" xfId="10062" xr:uid="{00000000-0005-0000-0000-00004E270000}"/>
    <cellStyle name="Percentuale 59 4 2 2" xfId="10063" xr:uid="{00000000-0005-0000-0000-00004F270000}"/>
    <cellStyle name="Percentuale 59 4 3" xfId="10064" xr:uid="{00000000-0005-0000-0000-000050270000}"/>
    <cellStyle name="Percentuale 59 5" xfId="10065" xr:uid="{00000000-0005-0000-0000-000051270000}"/>
    <cellStyle name="Percentuale 59 6" xfId="10066" xr:uid="{00000000-0005-0000-0000-000052270000}"/>
    <cellStyle name="Percentuale 59 6 2" xfId="10067" xr:uid="{00000000-0005-0000-0000-000053270000}"/>
    <cellStyle name="Percentuale 6" xfId="10068" xr:uid="{00000000-0005-0000-0000-000054270000}"/>
    <cellStyle name="Percentuale 6 2" xfId="10069" xr:uid="{00000000-0005-0000-0000-000055270000}"/>
    <cellStyle name="Percentuale 6 2 2" xfId="10070" xr:uid="{00000000-0005-0000-0000-000056270000}"/>
    <cellStyle name="Percentuale 6 2 2 2" xfId="10071" xr:uid="{00000000-0005-0000-0000-000057270000}"/>
    <cellStyle name="Percentuale 6 2 3" xfId="10072" xr:uid="{00000000-0005-0000-0000-000058270000}"/>
    <cellStyle name="Percentuale 6 3" xfId="10073" xr:uid="{00000000-0005-0000-0000-000059270000}"/>
    <cellStyle name="Percentuale 6 3 2" xfId="10074" xr:uid="{00000000-0005-0000-0000-00005A270000}"/>
    <cellStyle name="Percentuale 6 3 2 2" xfId="10075" xr:uid="{00000000-0005-0000-0000-00005B270000}"/>
    <cellStyle name="Percentuale 6 3 2 3" xfId="10076" xr:uid="{00000000-0005-0000-0000-00005C270000}"/>
    <cellStyle name="Percentuale 6 3 2 3 2" xfId="10077" xr:uid="{00000000-0005-0000-0000-00005D270000}"/>
    <cellStyle name="Percentuale 6 3 3" xfId="10078" xr:uid="{00000000-0005-0000-0000-00005E270000}"/>
    <cellStyle name="Percentuale 6 3 3 2" xfId="10079" xr:uid="{00000000-0005-0000-0000-00005F270000}"/>
    <cellStyle name="Percentuale 6 3 4" xfId="10080" xr:uid="{00000000-0005-0000-0000-000060270000}"/>
    <cellStyle name="Percentuale 6 3 4 2" xfId="10081" xr:uid="{00000000-0005-0000-0000-000061270000}"/>
    <cellStyle name="Percentuale 6 3 5" xfId="10082" xr:uid="{00000000-0005-0000-0000-000062270000}"/>
    <cellStyle name="Percentuale 6 4" xfId="10083" xr:uid="{00000000-0005-0000-0000-000063270000}"/>
    <cellStyle name="Percentuale 6 4 2" xfId="10084" xr:uid="{00000000-0005-0000-0000-000064270000}"/>
    <cellStyle name="Percentuale 6 4 2 2" xfId="10085" xr:uid="{00000000-0005-0000-0000-000065270000}"/>
    <cellStyle name="Percentuale 6 4 3" xfId="10086" xr:uid="{00000000-0005-0000-0000-000066270000}"/>
    <cellStyle name="Percentuale 6 5" xfId="10087" xr:uid="{00000000-0005-0000-0000-000067270000}"/>
    <cellStyle name="Percentuale 6 6" xfId="10088" xr:uid="{00000000-0005-0000-0000-000068270000}"/>
    <cellStyle name="Percentuale 6 6 2" xfId="10089" xr:uid="{00000000-0005-0000-0000-000069270000}"/>
    <cellStyle name="Percentuale 60" xfId="10090" xr:uid="{00000000-0005-0000-0000-00006A270000}"/>
    <cellStyle name="Percentuale 60 2" xfId="10091" xr:uid="{00000000-0005-0000-0000-00006B270000}"/>
    <cellStyle name="Percentuale 60 2 2" xfId="10092" xr:uid="{00000000-0005-0000-0000-00006C270000}"/>
    <cellStyle name="Percentuale 60 2 2 2" xfId="10093" xr:uid="{00000000-0005-0000-0000-00006D270000}"/>
    <cellStyle name="Percentuale 60 2 3" xfId="10094" xr:uid="{00000000-0005-0000-0000-00006E270000}"/>
    <cellStyle name="Percentuale 60 3" xfId="10095" xr:uid="{00000000-0005-0000-0000-00006F270000}"/>
    <cellStyle name="Percentuale 60 3 2" xfId="10096" xr:uid="{00000000-0005-0000-0000-000070270000}"/>
    <cellStyle name="Percentuale 60 3 2 2" xfId="10097" xr:uid="{00000000-0005-0000-0000-000071270000}"/>
    <cellStyle name="Percentuale 60 3 2 3" xfId="10098" xr:uid="{00000000-0005-0000-0000-000072270000}"/>
    <cellStyle name="Percentuale 60 3 2 3 2" xfId="10099" xr:uid="{00000000-0005-0000-0000-000073270000}"/>
    <cellStyle name="Percentuale 60 3 3" xfId="10100" xr:uid="{00000000-0005-0000-0000-000074270000}"/>
    <cellStyle name="Percentuale 60 3 3 2" xfId="10101" xr:uid="{00000000-0005-0000-0000-000075270000}"/>
    <cellStyle name="Percentuale 60 3 4" xfId="10102" xr:uid="{00000000-0005-0000-0000-000076270000}"/>
    <cellStyle name="Percentuale 60 3 4 2" xfId="10103" xr:uid="{00000000-0005-0000-0000-000077270000}"/>
    <cellStyle name="Percentuale 60 3 5" xfId="10104" xr:uid="{00000000-0005-0000-0000-000078270000}"/>
    <cellStyle name="Percentuale 60 4" xfId="10105" xr:uid="{00000000-0005-0000-0000-000079270000}"/>
    <cellStyle name="Percentuale 60 4 2" xfId="10106" xr:uid="{00000000-0005-0000-0000-00007A270000}"/>
    <cellStyle name="Percentuale 60 4 2 2" xfId="10107" xr:uid="{00000000-0005-0000-0000-00007B270000}"/>
    <cellStyle name="Percentuale 60 4 3" xfId="10108" xr:uid="{00000000-0005-0000-0000-00007C270000}"/>
    <cellStyle name="Percentuale 60 5" xfId="10109" xr:uid="{00000000-0005-0000-0000-00007D270000}"/>
    <cellStyle name="Percentuale 60 6" xfId="10110" xr:uid="{00000000-0005-0000-0000-00007E270000}"/>
    <cellStyle name="Percentuale 60 6 2" xfId="10111" xr:uid="{00000000-0005-0000-0000-00007F270000}"/>
    <cellStyle name="Percentuale 61" xfId="10112" xr:uid="{00000000-0005-0000-0000-000080270000}"/>
    <cellStyle name="Percentuale 61 2" xfId="10113" xr:uid="{00000000-0005-0000-0000-000081270000}"/>
    <cellStyle name="Percentuale 61 2 2" xfId="10114" xr:uid="{00000000-0005-0000-0000-000082270000}"/>
    <cellStyle name="Percentuale 61 2 2 2" xfId="10115" xr:uid="{00000000-0005-0000-0000-000083270000}"/>
    <cellStyle name="Percentuale 61 2 3" xfId="10116" xr:uid="{00000000-0005-0000-0000-000084270000}"/>
    <cellStyle name="Percentuale 61 3" xfId="10117" xr:uid="{00000000-0005-0000-0000-000085270000}"/>
    <cellStyle name="Percentuale 61 3 2" xfId="10118" xr:uid="{00000000-0005-0000-0000-000086270000}"/>
    <cellStyle name="Percentuale 61 3 2 2" xfId="10119" xr:uid="{00000000-0005-0000-0000-000087270000}"/>
    <cellStyle name="Percentuale 61 3 2 3" xfId="10120" xr:uid="{00000000-0005-0000-0000-000088270000}"/>
    <cellStyle name="Percentuale 61 3 2 3 2" xfId="10121" xr:uid="{00000000-0005-0000-0000-000089270000}"/>
    <cellStyle name="Percentuale 61 3 3" xfId="10122" xr:uid="{00000000-0005-0000-0000-00008A270000}"/>
    <cellStyle name="Percentuale 61 3 3 2" xfId="10123" xr:uid="{00000000-0005-0000-0000-00008B270000}"/>
    <cellStyle name="Percentuale 61 3 4" xfId="10124" xr:uid="{00000000-0005-0000-0000-00008C270000}"/>
    <cellStyle name="Percentuale 61 3 4 2" xfId="10125" xr:uid="{00000000-0005-0000-0000-00008D270000}"/>
    <cellStyle name="Percentuale 61 3 5" xfId="10126" xr:uid="{00000000-0005-0000-0000-00008E270000}"/>
    <cellStyle name="Percentuale 61 4" xfId="10127" xr:uid="{00000000-0005-0000-0000-00008F270000}"/>
    <cellStyle name="Percentuale 61 4 2" xfId="10128" xr:uid="{00000000-0005-0000-0000-000090270000}"/>
    <cellStyle name="Percentuale 61 4 2 2" xfId="10129" xr:uid="{00000000-0005-0000-0000-000091270000}"/>
    <cellStyle name="Percentuale 61 4 3" xfId="10130" xr:uid="{00000000-0005-0000-0000-000092270000}"/>
    <cellStyle name="Percentuale 61 5" xfId="10131" xr:uid="{00000000-0005-0000-0000-000093270000}"/>
    <cellStyle name="Percentuale 61 6" xfId="10132" xr:uid="{00000000-0005-0000-0000-000094270000}"/>
    <cellStyle name="Percentuale 61 6 2" xfId="10133" xr:uid="{00000000-0005-0000-0000-000095270000}"/>
    <cellStyle name="Percentuale 62" xfId="10134" xr:uid="{00000000-0005-0000-0000-000096270000}"/>
    <cellStyle name="Percentuale 62 2" xfId="10135" xr:uid="{00000000-0005-0000-0000-000097270000}"/>
    <cellStyle name="Percentuale 62 2 2" xfId="10136" xr:uid="{00000000-0005-0000-0000-000098270000}"/>
    <cellStyle name="Percentuale 62 3" xfId="10137" xr:uid="{00000000-0005-0000-0000-000099270000}"/>
    <cellStyle name="Percentuale 63" xfId="10138" xr:uid="{00000000-0005-0000-0000-00009A270000}"/>
    <cellStyle name="Percentuale 63 2" xfId="10139" xr:uid="{00000000-0005-0000-0000-00009B270000}"/>
    <cellStyle name="Percentuale 63 2 2" xfId="10140" xr:uid="{00000000-0005-0000-0000-00009C270000}"/>
    <cellStyle name="Percentuale 63 3" xfId="10141" xr:uid="{00000000-0005-0000-0000-00009D270000}"/>
    <cellStyle name="Percentuale 64" xfId="10142" xr:uid="{00000000-0005-0000-0000-00009E270000}"/>
    <cellStyle name="Percentuale 64 2" xfId="10143" xr:uid="{00000000-0005-0000-0000-00009F270000}"/>
    <cellStyle name="Percentuale 64 2 2" xfId="10144" xr:uid="{00000000-0005-0000-0000-0000A0270000}"/>
    <cellStyle name="Percentuale 64 3" xfId="10145" xr:uid="{00000000-0005-0000-0000-0000A1270000}"/>
    <cellStyle name="Percentuale 65" xfId="10146" xr:uid="{00000000-0005-0000-0000-0000A2270000}"/>
    <cellStyle name="Percentuale 65 2" xfId="10147" xr:uid="{00000000-0005-0000-0000-0000A3270000}"/>
    <cellStyle name="Percentuale 65 2 2" xfId="10148" xr:uid="{00000000-0005-0000-0000-0000A4270000}"/>
    <cellStyle name="Percentuale 65 3" xfId="10149" xr:uid="{00000000-0005-0000-0000-0000A5270000}"/>
    <cellStyle name="Percentuale 66" xfId="10150" xr:uid="{00000000-0005-0000-0000-0000A6270000}"/>
    <cellStyle name="Percentuale 66 2" xfId="10151" xr:uid="{00000000-0005-0000-0000-0000A7270000}"/>
    <cellStyle name="Percentuale 66 2 2" xfId="10152" xr:uid="{00000000-0005-0000-0000-0000A8270000}"/>
    <cellStyle name="Percentuale 66 3" xfId="10153" xr:uid="{00000000-0005-0000-0000-0000A9270000}"/>
    <cellStyle name="Percentuale 67" xfId="10154" xr:uid="{00000000-0005-0000-0000-0000AA270000}"/>
    <cellStyle name="Percentuale 67 2" xfId="10155" xr:uid="{00000000-0005-0000-0000-0000AB270000}"/>
    <cellStyle name="Percentuale 67 2 2" xfId="10156" xr:uid="{00000000-0005-0000-0000-0000AC270000}"/>
    <cellStyle name="Percentuale 67 3" xfId="10157" xr:uid="{00000000-0005-0000-0000-0000AD270000}"/>
    <cellStyle name="Percentuale 68" xfId="10158" xr:uid="{00000000-0005-0000-0000-0000AE270000}"/>
    <cellStyle name="Percentuale 68 2" xfId="10159" xr:uid="{00000000-0005-0000-0000-0000AF270000}"/>
    <cellStyle name="Percentuale 68 2 2" xfId="10160" xr:uid="{00000000-0005-0000-0000-0000B0270000}"/>
    <cellStyle name="Percentuale 68 2 2 2" xfId="10161" xr:uid="{00000000-0005-0000-0000-0000B1270000}"/>
    <cellStyle name="Percentuale 68 2 3" xfId="10162" xr:uid="{00000000-0005-0000-0000-0000B2270000}"/>
    <cellStyle name="Percentuale 68 3" xfId="10163" xr:uid="{00000000-0005-0000-0000-0000B3270000}"/>
    <cellStyle name="Percentuale 68 3 2" xfId="10164" xr:uid="{00000000-0005-0000-0000-0000B4270000}"/>
    <cellStyle name="Percentuale 68 3 2 2" xfId="10165" xr:uid="{00000000-0005-0000-0000-0000B5270000}"/>
    <cellStyle name="Percentuale 68 3 2 3" xfId="10166" xr:uid="{00000000-0005-0000-0000-0000B6270000}"/>
    <cellStyle name="Percentuale 68 3 2 3 2" xfId="10167" xr:uid="{00000000-0005-0000-0000-0000B7270000}"/>
    <cellStyle name="Percentuale 68 3 3" xfId="10168" xr:uid="{00000000-0005-0000-0000-0000B8270000}"/>
    <cellStyle name="Percentuale 68 3 3 2" xfId="10169" xr:uid="{00000000-0005-0000-0000-0000B9270000}"/>
    <cellStyle name="Percentuale 68 3 4" xfId="10170" xr:uid="{00000000-0005-0000-0000-0000BA270000}"/>
    <cellStyle name="Percentuale 68 3 4 2" xfId="10171" xr:uid="{00000000-0005-0000-0000-0000BB270000}"/>
    <cellStyle name="Percentuale 68 3 5" xfId="10172" xr:uid="{00000000-0005-0000-0000-0000BC270000}"/>
    <cellStyle name="Percentuale 68 4" xfId="10173" xr:uid="{00000000-0005-0000-0000-0000BD270000}"/>
    <cellStyle name="Percentuale 68 4 2" xfId="10174" xr:uid="{00000000-0005-0000-0000-0000BE270000}"/>
    <cellStyle name="Percentuale 68 4 2 2" xfId="10175" xr:uid="{00000000-0005-0000-0000-0000BF270000}"/>
    <cellStyle name="Percentuale 68 4 3" xfId="10176" xr:uid="{00000000-0005-0000-0000-0000C0270000}"/>
    <cellStyle name="Percentuale 68 5" xfId="10177" xr:uid="{00000000-0005-0000-0000-0000C1270000}"/>
    <cellStyle name="Percentuale 68 6" xfId="10178" xr:uid="{00000000-0005-0000-0000-0000C2270000}"/>
    <cellStyle name="Percentuale 68 6 2" xfId="10179" xr:uid="{00000000-0005-0000-0000-0000C3270000}"/>
    <cellStyle name="Percentuale 69" xfId="10180" xr:uid="{00000000-0005-0000-0000-0000C4270000}"/>
    <cellStyle name="Percentuale 69 2" xfId="10181" xr:uid="{00000000-0005-0000-0000-0000C5270000}"/>
    <cellStyle name="Percentuale 69 2 2" xfId="10182" xr:uid="{00000000-0005-0000-0000-0000C6270000}"/>
    <cellStyle name="Percentuale 69 2 2 2" xfId="10183" xr:uid="{00000000-0005-0000-0000-0000C7270000}"/>
    <cellStyle name="Percentuale 69 2 3" xfId="10184" xr:uid="{00000000-0005-0000-0000-0000C8270000}"/>
    <cellStyle name="Percentuale 69 3" xfId="10185" xr:uid="{00000000-0005-0000-0000-0000C9270000}"/>
    <cellStyle name="Percentuale 69 3 2" xfId="10186" xr:uid="{00000000-0005-0000-0000-0000CA270000}"/>
    <cellStyle name="Percentuale 69 3 2 2" xfId="10187" xr:uid="{00000000-0005-0000-0000-0000CB270000}"/>
    <cellStyle name="Percentuale 69 3 2 3" xfId="10188" xr:uid="{00000000-0005-0000-0000-0000CC270000}"/>
    <cellStyle name="Percentuale 69 3 2 3 2" xfId="10189" xr:uid="{00000000-0005-0000-0000-0000CD270000}"/>
    <cellStyle name="Percentuale 69 3 3" xfId="10190" xr:uid="{00000000-0005-0000-0000-0000CE270000}"/>
    <cellStyle name="Percentuale 69 3 3 2" xfId="10191" xr:uid="{00000000-0005-0000-0000-0000CF270000}"/>
    <cellStyle name="Percentuale 69 3 4" xfId="10192" xr:uid="{00000000-0005-0000-0000-0000D0270000}"/>
    <cellStyle name="Percentuale 69 3 4 2" xfId="10193" xr:uid="{00000000-0005-0000-0000-0000D1270000}"/>
    <cellStyle name="Percentuale 69 3 5" xfId="10194" xr:uid="{00000000-0005-0000-0000-0000D2270000}"/>
    <cellStyle name="Percentuale 69 4" xfId="10195" xr:uid="{00000000-0005-0000-0000-0000D3270000}"/>
    <cellStyle name="Percentuale 69 4 2" xfId="10196" xr:uid="{00000000-0005-0000-0000-0000D4270000}"/>
    <cellStyle name="Percentuale 69 4 2 2" xfId="10197" xr:uid="{00000000-0005-0000-0000-0000D5270000}"/>
    <cellStyle name="Percentuale 69 4 3" xfId="10198" xr:uid="{00000000-0005-0000-0000-0000D6270000}"/>
    <cellStyle name="Percentuale 69 5" xfId="10199" xr:uid="{00000000-0005-0000-0000-0000D7270000}"/>
    <cellStyle name="Percentuale 69 6" xfId="10200" xr:uid="{00000000-0005-0000-0000-0000D8270000}"/>
    <cellStyle name="Percentuale 69 6 2" xfId="10201" xr:uid="{00000000-0005-0000-0000-0000D9270000}"/>
    <cellStyle name="Percentuale 7" xfId="10202" xr:uid="{00000000-0005-0000-0000-0000DA270000}"/>
    <cellStyle name="Percentuale 7 2" xfId="10203" xr:uid="{00000000-0005-0000-0000-0000DB270000}"/>
    <cellStyle name="Percentuale 7 2 2" xfId="10204" xr:uid="{00000000-0005-0000-0000-0000DC270000}"/>
    <cellStyle name="Percentuale 7 2 2 2" xfId="10205" xr:uid="{00000000-0005-0000-0000-0000DD270000}"/>
    <cellStyle name="Percentuale 7 2 3" xfId="10206" xr:uid="{00000000-0005-0000-0000-0000DE270000}"/>
    <cellStyle name="Percentuale 7 3" xfId="10207" xr:uid="{00000000-0005-0000-0000-0000DF270000}"/>
    <cellStyle name="Percentuale 7 3 2" xfId="10208" xr:uid="{00000000-0005-0000-0000-0000E0270000}"/>
    <cellStyle name="Percentuale 7 3 2 2" xfId="10209" xr:uid="{00000000-0005-0000-0000-0000E1270000}"/>
    <cellStyle name="Percentuale 7 3 2 3" xfId="10210" xr:uid="{00000000-0005-0000-0000-0000E2270000}"/>
    <cellStyle name="Percentuale 7 3 2 3 2" xfId="10211" xr:uid="{00000000-0005-0000-0000-0000E3270000}"/>
    <cellStyle name="Percentuale 7 3 3" xfId="10212" xr:uid="{00000000-0005-0000-0000-0000E4270000}"/>
    <cellStyle name="Percentuale 7 3 3 2" xfId="10213" xr:uid="{00000000-0005-0000-0000-0000E5270000}"/>
    <cellStyle name="Percentuale 7 3 4" xfId="10214" xr:uid="{00000000-0005-0000-0000-0000E6270000}"/>
    <cellStyle name="Percentuale 7 3 4 2" xfId="10215" xr:uid="{00000000-0005-0000-0000-0000E7270000}"/>
    <cellStyle name="Percentuale 7 3 5" xfId="10216" xr:uid="{00000000-0005-0000-0000-0000E8270000}"/>
    <cellStyle name="Percentuale 7 4" xfId="10217" xr:uid="{00000000-0005-0000-0000-0000E9270000}"/>
    <cellStyle name="Percentuale 7 4 2" xfId="10218" xr:uid="{00000000-0005-0000-0000-0000EA270000}"/>
    <cellStyle name="Percentuale 7 4 2 2" xfId="10219" xr:uid="{00000000-0005-0000-0000-0000EB270000}"/>
    <cellStyle name="Percentuale 7 4 3" xfId="10220" xr:uid="{00000000-0005-0000-0000-0000EC270000}"/>
    <cellStyle name="Percentuale 7 5" xfId="10221" xr:uid="{00000000-0005-0000-0000-0000ED270000}"/>
    <cellStyle name="Percentuale 7 6" xfId="10222" xr:uid="{00000000-0005-0000-0000-0000EE270000}"/>
    <cellStyle name="Percentuale 7 6 2" xfId="10223" xr:uid="{00000000-0005-0000-0000-0000EF270000}"/>
    <cellStyle name="Percentuale 8" xfId="10224" xr:uid="{00000000-0005-0000-0000-0000F0270000}"/>
    <cellStyle name="Percentuale 8 2" xfId="10225" xr:uid="{00000000-0005-0000-0000-0000F1270000}"/>
    <cellStyle name="Percentuale 8 2 2" xfId="10226" xr:uid="{00000000-0005-0000-0000-0000F2270000}"/>
    <cellStyle name="Percentuale 8 2 2 2" xfId="10227" xr:uid="{00000000-0005-0000-0000-0000F3270000}"/>
    <cellStyle name="Percentuale 8 2 3" xfId="10228" xr:uid="{00000000-0005-0000-0000-0000F4270000}"/>
    <cellStyle name="Percentuale 8 3" xfId="10229" xr:uid="{00000000-0005-0000-0000-0000F5270000}"/>
    <cellStyle name="Percentuale 8 3 2" xfId="10230" xr:uid="{00000000-0005-0000-0000-0000F6270000}"/>
    <cellStyle name="Percentuale 8 3 2 2" xfId="10231" xr:uid="{00000000-0005-0000-0000-0000F7270000}"/>
    <cellStyle name="Percentuale 8 3 2 3" xfId="10232" xr:uid="{00000000-0005-0000-0000-0000F8270000}"/>
    <cellStyle name="Percentuale 8 3 2 3 2" xfId="10233" xr:uid="{00000000-0005-0000-0000-0000F9270000}"/>
    <cellStyle name="Percentuale 8 3 3" xfId="10234" xr:uid="{00000000-0005-0000-0000-0000FA270000}"/>
    <cellStyle name="Percentuale 8 3 3 2" xfId="10235" xr:uid="{00000000-0005-0000-0000-0000FB270000}"/>
    <cellStyle name="Percentuale 8 3 4" xfId="10236" xr:uid="{00000000-0005-0000-0000-0000FC270000}"/>
    <cellStyle name="Percentuale 8 3 4 2" xfId="10237" xr:uid="{00000000-0005-0000-0000-0000FD270000}"/>
    <cellStyle name="Percentuale 8 3 5" xfId="10238" xr:uid="{00000000-0005-0000-0000-0000FE270000}"/>
    <cellStyle name="Percentuale 8 4" xfId="10239" xr:uid="{00000000-0005-0000-0000-0000FF270000}"/>
    <cellStyle name="Percentuale 8 4 2" xfId="10240" xr:uid="{00000000-0005-0000-0000-000000280000}"/>
    <cellStyle name="Percentuale 8 4 2 2" xfId="10241" xr:uid="{00000000-0005-0000-0000-000001280000}"/>
    <cellStyle name="Percentuale 8 4 3" xfId="10242" xr:uid="{00000000-0005-0000-0000-000002280000}"/>
    <cellStyle name="Percentuale 8 5" xfId="10243" xr:uid="{00000000-0005-0000-0000-000003280000}"/>
    <cellStyle name="Percentuale 8 6" xfId="10244" xr:uid="{00000000-0005-0000-0000-000004280000}"/>
    <cellStyle name="Percentuale 8 6 2" xfId="10245" xr:uid="{00000000-0005-0000-0000-000005280000}"/>
    <cellStyle name="Percentuale 9" xfId="10246" xr:uid="{00000000-0005-0000-0000-000006280000}"/>
    <cellStyle name="Percentuale 9 2" xfId="10247" xr:uid="{00000000-0005-0000-0000-000007280000}"/>
    <cellStyle name="Percentuale 9 2 2" xfId="10248" xr:uid="{00000000-0005-0000-0000-000008280000}"/>
    <cellStyle name="Percentuale 9 2 2 2" xfId="10249" xr:uid="{00000000-0005-0000-0000-000009280000}"/>
    <cellStyle name="Percentuale 9 2 3" xfId="10250" xr:uid="{00000000-0005-0000-0000-00000A280000}"/>
    <cellStyle name="Percentuale 9 3" xfId="10251" xr:uid="{00000000-0005-0000-0000-00000B280000}"/>
    <cellStyle name="Percentuale 9 3 2" xfId="10252" xr:uid="{00000000-0005-0000-0000-00000C280000}"/>
    <cellStyle name="Percentuale 9 3 2 2" xfId="10253" xr:uid="{00000000-0005-0000-0000-00000D280000}"/>
    <cellStyle name="Percentuale 9 3 2 3" xfId="10254" xr:uid="{00000000-0005-0000-0000-00000E280000}"/>
    <cellStyle name="Percentuale 9 3 2 3 2" xfId="10255" xr:uid="{00000000-0005-0000-0000-00000F280000}"/>
    <cellStyle name="Percentuale 9 3 3" xfId="10256" xr:uid="{00000000-0005-0000-0000-000010280000}"/>
    <cellStyle name="Percentuale 9 3 3 2" xfId="10257" xr:uid="{00000000-0005-0000-0000-000011280000}"/>
    <cellStyle name="Percentuale 9 3 4" xfId="10258" xr:uid="{00000000-0005-0000-0000-000012280000}"/>
    <cellStyle name="Percentuale 9 3 4 2" xfId="10259" xr:uid="{00000000-0005-0000-0000-000013280000}"/>
    <cellStyle name="Percentuale 9 3 5" xfId="10260" xr:uid="{00000000-0005-0000-0000-000014280000}"/>
    <cellStyle name="Percentuale 9 4" xfId="10261" xr:uid="{00000000-0005-0000-0000-000015280000}"/>
    <cellStyle name="Percentuale 9 4 2" xfId="10262" xr:uid="{00000000-0005-0000-0000-000016280000}"/>
    <cellStyle name="Percentuale 9 4 2 2" xfId="10263" xr:uid="{00000000-0005-0000-0000-000017280000}"/>
    <cellStyle name="Percentuale 9 4 3" xfId="10264" xr:uid="{00000000-0005-0000-0000-000018280000}"/>
    <cellStyle name="Percentuale 9 5" xfId="10265" xr:uid="{00000000-0005-0000-0000-000019280000}"/>
    <cellStyle name="Percentuale 9 6" xfId="10266" xr:uid="{00000000-0005-0000-0000-00001A280000}"/>
    <cellStyle name="Percentuale 9 6 2" xfId="10267" xr:uid="{00000000-0005-0000-0000-00001B280000}"/>
    <cellStyle name="Procent 2" xfId="10268" xr:uid="{00000000-0005-0000-0000-00001C280000}"/>
    <cellStyle name="Procent 2 2" xfId="10269" xr:uid="{00000000-0005-0000-0000-00001D280000}"/>
    <cellStyle name="Procent 2 2 2" xfId="10270" xr:uid="{00000000-0005-0000-0000-00001E280000}"/>
    <cellStyle name="Procent 2 2 3" xfId="10271" xr:uid="{00000000-0005-0000-0000-00001F280000}"/>
    <cellStyle name="Procent 2 2 4" xfId="10272" xr:uid="{00000000-0005-0000-0000-000020280000}"/>
    <cellStyle name="Procent 3" xfId="10273" xr:uid="{00000000-0005-0000-0000-000021280000}"/>
    <cellStyle name="Procent 3 2" xfId="10274" xr:uid="{00000000-0005-0000-0000-000022280000}"/>
    <cellStyle name="Procent 3 2 2" xfId="10275" xr:uid="{00000000-0005-0000-0000-000023280000}"/>
    <cellStyle name="Procent 3 2 3" xfId="10276" xr:uid="{00000000-0005-0000-0000-000024280000}"/>
    <cellStyle name="Procent 3 3" xfId="10277" xr:uid="{00000000-0005-0000-0000-000025280000}"/>
    <cellStyle name="Procent 3 4" xfId="10278" xr:uid="{00000000-0005-0000-0000-000026280000}"/>
    <cellStyle name="Procent 4" xfId="10279" xr:uid="{00000000-0005-0000-0000-000027280000}"/>
    <cellStyle name="Procent 4 2" xfId="10280" xr:uid="{00000000-0005-0000-0000-000028280000}"/>
    <cellStyle name="Procent 4 2 2" xfId="10281" xr:uid="{00000000-0005-0000-0000-000029280000}"/>
    <cellStyle name="Procent 4 2 2 2" xfId="10282" xr:uid="{00000000-0005-0000-0000-00002A280000}"/>
    <cellStyle name="Procent 4 2 3" xfId="10283" xr:uid="{00000000-0005-0000-0000-00002B280000}"/>
    <cellStyle name="Procent 4 2 3 2" xfId="10284" xr:uid="{00000000-0005-0000-0000-00002C280000}"/>
    <cellStyle name="Procent 4 2 4" xfId="10285" xr:uid="{00000000-0005-0000-0000-00002D280000}"/>
    <cellStyle name="Procent 4 2 4 2" xfId="10286" xr:uid="{00000000-0005-0000-0000-00002E280000}"/>
    <cellStyle name="Procent 4 2 5" xfId="10287" xr:uid="{00000000-0005-0000-0000-00002F280000}"/>
    <cellStyle name="Procent 4 2 6" xfId="10288" xr:uid="{00000000-0005-0000-0000-000030280000}"/>
    <cellStyle name="Procent 4 3" xfId="10289" xr:uid="{00000000-0005-0000-0000-000031280000}"/>
    <cellStyle name="Procent 4 3 2" xfId="10290" xr:uid="{00000000-0005-0000-0000-000032280000}"/>
    <cellStyle name="Procent 4 4" xfId="10291" xr:uid="{00000000-0005-0000-0000-000033280000}"/>
    <cellStyle name="Procent 4 4 2" xfId="10292" xr:uid="{00000000-0005-0000-0000-000034280000}"/>
    <cellStyle name="Procent 4 5" xfId="10293" xr:uid="{00000000-0005-0000-0000-000035280000}"/>
    <cellStyle name="Procent 4 5 2" xfId="10294" xr:uid="{00000000-0005-0000-0000-000036280000}"/>
    <cellStyle name="Procent 4 6" xfId="10295" xr:uid="{00000000-0005-0000-0000-000037280000}"/>
    <cellStyle name="Procent 4 7" xfId="10296" xr:uid="{00000000-0005-0000-0000-000038280000}"/>
    <cellStyle name="Procent 4 8" xfId="10297" xr:uid="{00000000-0005-0000-0000-000039280000}"/>
    <cellStyle name="Standard_Sce_D_Extraction" xfId="10298" xr:uid="{00000000-0005-0000-0000-00003A280000}"/>
    <cellStyle name="Style 155" xfId="10299" xr:uid="{00000000-0005-0000-0000-00003B280000}"/>
    <cellStyle name="Style 156" xfId="10300" xr:uid="{00000000-0005-0000-0000-00003C280000}"/>
    <cellStyle name="Style 157" xfId="10301" xr:uid="{00000000-0005-0000-0000-00003D280000}"/>
    <cellStyle name="Style 158" xfId="10302" xr:uid="{00000000-0005-0000-0000-00003E280000}"/>
    <cellStyle name="Style 159" xfId="10303" xr:uid="{00000000-0005-0000-0000-00003F280000}"/>
    <cellStyle name="Style 161" xfId="10304" xr:uid="{00000000-0005-0000-0000-000040280000}"/>
    <cellStyle name="Style 162" xfId="10305" xr:uid="{00000000-0005-0000-0000-000041280000}"/>
    <cellStyle name="Style 163" xfId="10306" xr:uid="{00000000-0005-0000-0000-000042280000}"/>
    <cellStyle name="Style 223" xfId="10307" xr:uid="{00000000-0005-0000-0000-000043280000}"/>
    <cellStyle name="Style 224" xfId="10308" xr:uid="{00000000-0005-0000-0000-000044280000}"/>
    <cellStyle name="Style 225" xfId="10309" xr:uid="{00000000-0005-0000-0000-000045280000}"/>
    <cellStyle name="Style 226" xfId="10310" xr:uid="{00000000-0005-0000-0000-000046280000}"/>
    <cellStyle name="Style 227" xfId="10311" xr:uid="{00000000-0005-0000-0000-000047280000}"/>
    <cellStyle name="Style 229" xfId="10312" xr:uid="{00000000-0005-0000-0000-000048280000}"/>
    <cellStyle name="Style 230" xfId="10313" xr:uid="{00000000-0005-0000-0000-000049280000}"/>
    <cellStyle name="Style 231" xfId="10314" xr:uid="{00000000-0005-0000-0000-00004A280000}"/>
    <cellStyle name="Style 257" xfId="10315" xr:uid="{00000000-0005-0000-0000-00004B280000}"/>
    <cellStyle name="Style 258" xfId="10316" xr:uid="{00000000-0005-0000-0000-00004C280000}"/>
    <cellStyle name="Style 259" xfId="10317" xr:uid="{00000000-0005-0000-0000-00004D280000}"/>
    <cellStyle name="Style 260" xfId="10318" xr:uid="{00000000-0005-0000-0000-00004E280000}"/>
    <cellStyle name="Style 261" xfId="10319" xr:uid="{00000000-0005-0000-0000-00004F280000}"/>
    <cellStyle name="Style 263" xfId="10320" xr:uid="{00000000-0005-0000-0000-000050280000}"/>
    <cellStyle name="Style 264" xfId="10321" xr:uid="{00000000-0005-0000-0000-000051280000}"/>
    <cellStyle name="Style 265" xfId="10322" xr:uid="{00000000-0005-0000-0000-000052280000}"/>
    <cellStyle name="Style 461" xfId="10323" xr:uid="{00000000-0005-0000-0000-000053280000}"/>
    <cellStyle name="Style 467" xfId="10324" xr:uid="{00000000-0005-0000-0000-000054280000}"/>
    <cellStyle name="Style 468" xfId="10325" xr:uid="{00000000-0005-0000-0000-000055280000}"/>
    <cellStyle name="Style 469" xfId="10326" xr:uid="{00000000-0005-0000-0000-000056280000}"/>
    <cellStyle name="Style 478" xfId="10327" xr:uid="{00000000-0005-0000-0000-000057280000}"/>
    <cellStyle name="Style 479" xfId="10328" xr:uid="{00000000-0005-0000-0000-000058280000}"/>
    <cellStyle name="Style 480" xfId="10329" xr:uid="{00000000-0005-0000-0000-000059280000}"/>
    <cellStyle name="Style 481" xfId="10330" xr:uid="{00000000-0005-0000-0000-00005A280000}"/>
    <cellStyle name="Style 482" xfId="10331" xr:uid="{00000000-0005-0000-0000-00005B280000}"/>
    <cellStyle name="Style 484" xfId="10332" xr:uid="{00000000-0005-0000-0000-00005C280000}"/>
    <cellStyle name="Style 485" xfId="10333" xr:uid="{00000000-0005-0000-0000-00005D280000}"/>
    <cellStyle name="Style 486" xfId="10334" xr:uid="{00000000-0005-0000-0000-00005E280000}"/>
    <cellStyle name="Style 495" xfId="10335" xr:uid="{00000000-0005-0000-0000-00005F280000}"/>
    <cellStyle name="Style 496" xfId="10336" xr:uid="{00000000-0005-0000-0000-000060280000}"/>
    <cellStyle name="Style 497" xfId="10337" xr:uid="{00000000-0005-0000-0000-000061280000}"/>
    <cellStyle name="Style 498" xfId="10338" xr:uid="{00000000-0005-0000-0000-000062280000}"/>
    <cellStyle name="Style 499" xfId="10339" xr:uid="{00000000-0005-0000-0000-000063280000}"/>
    <cellStyle name="Style 501" xfId="10340" xr:uid="{00000000-0005-0000-0000-000064280000}"/>
    <cellStyle name="Style 502" xfId="10341" xr:uid="{00000000-0005-0000-0000-000065280000}"/>
    <cellStyle name="Style 503" xfId="10342" xr:uid="{00000000-0005-0000-0000-000066280000}"/>
    <cellStyle name="Style 580" xfId="10343" xr:uid="{00000000-0005-0000-0000-000067280000}"/>
    <cellStyle name="Style 581" xfId="10344" xr:uid="{00000000-0005-0000-0000-000068280000}"/>
    <cellStyle name="Style 582" xfId="10345" xr:uid="{00000000-0005-0000-0000-000069280000}"/>
    <cellStyle name="Style 583" xfId="10346" xr:uid="{00000000-0005-0000-0000-00006A280000}"/>
    <cellStyle name="Style 584" xfId="10347" xr:uid="{00000000-0005-0000-0000-00006B280000}"/>
    <cellStyle name="Style 586" xfId="10348" xr:uid="{00000000-0005-0000-0000-00006C280000}"/>
    <cellStyle name="Style 587" xfId="10349" xr:uid="{00000000-0005-0000-0000-00006D280000}"/>
    <cellStyle name="Style 588" xfId="10350" xr:uid="{00000000-0005-0000-0000-00006E280000}"/>
    <cellStyle name="Testo avviso" xfId="10351" xr:uid="{00000000-0005-0000-0000-00006F280000}"/>
    <cellStyle name="Testo descrittivo" xfId="10352" xr:uid="{00000000-0005-0000-0000-000070280000}"/>
    <cellStyle name="Titolo" xfId="10353" xr:uid="{00000000-0005-0000-0000-000071280000}"/>
    <cellStyle name="Titolo 1" xfId="10354" xr:uid="{00000000-0005-0000-0000-000072280000}"/>
    <cellStyle name="Titolo 1 2" xfId="10355" xr:uid="{00000000-0005-0000-0000-000073280000}"/>
    <cellStyle name="Titolo 2" xfId="10356" xr:uid="{00000000-0005-0000-0000-000074280000}"/>
    <cellStyle name="Titolo 2 2" xfId="10357" xr:uid="{00000000-0005-0000-0000-000075280000}"/>
    <cellStyle name="Titolo 3" xfId="10358" xr:uid="{00000000-0005-0000-0000-000076280000}"/>
    <cellStyle name="Titolo 3 2" xfId="10359" xr:uid="{00000000-0005-0000-0000-000077280000}"/>
    <cellStyle name="Titolo 4" xfId="10360" xr:uid="{00000000-0005-0000-0000-000078280000}"/>
    <cellStyle name="Total 2" xfId="10361" xr:uid="{00000000-0005-0000-0000-000079280000}"/>
    <cellStyle name="Total 2 2" xfId="10362" xr:uid="{00000000-0005-0000-0000-00007A280000}"/>
    <cellStyle name="Totale" xfId="10363" xr:uid="{00000000-0005-0000-0000-00007B280000}"/>
    <cellStyle name="Totale 2" xfId="10364" xr:uid="{00000000-0005-0000-0000-00007C280000}"/>
    <cellStyle name="Totale 2 2" xfId="10365" xr:uid="{00000000-0005-0000-0000-00007D280000}"/>
    <cellStyle name="Totale 3" xfId="10366" xr:uid="{00000000-0005-0000-0000-00007E280000}"/>
    <cellStyle name="Totale 3 2" xfId="10367" xr:uid="{00000000-0005-0000-0000-00007F280000}"/>
    <cellStyle name="Totale 4" xfId="10368" xr:uid="{00000000-0005-0000-0000-000080280000}"/>
    <cellStyle name="Totale 5" xfId="10369" xr:uid="{00000000-0005-0000-0000-000081280000}"/>
    <cellStyle name="Totale 6" xfId="10370" xr:uid="{00000000-0005-0000-0000-000082280000}"/>
    <cellStyle name="Uncertain" xfId="10371" xr:uid="{00000000-0005-0000-0000-000083280000}"/>
    <cellStyle name="Usikre tal" xfId="10372" xr:uid="{00000000-0005-0000-0000-000084280000}"/>
    <cellStyle name="Valore non valido" xfId="10373" xr:uid="{00000000-0005-0000-0000-000085280000}"/>
    <cellStyle name="Valore valido" xfId="10374" xr:uid="{00000000-0005-0000-0000-000086280000}"/>
    <cellStyle name="Years" xfId="10375" xr:uid="{00000000-0005-0000-0000-000087280000}"/>
    <cellStyle name="Обычный_CRF2002 (1)" xfId="10376" xr:uid="{00000000-0005-0000-0000-00008828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2.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1.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4.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7.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3.xml"/><Relationship Id="rId64"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6.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50.png"/><Relationship Id="rId3" Type="http://schemas.openxmlformats.org/officeDocument/2006/relationships/image" Target="../media/image27.png"/><Relationship Id="rId21" Type="http://schemas.openxmlformats.org/officeDocument/2006/relationships/image" Target="../media/image45.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image" Target="../media/image49.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29" Type="http://schemas.openxmlformats.org/officeDocument/2006/relationships/image" Target="../media/image53.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28" Type="http://schemas.openxmlformats.org/officeDocument/2006/relationships/image" Target="../media/image52.png"/><Relationship Id="rId10" Type="http://schemas.openxmlformats.org/officeDocument/2006/relationships/image" Target="../media/image34.png"/><Relationship Id="rId19" Type="http://schemas.openxmlformats.org/officeDocument/2006/relationships/image" Target="../media/image43.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image" Target="../media/image51.png"/><Relationship Id="rId30" Type="http://schemas.openxmlformats.org/officeDocument/2006/relationships/image" Target="../media/image54.png"/></Relationships>
</file>

<file path=xl/drawings/_rels/drawing7.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8.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s>
</file>

<file path=xl/drawings/_rels/drawing9.xml.rels><?xml version="1.0" encoding="UTF-8" standalone="yes"?>
<Relationships xmlns="http://schemas.openxmlformats.org/package/2006/relationships"><Relationship Id="rId1"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6.png"/><Relationship Id="rId7" Type="http://schemas.openxmlformats.org/officeDocument/2006/relationships/image" Target="../media/image70.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s>
</file>

<file path=xl/drawings/drawing1.xml><?xml version="1.0" encoding="utf-8"?>
<xdr:wsDr xmlns:xdr="http://schemas.openxmlformats.org/drawingml/2006/spreadsheetDrawing" xmlns:a="http://schemas.openxmlformats.org/drawingml/2006/main">
  <xdr:oneCellAnchor>
    <xdr:from>
      <xdr:col>0</xdr:col>
      <xdr:colOff>361406</xdr:colOff>
      <xdr:row>73</xdr:row>
      <xdr:rowOff>115834</xdr:rowOff>
    </xdr:from>
    <xdr:ext cx="7230019" cy="6667667"/>
    <xdr:pic>
      <xdr:nvPicPr>
        <xdr:cNvPr id="2" name="Picture 1">
          <a:extLst>
            <a:ext uri="{FF2B5EF4-FFF2-40B4-BE49-F238E27FC236}">
              <a16:creationId xmlns:a16="http://schemas.microsoft.com/office/drawing/2014/main" id="{1231996F-B51E-4260-95CF-73B5B7D354B9}"/>
            </a:ext>
          </a:extLst>
        </xdr:cNvPr>
        <xdr:cNvPicPr>
          <a:picLocks noChangeAspect="1"/>
        </xdr:cNvPicPr>
      </xdr:nvPicPr>
      <xdr:blipFill>
        <a:blip xmlns:r="http://schemas.openxmlformats.org/officeDocument/2006/relationships" r:embed="rId1"/>
        <a:stretch>
          <a:fillRect/>
        </a:stretch>
      </xdr:blipFill>
      <xdr:spPr>
        <a:xfrm>
          <a:off x="361406" y="11820154"/>
          <a:ext cx="7230019" cy="6667667"/>
        </a:xfrm>
        <a:prstGeom prst="rect">
          <a:avLst/>
        </a:prstGeom>
      </xdr:spPr>
    </xdr:pic>
    <xdr:clientData/>
  </xdr:oneCellAnchor>
  <xdr:twoCellAnchor>
    <xdr:from>
      <xdr:col>4</xdr:col>
      <xdr:colOff>30480</xdr:colOff>
      <xdr:row>76</xdr:row>
      <xdr:rowOff>174156</xdr:rowOff>
    </xdr:from>
    <xdr:to>
      <xdr:col>12</xdr:col>
      <xdr:colOff>128659</xdr:colOff>
      <xdr:row>180</xdr:row>
      <xdr:rowOff>97758</xdr:rowOff>
    </xdr:to>
    <xdr:grpSp>
      <xdr:nvGrpSpPr>
        <xdr:cNvPr id="3" name="Group 2">
          <a:extLst>
            <a:ext uri="{FF2B5EF4-FFF2-40B4-BE49-F238E27FC236}">
              <a16:creationId xmlns:a16="http://schemas.microsoft.com/office/drawing/2014/main" id="{E9D84780-2E3C-41F4-92C4-3A2637875672}"/>
            </a:ext>
          </a:extLst>
        </xdr:cNvPr>
        <xdr:cNvGrpSpPr/>
      </xdr:nvGrpSpPr>
      <xdr:grpSpPr>
        <a:xfrm>
          <a:off x="6812280" y="14709306"/>
          <a:ext cx="5041654" cy="18897402"/>
          <a:chOff x="6965854" y="2930963"/>
          <a:chExt cx="10326855" cy="19166280"/>
        </a:xfrm>
      </xdr:grpSpPr>
      <xdr:pic>
        <xdr:nvPicPr>
          <xdr:cNvPr id="4" name="Picture 3">
            <a:extLst>
              <a:ext uri="{FF2B5EF4-FFF2-40B4-BE49-F238E27FC236}">
                <a16:creationId xmlns:a16="http://schemas.microsoft.com/office/drawing/2014/main" id="{AC512399-4799-4D2A-9AA1-B4A1935AF870}"/>
              </a:ext>
            </a:extLst>
          </xdr:cNvPr>
          <xdr:cNvPicPr>
            <a:picLocks noChangeAspect="1"/>
          </xdr:cNvPicPr>
        </xdr:nvPicPr>
        <xdr:blipFill>
          <a:blip xmlns:r="http://schemas.openxmlformats.org/officeDocument/2006/relationships" r:embed="rId2"/>
          <a:stretch>
            <a:fillRect/>
          </a:stretch>
        </xdr:blipFill>
        <xdr:spPr>
          <a:xfrm>
            <a:off x="6965854" y="2930963"/>
            <a:ext cx="10249443" cy="3654787"/>
          </a:xfrm>
          <a:prstGeom prst="rect">
            <a:avLst/>
          </a:prstGeom>
          <a:ln w="28575">
            <a:solidFill>
              <a:schemeClr val="tx1"/>
            </a:solidFill>
          </a:ln>
        </xdr:spPr>
      </xdr:pic>
      <xdr:pic>
        <xdr:nvPicPr>
          <xdr:cNvPr id="5" name="Picture 4">
            <a:extLst>
              <a:ext uri="{FF2B5EF4-FFF2-40B4-BE49-F238E27FC236}">
                <a16:creationId xmlns:a16="http://schemas.microsoft.com/office/drawing/2014/main" id="{1220BA9C-2D88-48C2-A478-95C881D6FC92}"/>
              </a:ext>
            </a:extLst>
          </xdr:cNvPr>
          <xdr:cNvPicPr>
            <a:picLocks noChangeAspect="1"/>
          </xdr:cNvPicPr>
        </xdr:nvPicPr>
        <xdr:blipFill>
          <a:blip xmlns:r="http://schemas.openxmlformats.org/officeDocument/2006/relationships" r:embed="rId3"/>
          <a:stretch>
            <a:fillRect/>
          </a:stretch>
        </xdr:blipFill>
        <xdr:spPr>
          <a:xfrm>
            <a:off x="7106099" y="13579451"/>
            <a:ext cx="8845679" cy="8517792"/>
          </a:xfrm>
          <a:prstGeom prst="rect">
            <a:avLst/>
          </a:prstGeom>
          <a:ln w="28575">
            <a:solidFill>
              <a:schemeClr val="tx1"/>
            </a:solidFill>
          </a:ln>
        </xdr:spPr>
      </xdr:pic>
      <xdr:pic>
        <xdr:nvPicPr>
          <xdr:cNvPr id="6" name="Picture 5">
            <a:extLst>
              <a:ext uri="{FF2B5EF4-FFF2-40B4-BE49-F238E27FC236}">
                <a16:creationId xmlns:a16="http://schemas.microsoft.com/office/drawing/2014/main" id="{0FBE9554-112B-480B-90E8-7249E2F759BE}"/>
              </a:ext>
            </a:extLst>
          </xdr:cNvPr>
          <xdr:cNvPicPr>
            <a:picLocks noChangeAspect="1"/>
          </xdr:cNvPicPr>
        </xdr:nvPicPr>
        <xdr:blipFill>
          <a:blip xmlns:r="http://schemas.openxmlformats.org/officeDocument/2006/relationships" r:embed="rId4"/>
          <a:stretch>
            <a:fillRect/>
          </a:stretch>
        </xdr:blipFill>
        <xdr:spPr>
          <a:xfrm>
            <a:off x="6998685" y="11284118"/>
            <a:ext cx="10294024" cy="2256523"/>
          </a:xfrm>
          <a:prstGeom prst="rect">
            <a:avLst/>
          </a:prstGeom>
          <a:ln w="28575">
            <a:solidFill>
              <a:schemeClr val="tx1"/>
            </a:solidFill>
          </a:ln>
        </xdr:spPr>
      </xdr:pic>
      <xdr:pic>
        <xdr:nvPicPr>
          <xdr:cNvPr id="7" name="Picture 6">
            <a:extLst>
              <a:ext uri="{FF2B5EF4-FFF2-40B4-BE49-F238E27FC236}">
                <a16:creationId xmlns:a16="http://schemas.microsoft.com/office/drawing/2014/main" id="{9A37D2F9-B41F-4D80-BD86-1F9AB9FCA907}"/>
              </a:ext>
            </a:extLst>
          </xdr:cNvPr>
          <xdr:cNvPicPr>
            <a:picLocks noChangeAspect="1"/>
          </xdr:cNvPicPr>
        </xdr:nvPicPr>
        <xdr:blipFill>
          <a:blip xmlns:r="http://schemas.openxmlformats.org/officeDocument/2006/relationships" r:embed="rId5"/>
          <a:stretch>
            <a:fillRect/>
          </a:stretch>
        </xdr:blipFill>
        <xdr:spPr>
          <a:xfrm>
            <a:off x="7101371" y="6566444"/>
            <a:ext cx="10052321" cy="4783958"/>
          </a:xfrm>
          <a:prstGeom prst="rect">
            <a:avLst/>
          </a:prstGeom>
          <a:ln w="28575">
            <a:solidFill>
              <a:schemeClr val="tx1"/>
            </a:solidFill>
          </a:ln>
        </xdr:spPr>
      </xdr:pic>
    </xdr:grpSp>
    <xdr:clientData/>
  </xdr:twoCellAnchor>
  <xdr:oneCellAnchor>
    <xdr:from>
      <xdr:col>13</xdr:col>
      <xdr:colOff>324592</xdr:colOff>
      <xdr:row>56</xdr:row>
      <xdr:rowOff>164758</xdr:rowOff>
    </xdr:from>
    <xdr:ext cx="7020166" cy="2430872"/>
    <xdr:pic>
      <xdr:nvPicPr>
        <xdr:cNvPr id="8" name="Picture 7">
          <a:extLst>
            <a:ext uri="{FF2B5EF4-FFF2-40B4-BE49-F238E27FC236}">
              <a16:creationId xmlns:a16="http://schemas.microsoft.com/office/drawing/2014/main" id="{F81F4941-1038-4C53-8FAA-95D50E1CA6E8}"/>
            </a:ext>
          </a:extLst>
        </xdr:cNvPr>
        <xdr:cNvPicPr>
          <a:picLocks noChangeAspect="1"/>
        </xdr:cNvPicPr>
      </xdr:nvPicPr>
      <xdr:blipFill>
        <a:blip xmlns:r="http://schemas.openxmlformats.org/officeDocument/2006/relationships" r:embed="rId6"/>
        <a:stretch>
          <a:fillRect/>
        </a:stretch>
      </xdr:blipFill>
      <xdr:spPr>
        <a:xfrm>
          <a:off x="8249392" y="8577238"/>
          <a:ext cx="7020166" cy="2430872"/>
        </a:xfrm>
        <a:prstGeom prst="rect">
          <a:avLst/>
        </a:prstGeom>
      </xdr:spPr>
    </xdr:pic>
    <xdr:clientData/>
  </xdr:oneCellAnchor>
  <xdr:oneCellAnchor>
    <xdr:from>
      <xdr:col>13</xdr:col>
      <xdr:colOff>278026</xdr:colOff>
      <xdr:row>69</xdr:row>
      <xdr:rowOff>30892</xdr:rowOff>
    </xdr:from>
    <xdr:ext cx="7676871" cy="731313"/>
    <xdr:pic>
      <xdr:nvPicPr>
        <xdr:cNvPr id="9" name="Picture 8">
          <a:extLst>
            <a:ext uri="{FF2B5EF4-FFF2-40B4-BE49-F238E27FC236}">
              <a16:creationId xmlns:a16="http://schemas.microsoft.com/office/drawing/2014/main" id="{7E2F112A-3955-4A7F-8DCD-3E3D89BB28A4}"/>
            </a:ext>
          </a:extLst>
        </xdr:cNvPr>
        <xdr:cNvPicPr>
          <a:picLocks noChangeAspect="1"/>
        </xdr:cNvPicPr>
      </xdr:nvPicPr>
      <xdr:blipFill>
        <a:blip xmlns:r="http://schemas.openxmlformats.org/officeDocument/2006/relationships" r:embed="rId7"/>
        <a:stretch>
          <a:fillRect/>
        </a:stretch>
      </xdr:blipFill>
      <xdr:spPr>
        <a:xfrm>
          <a:off x="8202826" y="10820812"/>
          <a:ext cx="7676871" cy="73131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11</xdr:col>
      <xdr:colOff>253856</xdr:colOff>
      <xdr:row>166</xdr:row>
      <xdr:rowOff>88869</xdr:rowOff>
    </xdr:from>
    <xdr:ext cx="6123548" cy="1459622"/>
    <xdr:pic>
      <xdr:nvPicPr>
        <xdr:cNvPr id="2" name="Picture 1">
          <a:extLst>
            <a:ext uri="{FF2B5EF4-FFF2-40B4-BE49-F238E27FC236}">
              <a16:creationId xmlns:a16="http://schemas.microsoft.com/office/drawing/2014/main" id="{B53D9C4E-BC98-405A-B0B9-24201DCE8EC9}"/>
            </a:ext>
          </a:extLst>
        </xdr:cNvPr>
        <xdr:cNvPicPr>
          <a:picLocks noChangeAspect="1"/>
        </xdr:cNvPicPr>
      </xdr:nvPicPr>
      <xdr:blipFill>
        <a:blip xmlns:r="http://schemas.openxmlformats.org/officeDocument/2006/relationships" r:embed="rId1"/>
        <a:stretch>
          <a:fillRect/>
        </a:stretch>
      </xdr:blipFill>
      <xdr:spPr>
        <a:xfrm>
          <a:off x="6959456" y="30264069"/>
          <a:ext cx="6123548" cy="1459622"/>
        </a:xfrm>
        <a:prstGeom prst="rect">
          <a:avLst/>
        </a:prstGeom>
      </xdr:spPr>
    </xdr:pic>
    <xdr:clientData/>
  </xdr:oneCellAnchor>
  <xdr:oneCellAnchor>
    <xdr:from>
      <xdr:col>10</xdr:col>
      <xdr:colOff>966641</xdr:colOff>
      <xdr:row>179</xdr:row>
      <xdr:rowOff>78699</xdr:rowOff>
    </xdr:from>
    <xdr:ext cx="7182915" cy="4424592"/>
    <xdr:pic>
      <xdr:nvPicPr>
        <xdr:cNvPr id="3" name="Picture 2">
          <a:extLst>
            <a:ext uri="{FF2B5EF4-FFF2-40B4-BE49-F238E27FC236}">
              <a16:creationId xmlns:a16="http://schemas.microsoft.com/office/drawing/2014/main" id="{A534F8FD-B084-4922-9574-9C746E9517CB}"/>
            </a:ext>
          </a:extLst>
        </xdr:cNvPr>
        <xdr:cNvPicPr>
          <a:picLocks noChangeAspect="1"/>
        </xdr:cNvPicPr>
      </xdr:nvPicPr>
      <xdr:blipFill>
        <a:blip xmlns:r="http://schemas.openxmlformats.org/officeDocument/2006/relationships" r:embed="rId2"/>
        <a:stretch>
          <a:fillRect/>
        </a:stretch>
      </xdr:blipFill>
      <xdr:spPr>
        <a:xfrm>
          <a:off x="6704501" y="32631339"/>
          <a:ext cx="7182915" cy="4424592"/>
        </a:xfrm>
        <a:prstGeom prst="rect">
          <a:avLst/>
        </a:prstGeom>
      </xdr:spPr>
    </xdr:pic>
    <xdr:clientData/>
  </xdr:oneCellAnchor>
  <xdr:twoCellAnchor>
    <xdr:from>
      <xdr:col>13</xdr:col>
      <xdr:colOff>568036</xdr:colOff>
      <xdr:row>121</xdr:row>
      <xdr:rowOff>41565</xdr:rowOff>
    </xdr:from>
    <xdr:to>
      <xdr:col>24</xdr:col>
      <xdr:colOff>277091</xdr:colOff>
      <xdr:row>129</xdr:row>
      <xdr:rowOff>152401</xdr:rowOff>
    </xdr:to>
    <xdr:grpSp>
      <xdr:nvGrpSpPr>
        <xdr:cNvPr id="4" name="Group 3">
          <a:extLst>
            <a:ext uri="{FF2B5EF4-FFF2-40B4-BE49-F238E27FC236}">
              <a16:creationId xmlns:a16="http://schemas.microsoft.com/office/drawing/2014/main" id="{B88F4324-1B0C-488B-92F5-8A00343548B8}"/>
            </a:ext>
          </a:extLst>
        </xdr:cNvPr>
        <xdr:cNvGrpSpPr/>
      </xdr:nvGrpSpPr>
      <xdr:grpSpPr>
        <a:xfrm>
          <a:off x="16558313" y="23323596"/>
          <a:ext cx="8923393" cy="1611390"/>
          <a:chOff x="505384" y="9646023"/>
          <a:chExt cx="6847835" cy="1977310"/>
        </a:xfrm>
      </xdr:grpSpPr>
      <xdr:pic>
        <xdr:nvPicPr>
          <xdr:cNvPr id="5" name="Picture 4">
            <a:extLst>
              <a:ext uri="{FF2B5EF4-FFF2-40B4-BE49-F238E27FC236}">
                <a16:creationId xmlns:a16="http://schemas.microsoft.com/office/drawing/2014/main" id="{EE0FEE10-46F9-4573-8FFD-E8A341BBC82F}"/>
              </a:ext>
            </a:extLst>
          </xdr:cNvPr>
          <xdr:cNvPicPr>
            <a:picLocks noChangeAspect="1"/>
          </xdr:cNvPicPr>
        </xdr:nvPicPr>
        <xdr:blipFill>
          <a:blip xmlns:r="http://schemas.openxmlformats.org/officeDocument/2006/relationships" r:embed="rId3"/>
          <a:stretch>
            <a:fillRect/>
          </a:stretch>
        </xdr:blipFill>
        <xdr:spPr>
          <a:xfrm>
            <a:off x="505384" y="10035988"/>
            <a:ext cx="6847835" cy="1587345"/>
          </a:xfrm>
          <a:prstGeom prst="rect">
            <a:avLst/>
          </a:prstGeom>
        </xdr:spPr>
      </xdr:pic>
      <xdr:pic>
        <xdr:nvPicPr>
          <xdr:cNvPr id="6" name="Picture 5">
            <a:extLst>
              <a:ext uri="{FF2B5EF4-FFF2-40B4-BE49-F238E27FC236}">
                <a16:creationId xmlns:a16="http://schemas.microsoft.com/office/drawing/2014/main" id="{928726E2-442F-41A2-A745-1E49270B3717}"/>
              </a:ext>
            </a:extLst>
          </xdr:cNvPr>
          <xdr:cNvPicPr>
            <a:picLocks noChangeAspect="1"/>
          </xdr:cNvPicPr>
        </xdr:nvPicPr>
        <xdr:blipFill>
          <a:blip xmlns:r="http://schemas.openxmlformats.org/officeDocument/2006/relationships" r:embed="rId4"/>
          <a:stretch>
            <a:fillRect/>
          </a:stretch>
        </xdr:blipFill>
        <xdr:spPr>
          <a:xfrm>
            <a:off x="519953" y="9646023"/>
            <a:ext cx="6517341" cy="358015"/>
          </a:xfrm>
          <a:prstGeom prst="rect">
            <a:avLst/>
          </a:prstGeom>
        </xdr:spPr>
      </xdr:pic>
    </xdr:grpSp>
    <xdr:clientData/>
  </xdr:twoCellAnchor>
  <xdr:oneCellAnchor>
    <xdr:from>
      <xdr:col>15</xdr:col>
      <xdr:colOff>178316</xdr:colOff>
      <xdr:row>140</xdr:row>
      <xdr:rowOff>160665</xdr:rowOff>
    </xdr:from>
    <xdr:ext cx="6183692" cy="3022584"/>
    <xdr:pic>
      <xdr:nvPicPr>
        <xdr:cNvPr id="7" name="Picture 6">
          <a:extLst>
            <a:ext uri="{FF2B5EF4-FFF2-40B4-BE49-F238E27FC236}">
              <a16:creationId xmlns:a16="http://schemas.microsoft.com/office/drawing/2014/main" id="{EE1E442D-2D9F-44F4-8043-D049C96530A1}"/>
            </a:ext>
          </a:extLst>
        </xdr:cNvPr>
        <xdr:cNvPicPr>
          <a:picLocks noChangeAspect="1"/>
        </xdr:cNvPicPr>
      </xdr:nvPicPr>
      <xdr:blipFill>
        <a:blip xmlns:r="http://schemas.openxmlformats.org/officeDocument/2006/relationships" r:embed="rId5"/>
        <a:stretch>
          <a:fillRect/>
        </a:stretch>
      </xdr:blipFill>
      <xdr:spPr>
        <a:xfrm>
          <a:off x="9322316" y="25580985"/>
          <a:ext cx="6183692" cy="3022584"/>
        </a:xfrm>
        <a:prstGeom prst="rect">
          <a:avLst/>
        </a:prstGeom>
      </xdr:spPr>
    </xdr:pic>
    <xdr:clientData/>
  </xdr:oneCellAnchor>
  <xdr:twoCellAnchor>
    <xdr:from>
      <xdr:col>2</xdr:col>
      <xdr:colOff>2512621</xdr:colOff>
      <xdr:row>130</xdr:row>
      <xdr:rowOff>28466</xdr:rowOff>
    </xdr:from>
    <xdr:to>
      <xdr:col>7</xdr:col>
      <xdr:colOff>272346</xdr:colOff>
      <xdr:row>164</xdr:row>
      <xdr:rowOff>156269</xdr:rowOff>
    </xdr:to>
    <xdr:grpSp>
      <xdr:nvGrpSpPr>
        <xdr:cNvPr id="8" name="Group 7">
          <a:extLst>
            <a:ext uri="{FF2B5EF4-FFF2-40B4-BE49-F238E27FC236}">
              <a16:creationId xmlns:a16="http://schemas.microsoft.com/office/drawing/2014/main" id="{FC303448-05F9-42B8-BC6B-7CBBEE8402C1}"/>
            </a:ext>
          </a:extLst>
        </xdr:cNvPr>
        <xdr:cNvGrpSpPr/>
      </xdr:nvGrpSpPr>
      <xdr:grpSpPr>
        <a:xfrm>
          <a:off x="4376590" y="24998620"/>
          <a:ext cx="6317571" cy="6552049"/>
          <a:chOff x="7815942" y="4822371"/>
          <a:chExt cx="3567012" cy="5100885"/>
        </a:xfrm>
      </xdr:grpSpPr>
      <xdr:pic>
        <xdr:nvPicPr>
          <xdr:cNvPr id="9" name="Picture 8">
            <a:extLst>
              <a:ext uri="{FF2B5EF4-FFF2-40B4-BE49-F238E27FC236}">
                <a16:creationId xmlns:a16="http://schemas.microsoft.com/office/drawing/2014/main" id="{4A0091C9-E5D8-45F4-B1CE-741E6F2A5B42}"/>
              </a:ext>
            </a:extLst>
          </xdr:cNvPr>
          <xdr:cNvPicPr>
            <a:picLocks noChangeAspect="1"/>
          </xdr:cNvPicPr>
        </xdr:nvPicPr>
        <xdr:blipFill>
          <a:blip xmlns:r="http://schemas.openxmlformats.org/officeDocument/2006/relationships" r:embed="rId6"/>
          <a:stretch>
            <a:fillRect/>
          </a:stretch>
        </xdr:blipFill>
        <xdr:spPr>
          <a:xfrm>
            <a:off x="7815942" y="4822371"/>
            <a:ext cx="3567012" cy="2569256"/>
          </a:xfrm>
          <a:prstGeom prst="rect">
            <a:avLst/>
          </a:prstGeom>
        </xdr:spPr>
      </xdr:pic>
      <xdr:pic>
        <xdr:nvPicPr>
          <xdr:cNvPr id="10" name="Picture 9">
            <a:extLst>
              <a:ext uri="{FF2B5EF4-FFF2-40B4-BE49-F238E27FC236}">
                <a16:creationId xmlns:a16="http://schemas.microsoft.com/office/drawing/2014/main" id="{8A9C558A-8C7A-49EE-9F36-4F4744418CAF}"/>
              </a:ext>
            </a:extLst>
          </xdr:cNvPr>
          <xdr:cNvPicPr>
            <a:picLocks noChangeAspect="1"/>
          </xdr:cNvPicPr>
        </xdr:nvPicPr>
        <xdr:blipFill>
          <a:blip xmlns:r="http://schemas.openxmlformats.org/officeDocument/2006/relationships" r:embed="rId7"/>
          <a:stretch>
            <a:fillRect/>
          </a:stretch>
        </xdr:blipFill>
        <xdr:spPr>
          <a:xfrm>
            <a:off x="7832272" y="7402286"/>
            <a:ext cx="3477985" cy="2520970"/>
          </a:xfrm>
          <a:prstGeom prst="rect">
            <a:avLst/>
          </a:prstGeom>
        </xdr:spPr>
      </xdr:pic>
    </xdr:grpSp>
    <xdr:clientData/>
  </xdr:twoCellAnchor>
  <xdr:twoCellAnchor>
    <xdr:from>
      <xdr:col>7</xdr:col>
      <xdr:colOff>231096</xdr:colOff>
      <xdr:row>130</xdr:row>
      <xdr:rowOff>110719</xdr:rowOff>
    </xdr:from>
    <xdr:to>
      <xdr:col>13</xdr:col>
      <xdr:colOff>270863</xdr:colOff>
      <xdr:row>160</xdr:row>
      <xdr:rowOff>18506</xdr:rowOff>
    </xdr:to>
    <xdr:grpSp>
      <xdr:nvGrpSpPr>
        <xdr:cNvPr id="11" name="Group 10">
          <a:extLst>
            <a:ext uri="{FF2B5EF4-FFF2-40B4-BE49-F238E27FC236}">
              <a16:creationId xmlns:a16="http://schemas.microsoft.com/office/drawing/2014/main" id="{A7157029-C89E-4BA1-A67F-F2E2DE3649B0}"/>
            </a:ext>
          </a:extLst>
        </xdr:cNvPr>
        <xdr:cNvGrpSpPr/>
      </xdr:nvGrpSpPr>
      <xdr:grpSpPr>
        <a:xfrm>
          <a:off x="10652911" y="25080873"/>
          <a:ext cx="5608229" cy="5581756"/>
          <a:chOff x="5924549" y="4626429"/>
          <a:chExt cx="3502233" cy="4974989"/>
        </a:xfrm>
      </xdr:grpSpPr>
      <xdr:pic>
        <xdr:nvPicPr>
          <xdr:cNvPr id="12" name="Picture 11">
            <a:extLst>
              <a:ext uri="{FF2B5EF4-FFF2-40B4-BE49-F238E27FC236}">
                <a16:creationId xmlns:a16="http://schemas.microsoft.com/office/drawing/2014/main" id="{2EC92E01-2435-4735-8786-2A7A9099FF2C}"/>
              </a:ext>
            </a:extLst>
          </xdr:cNvPr>
          <xdr:cNvPicPr>
            <a:picLocks noChangeAspect="1"/>
          </xdr:cNvPicPr>
        </xdr:nvPicPr>
        <xdr:blipFill>
          <a:blip xmlns:r="http://schemas.openxmlformats.org/officeDocument/2006/relationships" r:embed="rId8"/>
          <a:stretch>
            <a:fillRect/>
          </a:stretch>
        </xdr:blipFill>
        <xdr:spPr>
          <a:xfrm>
            <a:off x="5976257" y="4626429"/>
            <a:ext cx="3450525" cy="2493049"/>
          </a:xfrm>
          <a:prstGeom prst="rect">
            <a:avLst/>
          </a:prstGeom>
        </xdr:spPr>
      </xdr:pic>
      <xdr:pic>
        <xdr:nvPicPr>
          <xdr:cNvPr id="13" name="Picture 12">
            <a:extLst>
              <a:ext uri="{FF2B5EF4-FFF2-40B4-BE49-F238E27FC236}">
                <a16:creationId xmlns:a16="http://schemas.microsoft.com/office/drawing/2014/main" id="{DD8EA30D-D100-4427-9FAF-B730D7020F81}"/>
              </a:ext>
            </a:extLst>
          </xdr:cNvPr>
          <xdr:cNvPicPr>
            <a:picLocks noChangeAspect="1"/>
          </xdr:cNvPicPr>
        </xdr:nvPicPr>
        <xdr:blipFill>
          <a:blip xmlns:r="http://schemas.openxmlformats.org/officeDocument/2006/relationships" r:embed="rId9"/>
          <a:stretch>
            <a:fillRect/>
          </a:stretch>
        </xdr:blipFill>
        <xdr:spPr>
          <a:xfrm>
            <a:off x="5924549" y="7151914"/>
            <a:ext cx="3420042" cy="2449504"/>
          </a:xfrm>
          <a:prstGeom prst="rect">
            <a:avLst/>
          </a:prstGeom>
        </xdr:spPr>
      </xdr:pic>
    </xdr:grpSp>
    <xdr:clientData/>
  </xdr:twoCellAnchor>
  <xdr:oneCellAnchor>
    <xdr:from>
      <xdr:col>2</xdr:col>
      <xdr:colOff>2313709</xdr:colOff>
      <xdr:row>188</xdr:row>
      <xdr:rowOff>96982</xdr:rowOff>
    </xdr:from>
    <xdr:ext cx="7779496" cy="4032647"/>
    <xdr:pic>
      <xdr:nvPicPr>
        <xdr:cNvPr id="14" name="Picture 13">
          <a:extLst>
            <a:ext uri="{FF2B5EF4-FFF2-40B4-BE49-F238E27FC236}">
              <a16:creationId xmlns:a16="http://schemas.microsoft.com/office/drawing/2014/main" id="{ECDC81F7-9CD0-429A-927B-7DAAD13994F5}"/>
            </a:ext>
          </a:extLst>
        </xdr:cNvPr>
        <xdr:cNvPicPr>
          <a:picLocks noChangeAspect="1"/>
        </xdr:cNvPicPr>
      </xdr:nvPicPr>
      <xdr:blipFill>
        <a:blip xmlns:r="http://schemas.openxmlformats.org/officeDocument/2006/relationships" r:embed="rId10"/>
        <a:stretch>
          <a:fillRect/>
        </a:stretch>
      </xdr:blipFill>
      <xdr:spPr>
        <a:xfrm>
          <a:off x="1826029" y="34295542"/>
          <a:ext cx="7779496" cy="4032647"/>
        </a:xfrm>
        <a:prstGeom prst="rect">
          <a:avLst/>
        </a:prstGeom>
      </xdr:spPr>
    </xdr:pic>
    <xdr:clientData/>
  </xdr:oneCellAnchor>
  <xdr:oneCellAnchor>
    <xdr:from>
      <xdr:col>2</xdr:col>
      <xdr:colOff>2382982</xdr:colOff>
      <xdr:row>210</xdr:row>
      <xdr:rowOff>124691</xdr:rowOff>
    </xdr:from>
    <xdr:ext cx="7710918" cy="4192510"/>
    <xdr:pic>
      <xdr:nvPicPr>
        <xdr:cNvPr id="15" name="Picture 14">
          <a:extLst>
            <a:ext uri="{FF2B5EF4-FFF2-40B4-BE49-F238E27FC236}">
              <a16:creationId xmlns:a16="http://schemas.microsoft.com/office/drawing/2014/main" id="{A0CD3E9D-B8A2-4CB3-82E0-2F8CF99FA3D3}"/>
            </a:ext>
          </a:extLst>
        </xdr:cNvPr>
        <xdr:cNvPicPr>
          <a:picLocks noChangeAspect="1"/>
        </xdr:cNvPicPr>
      </xdr:nvPicPr>
      <xdr:blipFill>
        <a:blip xmlns:r="http://schemas.openxmlformats.org/officeDocument/2006/relationships" r:embed="rId11"/>
        <a:stretch>
          <a:fillRect/>
        </a:stretch>
      </xdr:blipFill>
      <xdr:spPr>
        <a:xfrm>
          <a:off x="1826722" y="38346611"/>
          <a:ext cx="7710918" cy="4192510"/>
        </a:xfrm>
        <a:prstGeom prst="rect">
          <a:avLst/>
        </a:prstGeom>
      </xdr:spPr>
    </xdr:pic>
    <xdr:clientData/>
  </xdr:oneCellAnchor>
  <xdr:oneCellAnchor>
    <xdr:from>
      <xdr:col>2</xdr:col>
      <xdr:colOff>2286001</xdr:colOff>
      <xdr:row>233</xdr:row>
      <xdr:rowOff>41564</xdr:rowOff>
    </xdr:from>
    <xdr:ext cx="7811582" cy="2022152"/>
    <xdr:pic>
      <xdr:nvPicPr>
        <xdr:cNvPr id="16" name="Picture 15">
          <a:extLst>
            <a:ext uri="{FF2B5EF4-FFF2-40B4-BE49-F238E27FC236}">
              <a16:creationId xmlns:a16="http://schemas.microsoft.com/office/drawing/2014/main" id="{6B5AAD2A-7697-4E8D-ABC0-83B05819BE83}"/>
            </a:ext>
          </a:extLst>
        </xdr:cNvPr>
        <xdr:cNvPicPr>
          <a:picLocks noChangeAspect="1"/>
        </xdr:cNvPicPr>
      </xdr:nvPicPr>
      <xdr:blipFill>
        <a:blip xmlns:r="http://schemas.openxmlformats.org/officeDocument/2006/relationships" r:embed="rId12"/>
        <a:stretch>
          <a:fillRect/>
        </a:stretch>
      </xdr:blipFill>
      <xdr:spPr>
        <a:xfrm>
          <a:off x="1828801" y="42469724"/>
          <a:ext cx="7811582" cy="202215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12</xdr:col>
      <xdr:colOff>310427</xdr:colOff>
      <xdr:row>44</xdr:row>
      <xdr:rowOff>70581</xdr:rowOff>
    </xdr:from>
    <xdr:ext cx="6258684" cy="1672777"/>
    <xdr:pic>
      <xdr:nvPicPr>
        <xdr:cNvPr id="2" name="Picture 1">
          <a:extLst>
            <a:ext uri="{FF2B5EF4-FFF2-40B4-BE49-F238E27FC236}">
              <a16:creationId xmlns:a16="http://schemas.microsoft.com/office/drawing/2014/main" id="{69601856-78A4-4CFC-A09C-8ED9FD1CDE62}"/>
            </a:ext>
          </a:extLst>
        </xdr:cNvPr>
        <xdr:cNvPicPr>
          <a:picLocks noChangeAspect="1"/>
        </xdr:cNvPicPr>
      </xdr:nvPicPr>
      <xdr:blipFill>
        <a:blip xmlns:r="http://schemas.openxmlformats.org/officeDocument/2006/relationships" r:embed="rId1"/>
        <a:stretch>
          <a:fillRect/>
        </a:stretch>
      </xdr:blipFill>
      <xdr:spPr>
        <a:xfrm>
          <a:off x="7808507" y="7934421"/>
          <a:ext cx="6258684" cy="1672777"/>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36</xdr:col>
      <xdr:colOff>21772</xdr:colOff>
      <xdr:row>171</xdr:row>
      <xdr:rowOff>21772</xdr:rowOff>
    </xdr:from>
    <xdr:to>
      <xdr:col>52</xdr:col>
      <xdr:colOff>474953</xdr:colOff>
      <xdr:row>207</xdr:row>
      <xdr:rowOff>125244</xdr:rowOff>
    </xdr:to>
    <xdr:pic>
      <xdr:nvPicPr>
        <xdr:cNvPr id="5" name="Picture 4">
          <a:extLst>
            <a:ext uri="{FF2B5EF4-FFF2-40B4-BE49-F238E27FC236}">
              <a16:creationId xmlns:a16="http://schemas.microsoft.com/office/drawing/2014/main" id="{8DBAAE13-F30B-4344-9C9A-1680C073FFA3}"/>
            </a:ext>
          </a:extLst>
        </xdr:cNvPr>
        <xdr:cNvPicPr>
          <a:picLocks noChangeAspect="1"/>
        </xdr:cNvPicPr>
      </xdr:nvPicPr>
      <xdr:blipFill>
        <a:blip xmlns:r="http://schemas.openxmlformats.org/officeDocument/2006/relationships" r:embed="rId1"/>
        <a:stretch>
          <a:fillRect/>
        </a:stretch>
      </xdr:blipFill>
      <xdr:spPr>
        <a:xfrm>
          <a:off x="35843392" y="555172"/>
          <a:ext cx="10450621" cy="6138512"/>
        </a:xfrm>
        <a:prstGeom prst="rect">
          <a:avLst/>
        </a:prstGeom>
      </xdr:spPr>
    </xdr:pic>
    <xdr:clientData/>
  </xdr:twoCellAnchor>
  <xdr:twoCellAnchor editAs="oneCell">
    <xdr:from>
      <xdr:col>55</xdr:col>
      <xdr:colOff>250372</xdr:colOff>
      <xdr:row>188</xdr:row>
      <xdr:rowOff>21771</xdr:rowOff>
    </xdr:from>
    <xdr:to>
      <xdr:col>66</xdr:col>
      <xdr:colOff>434554</xdr:colOff>
      <xdr:row>208</xdr:row>
      <xdr:rowOff>97552</xdr:rowOff>
    </xdr:to>
    <xdr:pic>
      <xdr:nvPicPr>
        <xdr:cNvPr id="6" name="Picture 5">
          <a:extLst>
            <a:ext uri="{FF2B5EF4-FFF2-40B4-BE49-F238E27FC236}">
              <a16:creationId xmlns:a16="http://schemas.microsoft.com/office/drawing/2014/main" id="{0DA44973-1A9A-4AFE-AB6A-FA0267399F4F}"/>
            </a:ext>
          </a:extLst>
        </xdr:cNvPr>
        <xdr:cNvPicPr>
          <a:picLocks noChangeAspect="1"/>
        </xdr:cNvPicPr>
      </xdr:nvPicPr>
      <xdr:blipFill>
        <a:blip xmlns:r="http://schemas.openxmlformats.org/officeDocument/2006/relationships" r:embed="rId2"/>
        <a:stretch>
          <a:fillRect/>
        </a:stretch>
      </xdr:blipFill>
      <xdr:spPr>
        <a:xfrm>
          <a:off x="47943952" y="4288971"/>
          <a:ext cx="7057422" cy="3428581"/>
        </a:xfrm>
        <a:prstGeom prst="rect">
          <a:avLst/>
        </a:prstGeom>
      </xdr:spPr>
    </xdr:pic>
    <xdr:clientData/>
  </xdr:twoCellAnchor>
  <xdr:twoCellAnchor editAs="oneCell">
    <xdr:from>
      <xdr:col>56</xdr:col>
      <xdr:colOff>0</xdr:colOff>
      <xdr:row>174</xdr:row>
      <xdr:rowOff>0</xdr:rowOff>
    </xdr:from>
    <xdr:to>
      <xdr:col>66</xdr:col>
      <xdr:colOff>366572</xdr:colOff>
      <xdr:row>193</xdr:row>
      <xdr:rowOff>126948</xdr:rowOff>
    </xdr:to>
    <xdr:pic>
      <xdr:nvPicPr>
        <xdr:cNvPr id="7" name="Picture 6">
          <a:extLst>
            <a:ext uri="{FF2B5EF4-FFF2-40B4-BE49-F238E27FC236}">
              <a16:creationId xmlns:a16="http://schemas.microsoft.com/office/drawing/2014/main" id="{BAE24F47-6B5E-4BDD-8D0B-95EA060F4589}"/>
            </a:ext>
          </a:extLst>
        </xdr:cNvPr>
        <xdr:cNvPicPr>
          <a:picLocks noChangeAspect="1"/>
        </xdr:cNvPicPr>
      </xdr:nvPicPr>
      <xdr:blipFill>
        <a:blip xmlns:r="http://schemas.openxmlformats.org/officeDocument/2006/relationships" r:embed="rId3"/>
        <a:stretch>
          <a:fillRect/>
        </a:stretch>
      </xdr:blipFill>
      <xdr:spPr>
        <a:xfrm>
          <a:off x="48318420" y="1036320"/>
          <a:ext cx="6614972" cy="331210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24</xdr:col>
      <xdr:colOff>542608</xdr:colOff>
      <xdr:row>41</xdr:row>
      <xdr:rowOff>158757</xdr:rowOff>
    </xdr:from>
    <xdr:to>
      <xdr:col>36</xdr:col>
      <xdr:colOff>1319</xdr:colOff>
      <xdr:row>55</xdr:row>
      <xdr:rowOff>149153</xdr:rowOff>
    </xdr:to>
    <xdr:pic>
      <xdr:nvPicPr>
        <xdr:cNvPr id="2" name="Picture 1">
          <a:extLst>
            <a:ext uri="{FF2B5EF4-FFF2-40B4-BE49-F238E27FC236}">
              <a16:creationId xmlns:a16="http://schemas.microsoft.com/office/drawing/2014/main" id="{2BF0D738-2127-4BAC-B656-3EECB08A8E1C}"/>
            </a:ext>
          </a:extLst>
        </xdr:cNvPr>
        <xdr:cNvPicPr>
          <a:picLocks noChangeAspect="1"/>
        </xdr:cNvPicPr>
      </xdr:nvPicPr>
      <xdr:blipFill>
        <a:blip xmlns:r="http://schemas.openxmlformats.org/officeDocument/2006/relationships" r:embed="rId1"/>
        <a:stretch>
          <a:fillRect/>
        </a:stretch>
      </xdr:blipFill>
      <xdr:spPr>
        <a:xfrm>
          <a:off x="25612408" y="7740657"/>
          <a:ext cx="8435071" cy="29240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20</xdr:col>
      <xdr:colOff>571959</xdr:colOff>
      <xdr:row>7</xdr:row>
      <xdr:rowOff>99331</xdr:rowOff>
    </xdr:from>
    <xdr:to>
      <xdr:col>33</xdr:col>
      <xdr:colOff>50605</xdr:colOff>
      <xdr:row>56</xdr:row>
      <xdr:rowOff>159492</xdr:rowOff>
    </xdr:to>
    <xdr:grpSp>
      <xdr:nvGrpSpPr>
        <xdr:cNvPr id="2" name="Group 1">
          <a:extLst>
            <a:ext uri="{FF2B5EF4-FFF2-40B4-BE49-F238E27FC236}">
              <a16:creationId xmlns:a16="http://schemas.microsoft.com/office/drawing/2014/main" id="{43F5D1AA-B81A-43BD-AA6B-3262B50D0967}"/>
            </a:ext>
          </a:extLst>
        </xdr:cNvPr>
        <xdr:cNvGrpSpPr/>
      </xdr:nvGrpSpPr>
      <xdr:grpSpPr>
        <a:xfrm>
          <a:off x="33052209" y="2337706"/>
          <a:ext cx="7372490" cy="10680536"/>
          <a:chOff x="26246356" y="3442421"/>
          <a:chExt cx="7401387" cy="10249190"/>
        </a:xfrm>
      </xdr:grpSpPr>
      <xdr:pic>
        <xdr:nvPicPr>
          <xdr:cNvPr id="3" name="Picture 2">
            <a:extLst>
              <a:ext uri="{FF2B5EF4-FFF2-40B4-BE49-F238E27FC236}">
                <a16:creationId xmlns:a16="http://schemas.microsoft.com/office/drawing/2014/main" id="{9C21D6E2-FF8C-4B60-837A-DBA75941981F}"/>
              </a:ext>
            </a:extLst>
          </xdr:cNvPr>
          <xdr:cNvPicPr>
            <a:picLocks noChangeAspect="1"/>
          </xdr:cNvPicPr>
        </xdr:nvPicPr>
        <xdr:blipFill>
          <a:blip xmlns:r="http://schemas.openxmlformats.org/officeDocument/2006/relationships" r:embed="rId1"/>
          <a:stretch>
            <a:fillRect/>
          </a:stretch>
        </xdr:blipFill>
        <xdr:spPr>
          <a:xfrm>
            <a:off x="26246356" y="3442421"/>
            <a:ext cx="7397808" cy="5686811"/>
          </a:xfrm>
          <a:prstGeom prst="rect">
            <a:avLst/>
          </a:prstGeom>
        </xdr:spPr>
      </xdr:pic>
      <xdr:grpSp>
        <xdr:nvGrpSpPr>
          <xdr:cNvPr id="4" name="Group 3">
            <a:extLst>
              <a:ext uri="{FF2B5EF4-FFF2-40B4-BE49-F238E27FC236}">
                <a16:creationId xmlns:a16="http://schemas.microsoft.com/office/drawing/2014/main" id="{B6D6218A-7035-4D59-8774-987091CC3200}"/>
              </a:ext>
            </a:extLst>
          </xdr:cNvPr>
          <xdr:cNvGrpSpPr/>
        </xdr:nvGrpSpPr>
        <xdr:grpSpPr>
          <a:xfrm>
            <a:off x="26259392" y="9062358"/>
            <a:ext cx="7388351" cy="4629253"/>
            <a:chOff x="14001750" y="6357938"/>
            <a:chExt cx="7605419" cy="4571082"/>
          </a:xfrm>
        </xdr:grpSpPr>
        <xdr:pic>
          <xdr:nvPicPr>
            <xdr:cNvPr id="5" name="Picture 4">
              <a:extLst>
                <a:ext uri="{FF2B5EF4-FFF2-40B4-BE49-F238E27FC236}">
                  <a16:creationId xmlns:a16="http://schemas.microsoft.com/office/drawing/2014/main" id="{6732EBD1-5E4B-4F81-B5A1-1195ED635823}"/>
                </a:ext>
              </a:extLst>
            </xdr:cNvPr>
            <xdr:cNvPicPr>
              <a:picLocks noChangeAspect="1"/>
            </xdr:cNvPicPr>
          </xdr:nvPicPr>
          <xdr:blipFill>
            <a:blip xmlns:r="http://schemas.openxmlformats.org/officeDocument/2006/relationships" r:embed="rId2"/>
            <a:stretch>
              <a:fillRect/>
            </a:stretch>
          </xdr:blipFill>
          <xdr:spPr>
            <a:xfrm>
              <a:off x="14001750" y="6357938"/>
              <a:ext cx="7605419" cy="4183743"/>
            </a:xfrm>
            <a:prstGeom prst="rect">
              <a:avLst/>
            </a:prstGeom>
          </xdr:spPr>
        </xdr:pic>
        <xdr:pic>
          <xdr:nvPicPr>
            <xdr:cNvPr id="6" name="Picture 5">
              <a:extLst>
                <a:ext uri="{FF2B5EF4-FFF2-40B4-BE49-F238E27FC236}">
                  <a16:creationId xmlns:a16="http://schemas.microsoft.com/office/drawing/2014/main" id="{4B8113D9-C9F1-48D1-A747-5405DAFAB140}"/>
                </a:ext>
              </a:extLst>
            </xdr:cNvPr>
            <xdr:cNvPicPr>
              <a:picLocks noChangeAspect="1"/>
            </xdr:cNvPicPr>
          </xdr:nvPicPr>
          <xdr:blipFill>
            <a:blip xmlns:r="http://schemas.openxmlformats.org/officeDocument/2006/relationships" r:embed="rId3"/>
            <a:stretch>
              <a:fillRect/>
            </a:stretch>
          </xdr:blipFill>
          <xdr:spPr>
            <a:xfrm>
              <a:off x="14025563" y="10525125"/>
              <a:ext cx="7513971" cy="403895"/>
            </a:xfrm>
            <a:prstGeom prst="rect">
              <a:avLst/>
            </a:prstGeom>
          </xdr:spPr>
        </xdr:pic>
      </xdr:grpSp>
    </xdr:grpSp>
    <xdr:clientData/>
  </xdr:twoCellAnchor>
  <xdr:twoCellAnchor>
    <xdr:from>
      <xdr:col>0</xdr:col>
      <xdr:colOff>2462174</xdr:colOff>
      <xdr:row>105</xdr:row>
      <xdr:rowOff>131662</xdr:rowOff>
    </xdr:from>
    <xdr:to>
      <xdr:col>4</xdr:col>
      <xdr:colOff>1047910</xdr:colOff>
      <xdr:row>174</xdr:row>
      <xdr:rowOff>160544</xdr:rowOff>
    </xdr:to>
    <xdr:grpSp>
      <xdr:nvGrpSpPr>
        <xdr:cNvPr id="7" name="Group 6">
          <a:extLst>
            <a:ext uri="{FF2B5EF4-FFF2-40B4-BE49-F238E27FC236}">
              <a16:creationId xmlns:a16="http://schemas.microsoft.com/office/drawing/2014/main" id="{998E6524-F19B-474A-B064-41A78D284BCF}"/>
            </a:ext>
          </a:extLst>
        </xdr:cNvPr>
        <xdr:cNvGrpSpPr/>
      </xdr:nvGrpSpPr>
      <xdr:grpSpPr>
        <a:xfrm>
          <a:off x="2462174" y="21991537"/>
          <a:ext cx="10063361" cy="12351851"/>
          <a:chOff x="488594" y="15722182"/>
          <a:chExt cx="9859526" cy="12647602"/>
        </a:xfrm>
      </xdr:grpSpPr>
      <xdr:pic>
        <xdr:nvPicPr>
          <xdr:cNvPr id="8" name="Picture 7">
            <a:extLst>
              <a:ext uri="{FF2B5EF4-FFF2-40B4-BE49-F238E27FC236}">
                <a16:creationId xmlns:a16="http://schemas.microsoft.com/office/drawing/2014/main" id="{BCB73DBF-AA6B-4AE0-9989-CBFEDD2C8EF8}"/>
              </a:ext>
            </a:extLst>
          </xdr:cNvPr>
          <xdr:cNvPicPr>
            <a:picLocks noChangeAspect="1"/>
          </xdr:cNvPicPr>
        </xdr:nvPicPr>
        <xdr:blipFill>
          <a:blip xmlns:r="http://schemas.openxmlformats.org/officeDocument/2006/relationships" r:embed="rId4"/>
          <a:stretch>
            <a:fillRect/>
          </a:stretch>
        </xdr:blipFill>
        <xdr:spPr>
          <a:xfrm>
            <a:off x="488594" y="15722182"/>
            <a:ext cx="4513796" cy="2851259"/>
          </a:xfrm>
          <a:prstGeom prst="rect">
            <a:avLst/>
          </a:prstGeom>
        </xdr:spPr>
      </xdr:pic>
      <xdr:pic>
        <xdr:nvPicPr>
          <xdr:cNvPr id="9" name="Picture 8">
            <a:extLst>
              <a:ext uri="{FF2B5EF4-FFF2-40B4-BE49-F238E27FC236}">
                <a16:creationId xmlns:a16="http://schemas.microsoft.com/office/drawing/2014/main" id="{1FE1959F-E5DE-4E4E-BD88-228257EA1CA7}"/>
              </a:ext>
            </a:extLst>
          </xdr:cNvPr>
          <xdr:cNvPicPr>
            <a:picLocks noChangeAspect="1"/>
          </xdr:cNvPicPr>
        </xdr:nvPicPr>
        <xdr:blipFill>
          <a:blip xmlns:r="http://schemas.openxmlformats.org/officeDocument/2006/relationships" r:embed="rId5"/>
          <a:stretch>
            <a:fillRect/>
          </a:stretch>
        </xdr:blipFill>
        <xdr:spPr>
          <a:xfrm>
            <a:off x="563337" y="18494829"/>
            <a:ext cx="9784783" cy="3970671"/>
          </a:xfrm>
          <a:prstGeom prst="rect">
            <a:avLst/>
          </a:prstGeom>
        </xdr:spPr>
      </xdr:pic>
      <xdr:pic>
        <xdr:nvPicPr>
          <xdr:cNvPr id="10" name="Picture 9">
            <a:extLst>
              <a:ext uri="{FF2B5EF4-FFF2-40B4-BE49-F238E27FC236}">
                <a16:creationId xmlns:a16="http://schemas.microsoft.com/office/drawing/2014/main" id="{FB1A62F3-F804-4F44-BC8A-1BB01D2DADD8}"/>
              </a:ext>
            </a:extLst>
          </xdr:cNvPr>
          <xdr:cNvPicPr>
            <a:picLocks noChangeAspect="1"/>
          </xdr:cNvPicPr>
        </xdr:nvPicPr>
        <xdr:blipFill>
          <a:blip xmlns:r="http://schemas.openxmlformats.org/officeDocument/2006/relationships" r:embed="rId6"/>
          <a:stretch>
            <a:fillRect/>
          </a:stretch>
        </xdr:blipFill>
        <xdr:spPr>
          <a:xfrm>
            <a:off x="512866" y="22517695"/>
            <a:ext cx="4803023" cy="3239861"/>
          </a:xfrm>
          <a:prstGeom prst="rect">
            <a:avLst/>
          </a:prstGeom>
        </xdr:spPr>
      </xdr:pic>
      <xdr:pic>
        <xdr:nvPicPr>
          <xdr:cNvPr id="11" name="Picture 10">
            <a:extLst>
              <a:ext uri="{FF2B5EF4-FFF2-40B4-BE49-F238E27FC236}">
                <a16:creationId xmlns:a16="http://schemas.microsoft.com/office/drawing/2014/main" id="{8E896D8D-DBFB-4544-A5D6-618DA74DD196}"/>
              </a:ext>
            </a:extLst>
          </xdr:cNvPr>
          <xdr:cNvPicPr>
            <a:picLocks noChangeAspect="1"/>
          </xdr:cNvPicPr>
        </xdr:nvPicPr>
        <xdr:blipFill>
          <a:blip xmlns:r="http://schemas.openxmlformats.org/officeDocument/2006/relationships" r:embed="rId7"/>
          <a:stretch>
            <a:fillRect/>
          </a:stretch>
        </xdr:blipFill>
        <xdr:spPr>
          <a:xfrm>
            <a:off x="5460262" y="22559810"/>
            <a:ext cx="4744304" cy="1221543"/>
          </a:xfrm>
          <a:prstGeom prst="rect">
            <a:avLst/>
          </a:prstGeom>
        </xdr:spPr>
      </xdr:pic>
      <xdr:pic>
        <xdr:nvPicPr>
          <xdr:cNvPr id="12" name="Picture 11">
            <a:extLst>
              <a:ext uri="{FF2B5EF4-FFF2-40B4-BE49-F238E27FC236}">
                <a16:creationId xmlns:a16="http://schemas.microsoft.com/office/drawing/2014/main" id="{091F3809-71E7-4F6D-A945-E4E90AA85178}"/>
              </a:ext>
            </a:extLst>
          </xdr:cNvPr>
          <xdr:cNvPicPr>
            <a:picLocks noChangeAspect="1"/>
          </xdr:cNvPicPr>
        </xdr:nvPicPr>
        <xdr:blipFill>
          <a:blip xmlns:r="http://schemas.openxmlformats.org/officeDocument/2006/relationships" r:embed="rId8"/>
          <a:stretch>
            <a:fillRect/>
          </a:stretch>
        </xdr:blipFill>
        <xdr:spPr>
          <a:xfrm>
            <a:off x="5368362" y="23844916"/>
            <a:ext cx="4790028" cy="4524868"/>
          </a:xfrm>
          <a:prstGeom prst="rect">
            <a:avLst/>
          </a:prstGeom>
        </xdr:spPr>
      </xdr:pic>
    </xdr:grpSp>
    <xdr:clientData/>
  </xdr:twoCellAnchor>
  <xdr:oneCellAnchor>
    <xdr:from>
      <xdr:col>11</xdr:col>
      <xdr:colOff>985589</xdr:colOff>
      <xdr:row>38</xdr:row>
      <xdr:rowOff>292211</xdr:rowOff>
    </xdr:from>
    <xdr:ext cx="5547608" cy="5910123"/>
    <xdr:pic>
      <xdr:nvPicPr>
        <xdr:cNvPr id="13" name="Picture 12">
          <a:extLst>
            <a:ext uri="{FF2B5EF4-FFF2-40B4-BE49-F238E27FC236}">
              <a16:creationId xmlns:a16="http://schemas.microsoft.com/office/drawing/2014/main" id="{AC2D8609-13FA-4F2E-94D1-D06893CA5EA1}"/>
            </a:ext>
          </a:extLst>
        </xdr:cNvPr>
        <xdr:cNvPicPr>
          <a:picLocks noChangeAspect="1"/>
        </xdr:cNvPicPr>
      </xdr:nvPicPr>
      <xdr:blipFill>
        <a:blip xmlns:r="http://schemas.openxmlformats.org/officeDocument/2006/relationships" r:embed="rId9"/>
        <a:stretch>
          <a:fillRect/>
        </a:stretch>
      </xdr:blipFill>
      <xdr:spPr>
        <a:xfrm>
          <a:off x="7317809" y="7134971"/>
          <a:ext cx="5547608" cy="5910123"/>
        </a:xfrm>
        <a:prstGeom prst="rect">
          <a:avLst/>
        </a:prstGeom>
      </xdr:spPr>
    </xdr:pic>
    <xdr:clientData/>
  </xdr:oneCellAnchor>
  <xdr:oneCellAnchor>
    <xdr:from>
      <xdr:col>1</xdr:col>
      <xdr:colOff>221336</xdr:colOff>
      <xdr:row>16</xdr:row>
      <xdr:rowOff>99082</xdr:rowOff>
    </xdr:from>
    <xdr:ext cx="6419571" cy="4189965"/>
    <xdr:pic>
      <xdr:nvPicPr>
        <xdr:cNvPr id="14" name="Picture 13">
          <a:extLst>
            <a:ext uri="{FF2B5EF4-FFF2-40B4-BE49-F238E27FC236}">
              <a16:creationId xmlns:a16="http://schemas.microsoft.com/office/drawing/2014/main" id="{6805BF65-7A46-4D60-9D6D-D5A235238F6C}"/>
            </a:ext>
          </a:extLst>
        </xdr:cNvPr>
        <xdr:cNvPicPr>
          <a:picLocks noChangeAspect="1"/>
        </xdr:cNvPicPr>
      </xdr:nvPicPr>
      <xdr:blipFill>
        <a:blip xmlns:r="http://schemas.openxmlformats.org/officeDocument/2006/relationships" r:embed="rId10"/>
        <a:stretch>
          <a:fillRect/>
        </a:stretch>
      </xdr:blipFill>
      <xdr:spPr>
        <a:xfrm>
          <a:off x="830936" y="3025162"/>
          <a:ext cx="6419571" cy="4189965"/>
        </a:xfrm>
        <a:prstGeom prst="rect">
          <a:avLst/>
        </a:prstGeom>
      </xdr:spPr>
    </xdr:pic>
    <xdr:clientData/>
  </xdr:oneCellAnchor>
  <xdr:oneCellAnchor>
    <xdr:from>
      <xdr:col>5</xdr:col>
      <xdr:colOff>47436</xdr:colOff>
      <xdr:row>106</xdr:row>
      <xdr:rowOff>12847</xdr:rowOff>
    </xdr:from>
    <xdr:ext cx="9851796" cy="1056421"/>
    <xdr:pic>
      <xdr:nvPicPr>
        <xdr:cNvPr id="15" name="Picture 14">
          <a:extLst>
            <a:ext uri="{FF2B5EF4-FFF2-40B4-BE49-F238E27FC236}">
              <a16:creationId xmlns:a16="http://schemas.microsoft.com/office/drawing/2014/main" id="{ABF62B13-745C-43DA-843A-2CD93351DFDA}"/>
            </a:ext>
          </a:extLst>
        </xdr:cNvPr>
        <xdr:cNvPicPr>
          <a:picLocks noChangeAspect="1"/>
        </xdr:cNvPicPr>
      </xdr:nvPicPr>
      <xdr:blipFill rotWithShape="1">
        <a:blip xmlns:r="http://schemas.openxmlformats.org/officeDocument/2006/relationships" r:embed="rId11"/>
        <a:srcRect r="2323"/>
        <a:stretch/>
      </xdr:blipFill>
      <xdr:spPr>
        <a:xfrm>
          <a:off x="3095436" y="19398127"/>
          <a:ext cx="9851796" cy="1056421"/>
        </a:xfrm>
        <a:prstGeom prst="rect">
          <a:avLst/>
        </a:prstGeom>
      </xdr:spPr>
    </xdr:pic>
    <xdr:clientData/>
  </xdr:oneCellAnchor>
  <xdr:twoCellAnchor>
    <xdr:from>
      <xdr:col>5</xdr:col>
      <xdr:colOff>179252</xdr:colOff>
      <xdr:row>72</xdr:row>
      <xdr:rowOff>117764</xdr:rowOff>
    </xdr:from>
    <xdr:to>
      <xdr:col>9</xdr:col>
      <xdr:colOff>370115</xdr:colOff>
      <xdr:row>105</xdr:row>
      <xdr:rowOff>108857</xdr:rowOff>
    </xdr:to>
    <xdr:grpSp>
      <xdr:nvGrpSpPr>
        <xdr:cNvPr id="16" name="Group 15">
          <a:extLst>
            <a:ext uri="{FF2B5EF4-FFF2-40B4-BE49-F238E27FC236}">
              <a16:creationId xmlns:a16="http://schemas.microsoft.com/office/drawing/2014/main" id="{CE706F51-BD5E-40E9-9FF1-FA6244DC593F}"/>
            </a:ext>
          </a:extLst>
        </xdr:cNvPr>
        <xdr:cNvGrpSpPr/>
      </xdr:nvGrpSpPr>
      <xdr:grpSpPr>
        <a:xfrm>
          <a:off x="13002283" y="16000702"/>
          <a:ext cx="6858363" cy="5968030"/>
          <a:chOff x="11427066" y="10538360"/>
          <a:chExt cx="9012023" cy="7021810"/>
        </a:xfrm>
      </xdr:grpSpPr>
      <xdr:grpSp>
        <xdr:nvGrpSpPr>
          <xdr:cNvPr id="17" name="Group 16">
            <a:extLst>
              <a:ext uri="{FF2B5EF4-FFF2-40B4-BE49-F238E27FC236}">
                <a16:creationId xmlns:a16="http://schemas.microsoft.com/office/drawing/2014/main" id="{A0876207-2829-4B52-9BC5-ACBF6EBAC95A}"/>
              </a:ext>
            </a:extLst>
          </xdr:cNvPr>
          <xdr:cNvGrpSpPr/>
        </xdr:nvGrpSpPr>
        <xdr:grpSpPr>
          <a:xfrm>
            <a:off x="11427066" y="11503958"/>
            <a:ext cx="9012023" cy="6056212"/>
            <a:chOff x="15201900" y="11087100"/>
            <a:chExt cx="8150291" cy="6548455"/>
          </a:xfrm>
        </xdr:grpSpPr>
        <xdr:pic>
          <xdr:nvPicPr>
            <xdr:cNvPr id="19" name="Picture 18">
              <a:extLst>
                <a:ext uri="{FF2B5EF4-FFF2-40B4-BE49-F238E27FC236}">
                  <a16:creationId xmlns:a16="http://schemas.microsoft.com/office/drawing/2014/main" id="{D671BC58-8483-4CE6-93BE-185565DA17CE}"/>
                </a:ext>
              </a:extLst>
            </xdr:cNvPr>
            <xdr:cNvPicPr>
              <a:picLocks noChangeAspect="1"/>
            </xdr:cNvPicPr>
          </xdr:nvPicPr>
          <xdr:blipFill>
            <a:blip xmlns:r="http://schemas.openxmlformats.org/officeDocument/2006/relationships" r:embed="rId12"/>
            <a:stretch>
              <a:fillRect/>
            </a:stretch>
          </xdr:blipFill>
          <xdr:spPr>
            <a:xfrm>
              <a:off x="15259050" y="15201900"/>
              <a:ext cx="8093141" cy="1828958"/>
            </a:xfrm>
            <a:prstGeom prst="rect">
              <a:avLst/>
            </a:prstGeom>
          </xdr:spPr>
        </xdr:pic>
        <xdr:pic>
          <xdr:nvPicPr>
            <xdr:cNvPr id="20" name="Picture 19">
              <a:extLst>
                <a:ext uri="{FF2B5EF4-FFF2-40B4-BE49-F238E27FC236}">
                  <a16:creationId xmlns:a16="http://schemas.microsoft.com/office/drawing/2014/main" id="{9B3BC3D2-EFD2-4708-95EF-DB67545FE388}"/>
                </a:ext>
              </a:extLst>
            </xdr:cNvPr>
            <xdr:cNvPicPr>
              <a:picLocks noChangeAspect="1"/>
            </xdr:cNvPicPr>
          </xdr:nvPicPr>
          <xdr:blipFill>
            <a:blip xmlns:r="http://schemas.openxmlformats.org/officeDocument/2006/relationships" r:embed="rId13"/>
            <a:stretch>
              <a:fillRect/>
            </a:stretch>
          </xdr:blipFill>
          <xdr:spPr>
            <a:xfrm>
              <a:off x="15201900" y="17017094"/>
              <a:ext cx="8058150" cy="618461"/>
            </a:xfrm>
            <a:prstGeom prst="rect">
              <a:avLst/>
            </a:prstGeom>
          </xdr:spPr>
        </xdr:pic>
        <xdr:pic>
          <xdr:nvPicPr>
            <xdr:cNvPr id="21" name="Picture 20">
              <a:extLst>
                <a:ext uri="{FF2B5EF4-FFF2-40B4-BE49-F238E27FC236}">
                  <a16:creationId xmlns:a16="http://schemas.microsoft.com/office/drawing/2014/main" id="{6D6D5E39-A76F-4E12-8863-C1DC0EC186A7}"/>
                </a:ext>
              </a:extLst>
            </xdr:cNvPr>
            <xdr:cNvPicPr>
              <a:picLocks noChangeAspect="1"/>
            </xdr:cNvPicPr>
          </xdr:nvPicPr>
          <xdr:blipFill>
            <a:blip xmlns:r="http://schemas.openxmlformats.org/officeDocument/2006/relationships" r:embed="rId14"/>
            <a:stretch>
              <a:fillRect/>
            </a:stretch>
          </xdr:blipFill>
          <xdr:spPr>
            <a:xfrm>
              <a:off x="15259050" y="11087100"/>
              <a:ext cx="7668849" cy="4030413"/>
            </a:xfrm>
            <a:prstGeom prst="rect">
              <a:avLst/>
            </a:prstGeom>
          </xdr:spPr>
        </xdr:pic>
      </xdr:grpSp>
      <xdr:pic>
        <xdr:nvPicPr>
          <xdr:cNvPr id="18" name="Picture 17">
            <a:extLst>
              <a:ext uri="{FF2B5EF4-FFF2-40B4-BE49-F238E27FC236}">
                <a16:creationId xmlns:a16="http://schemas.microsoft.com/office/drawing/2014/main" id="{A9E99BA5-58DB-4808-83C3-15CE6489C684}"/>
              </a:ext>
            </a:extLst>
          </xdr:cNvPr>
          <xdr:cNvPicPr>
            <a:picLocks noChangeAspect="1"/>
          </xdr:cNvPicPr>
        </xdr:nvPicPr>
        <xdr:blipFill>
          <a:blip xmlns:r="http://schemas.openxmlformats.org/officeDocument/2006/relationships" r:embed="rId15"/>
          <a:stretch>
            <a:fillRect/>
          </a:stretch>
        </xdr:blipFill>
        <xdr:spPr>
          <a:xfrm>
            <a:off x="11512138" y="10538360"/>
            <a:ext cx="7882581" cy="1137805"/>
          </a:xfrm>
          <a:prstGeom prst="rect">
            <a:avLst/>
          </a:prstGeom>
        </xdr:spPr>
      </xdr:pic>
    </xdr:grpSp>
    <xdr:clientData/>
  </xdr:twoCellAnchor>
  <xdr:twoCellAnchor>
    <xdr:from>
      <xdr:col>3</xdr:col>
      <xdr:colOff>87522</xdr:colOff>
      <xdr:row>14</xdr:row>
      <xdr:rowOff>142300</xdr:rowOff>
    </xdr:from>
    <xdr:to>
      <xdr:col>7</xdr:col>
      <xdr:colOff>1758868</xdr:colOff>
      <xdr:row>43</xdr:row>
      <xdr:rowOff>146456</xdr:rowOff>
    </xdr:to>
    <xdr:grpSp>
      <xdr:nvGrpSpPr>
        <xdr:cNvPr id="22" name="Group 21">
          <a:extLst>
            <a:ext uri="{FF2B5EF4-FFF2-40B4-BE49-F238E27FC236}">
              <a16:creationId xmlns:a16="http://schemas.microsoft.com/office/drawing/2014/main" id="{EE90FEF1-3CD1-4025-A9F7-AA14EF8818F7}"/>
            </a:ext>
          </a:extLst>
        </xdr:cNvPr>
        <xdr:cNvGrpSpPr/>
      </xdr:nvGrpSpPr>
      <xdr:grpSpPr>
        <a:xfrm>
          <a:off x="10767428" y="3928488"/>
          <a:ext cx="7291096" cy="6754999"/>
          <a:chOff x="6461751" y="2959197"/>
          <a:chExt cx="6637050" cy="5652211"/>
        </a:xfrm>
      </xdr:grpSpPr>
      <xdr:pic>
        <xdr:nvPicPr>
          <xdr:cNvPr id="23" name="Picture 22">
            <a:extLst>
              <a:ext uri="{FF2B5EF4-FFF2-40B4-BE49-F238E27FC236}">
                <a16:creationId xmlns:a16="http://schemas.microsoft.com/office/drawing/2014/main" id="{7A400BC6-A263-4D0E-9FA6-48B100704C5B}"/>
              </a:ext>
            </a:extLst>
          </xdr:cNvPr>
          <xdr:cNvPicPr>
            <a:picLocks noChangeAspect="1"/>
          </xdr:cNvPicPr>
        </xdr:nvPicPr>
        <xdr:blipFill>
          <a:blip xmlns:r="http://schemas.openxmlformats.org/officeDocument/2006/relationships" r:embed="rId16"/>
          <a:stretch>
            <a:fillRect/>
          </a:stretch>
        </xdr:blipFill>
        <xdr:spPr>
          <a:xfrm>
            <a:off x="6461751" y="2959197"/>
            <a:ext cx="4895728" cy="2671485"/>
          </a:xfrm>
          <a:prstGeom prst="rect">
            <a:avLst/>
          </a:prstGeom>
        </xdr:spPr>
      </xdr:pic>
      <xdr:pic>
        <xdr:nvPicPr>
          <xdr:cNvPr id="24" name="Picture 23">
            <a:extLst>
              <a:ext uri="{FF2B5EF4-FFF2-40B4-BE49-F238E27FC236}">
                <a16:creationId xmlns:a16="http://schemas.microsoft.com/office/drawing/2014/main" id="{63B55299-03CA-4CD5-BCA0-FE443AFF1CC3}"/>
              </a:ext>
            </a:extLst>
          </xdr:cNvPr>
          <xdr:cNvPicPr>
            <a:picLocks noChangeAspect="1"/>
          </xdr:cNvPicPr>
        </xdr:nvPicPr>
        <xdr:blipFill>
          <a:blip xmlns:r="http://schemas.openxmlformats.org/officeDocument/2006/relationships" r:embed="rId17"/>
          <a:stretch>
            <a:fillRect/>
          </a:stretch>
        </xdr:blipFill>
        <xdr:spPr>
          <a:xfrm>
            <a:off x="6588578" y="5657851"/>
            <a:ext cx="6510223" cy="2953557"/>
          </a:xfrm>
          <a:prstGeom prst="rect">
            <a:avLst/>
          </a:prstGeom>
        </xdr:spPr>
      </xdr:pic>
    </xdr:grpSp>
    <xdr:clientData/>
  </xdr:twoCellAnchor>
  <xdr:oneCellAnchor>
    <xdr:from>
      <xdr:col>0</xdr:col>
      <xdr:colOff>2532612</xdr:colOff>
      <xdr:row>38</xdr:row>
      <xdr:rowOff>280208</xdr:rowOff>
    </xdr:from>
    <xdr:ext cx="6814747" cy="5031536"/>
    <xdr:pic>
      <xdr:nvPicPr>
        <xdr:cNvPr id="25" name="Picture 24">
          <a:extLst>
            <a:ext uri="{FF2B5EF4-FFF2-40B4-BE49-F238E27FC236}">
              <a16:creationId xmlns:a16="http://schemas.microsoft.com/office/drawing/2014/main" id="{E111A28A-DC21-4499-A28A-8D6ED3D6F110}"/>
            </a:ext>
          </a:extLst>
        </xdr:cNvPr>
        <xdr:cNvPicPr>
          <a:picLocks noChangeAspect="1"/>
        </xdr:cNvPicPr>
      </xdr:nvPicPr>
      <xdr:blipFill>
        <a:blip xmlns:r="http://schemas.openxmlformats.org/officeDocument/2006/relationships" r:embed="rId18"/>
        <a:stretch>
          <a:fillRect/>
        </a:stretch>
      </xdr:blipFill>
      <xdr:spPr>
        <a:xfrm>
          <a:off x="612372" y="7130588"/>
          <a:ext cx="6814747" cy="5031536"/>
        </a:xfrm>
        <a:prstGeom prst="rect">
          <a:avLst/>
        </a:prstGeom>
      </xdr:spPr>
    </xdr:pic>
    <xdr:clientData/>
  </xdr:oneCellAnchor>
  <xdr:oneCellAnchor>
    <xdr:from>
      <xdr:col>0</xdr:col>
      <xdr:colOff>1981200</xdr:colOff>
      <xdr:row>69</xdr:row>
      <xdr:rowOff>133004</xdr:rowOff>
    </xdr:from>
    <xdr:ext cx="8704828" cy="3975648"/>
    <xdr:pic>
      <xdr:nvPicPr>
        <xdr:cNvPr id="26" name="Picture 25">
          <a:extLst>
            <a:ext uri="{FF2B5EF4-FFF2-40B4-BE49-F238E27FC236}">
              <a16:creationId xmlns:a16="http://schemas.microsoft.com/office/drawing/2014/main" id="{14C6C56B-652A-4A70-9EF3-95362A6726E9}"/>
            </a:ext>
          </a:extLst>
        </xdr:cNvPr>
        <xdr:cNvPicPr>
          <a:picLocks noChangeAspect="1"/>
        </xdr:cNvPicPr>
      </xdr:nvPicPr>
      <xdr:blipFill>
        <a:blip xmlns:r="http://schemas.openxmlformats.org/officeDocument/2006/relationships" r:embed="rId19"/>
        <a:stretch>
          <a:fillRect/>
        </a:stretch>
      </xdr:blipFill>
      <xdr:spPr>
        <a:xfrm>
          <a:off x="609600" y="12751724"/>
          <a:ext cx="8704828" cy="3975648"/>
        </a:xfrm>
        <a:prstGeom prst="rect">
          <a:avLst/>
        </a:prstGeom>
      </xdr:spPr>
    </xdr:pic>
    <xdr:clientData/>
  </xdr:oneCellAnchor>
  <xdr:oneCellAnchor>
    <xdr:from>
      <xdr:col>12</xdr:col>
      <xdr:colOff>247651</xdr:colOff>
      <xdr:row>76</xdr:row>
      <xdr:rowOff>114300</xdr:rowOff>
    </xdr:from>
    <xdr:ext cx="10122694" cy="5108906"/>
    <xdr:pic>
      <xdr:nvPicPr>
        <xdr:cNvPr id="27" name="Picture 26">
          <a:extLst>
            <a:ext uri="{FF2B5EF4-FFF2-40B4-BE49-F238E27FC236}">
              <a16:creationId xmlns:a16="http://schemas.microsoft.com/office/drawing/2014/main" id="{58B3F432-7089-45AA-8AA9-4D3144FC494D}"/>
            </a:ext>
          </a:extLst>
        </xdr:cNvPr>
        <xdr:cNvPicPr>
          <a:picLocks noChangeAspect="1"/>
        </xdr:cNvPicPr>
      </xdr:nvPicPr>
      <xdr:blipFill>
        <a:blip xmlns:r="http://schemas.openxmlformats.org/officeDocument/2006/relationships" r:embed="rId20"/>
        <a:stretch>
          <a:fillRect/>
        </a:stretch>
      </xdr:blipFill>
      <xdr:spPr>
        <a:xfrm>
          <a:off x="7562851" y="14013180"/>
          <a:ext cx="10122694" cy="5108906"/>
        </a:xfrm>
        <a:prstGeom prst="rect">
          <a:avLst/>
        </a:prstGeom>
      </xdr:spPr>
    </xdr:pic>
    <xdr:clientData/>
  </xdr:oneCellAnchor>
  <xdr:oneCellAnchor>
    <xdr:from>
      <xdr:col>7</xdr:col>
      <xdr:colOff>1832612</xdr:colOff>
      <xdr:row>28</xdr:row>
      <xdr:rowOff>128450</xdr:rowOff>
    </xdr:from>
    <xdr:ext cx="10094118" cy="2089369"/>
    <xdr:pic>
      <xdr:nvPicPr>
        <xdr:cNvPr id="28" name="Picture 27">
          <a:extLst>
            <a:ext uri="{FF2B5EF4-FFF2-40B4-BE49-F238E27FC236}">
              <a16:creationId xmlns:a16="http://schemas.microsoft.com/office/drawing/2014/main" id="{59E1B853-D62F-47BE-861B-967DB779046A}"/>
            </a:ext>
          </a:extLst>
        </xdr:cNvPr>
        <xdr:cNvPicPr>
          <a:picLocks noChangeAspect="1"/>
        </xdr:cNvPicPr>
      </xdr:nvPicPr>
      <xdr:blipFill>
        <a:blip xmlns:r="http://schemas.openxmlformats.org/officeDocument/2006/relationships" r:embed="rId21"/>
        <a:stretch>
          <a:fillRect/>
        </a:stretch>
      </xdr:blipFill>
      <xdr:spPr>
        <a:xfrm>
          <a:off x="4872992" y="5249090"/>
          <a:ext cx="10094118" cy="2089369"/>
        </a:xfrm>
        <a:prstGeom prst="rect">
          <a:avLst/>
        </a:prstGeom>
      </xdr:spPr>
    </xdr:pic>
    <xdr:clientData/>
  </xdr:oneCellAnchor>
  <xdr:oneCellAnchor>
    <xdr:from>
      <xdr:col>10</xdr:col>
      <xdr:colOff>796290</xdr:colOff>
      <xdr:row>15</xdr:row>
      <xdr:rowOff>202473</xdr:rowOff>
    </xdr:from>
    <xdr:ext cx="6764654" cy="2943913"/>
    <xdr:pic>
      <xdr:nvPicPr>
        <xdr:cNvPr id="29" name="Picture 28">
          <a:extLst>
            <a:ext uri="{FF2B5EF4-FFF2-40B4-BE49-F238E27FC236}">
              <a16:creationId xmlns:a16="http://schemas.microsoft.com/office/drawing/2014/main" id="{6183DBB4-7060-4F1D-9235-CCEDEF9A6C8E}"/>
            </a:ext>
          </a:extLst>
        </xdr:cNvPr>
        <xdr:cNvPicPr>
          <a:picLocks noChangeAspect="1"/>
        </xdr:cNvPicPr>
      </xdr:nvPicPr>
      <xdr:blipFill>
        <a:blip xmlns:r="http://schemas.openxmlformats.org/officeDocument/2006/relationships" r:embed="rId22"/>
        <a:stretch>
          <a:fillRect/>
        </a:stretch>
      </xdr:blipFill>
      <xdr:spPr>
        <a:xfrm>
          <a:off x="6701790" y="2922813"/>
          <a:ext cx="6764654" cy="2943913"/>
        </a:xfrm>
        <a:prstGeom prst="rect">
          <a:avLst/>
        </a:prstGeom>
      </xdr:spPr>
    </xdr:pic>
    <xdr:clientData/>
  </xdr:oneCellAnchor>
  <xdr:oneCellAnchor>
    <xdr:from>
      <xdr:col>12</xdr:col>
      <xdr:colOff>2870210</xdr:colOff>
      <xdr:row>15</xdr:row>
      <xdr:rowOff>115803</xdr:rowOff>
    </xdr:from>
    <xdr:ext cx="5867907" cy="3003822"/>
    <xdr:pic>
      <xdr:nvPicPr>
        <xdr:cNvPr id="30" name="Picture 29">
          <a:extLst>
            <a:ext uri="{FF2B5EF4-FFF2-40B4-BE49-F238E27FC236}">
              <a16:creationId xmlns:a16="http://schemas.microsoft.com/office/drawing/2014/main" id="{865EF202-E4C9-4C7E-AF3B-17090500321E}"/>
            </a:ext>
          </a:extLst>
        </xdr:cNvPr>
        <xdr:cNvPicPr>
          <a:picLocks noChangeAspect="1"/>
        </xdr:cNvPicPr>
      </xdr:nvPicPr>
      <xdr:blipFill>
        <a:blip xmlns:r="http://schemas.openxmlformats.org/officeDocument/2006/relationships" r:embed="rId23"/>
        <a:stretch>
          <a:fillRect/>
        </a:stretch>
      </xdr:blipFill>
      <xdr:spPr>
        <a:xfrm>
          <a:off x="7922270" y="2859003"/>
          <a:ext cx="5867907" cy="3003822"/>
        </a:xfrm>
        <a:prstGeom prst="rect">
          <a:avLst/>
        </a:prstGeom>
      </xdr:spPr>
    </xdr:pic>
    <xdr:clientData/>
  </xdr:oneCellAnchor>
  <xdr:oneCellAnchor>
    <xdr:from>
      <xdr:col>0</xdr:col>
      <xdr:colOff>31103</xdr:colOff>
      <xdr:row>6</xdr:row>
      <xdr:rowOff>157200</xdr:rowOff>
    </xdr:from>
    <xdr:ext cx="2678900" cy="563017"/>
    <xdr:pic>
      <xdr:nvPicPr>
        <xdr:cNvPr id="31" name="Picture 30">
          <a:extLst>
            <a:ext uri="{FF2B5EF4-FFF2-40B4-BE49-F238E27FC236}">
              <a16:creationId xmlns:a16="http://schemas.microsoft.com/office/drawing/2014/main" id="{8D0BDD90-117A-489C-A881-3859112DDFFE}"/>
            </a:ext>
          </a:extLst>
        </xdr:cNvPr>
        <xdr:cNvPicPr>
          <a:picLocks noChangeAspect="1"/>
        </xdr:cNvPicPr>
      </xdr:nvPicPr>
      <xdr:blipFill>
        <a:blip xmlns:r="http://schemas.openxmlformats.org/officeDocument/2006/relationships" r:embed="rId24"/>
        <a:stretch>
          <a:fillRect/>
        </a:stretch>
      </xdr:blipFill>
      <xdr:spPr>
        <a:xfrm>
          <a:off x="31103" y="1254480"/>
          <a:ext cx="2678900" cy="563017"/>
        </a:xfrm>
        <a:prstGeom prst="rect">
          <a:avLst/>
        </a:prstGeom>
      </xdr:spPr>
    </xdr:pic>
    <xdr:clientData/>
  </xdr:oneCellAnchor>
  <xdr:oneCellAnchor>
    <xdr:from>
      <xdr:col>3</xdr:col>
      <xdr:colOff>471352</xdr:colOff>
      <xdr:row>43</xdr:row>
      <xdr:rowOff>123553</xdr:rowOff>
    </xdr:from>
    <xdr:ext cx="6996871" cy="3976961"/>
    <xdr:pic>
      <xdr:nvPicPr>
        <xdr:cNvPr id="32" name="Picture 31">
          <a:extLst>
            <a:ext uri="{FF2B5EF4-FFF2-40B4-BE49-F238E27FC236}">
              <a16:creationId xmlns:a16="http://schemas.microsoft.com/office/drawing/2014/main" id="{73E54527-D97E-4FEF-85B9-D1F0178630ED}"/>
            </a:ext>
          </a:extLst>
        </xdr:cNvPr>
        <xdr:cNvPicPr>
          <a:picLocks noChangeAspect="1"/>
        </xdr:cNvPicPr>
      </xdr:nvPicPr>
      <xdr:blipFill>
        <a:blip xmlns:r="http://schemas.openxmlformats.org/officeDocument/2006/relationships" r:embed="rId25"/>
        <a:stretch>
          <a:fillRect/>
        </a:stretch>
      </xdr:blipFill>
      <xdr:spPr>
        <a:xfrm>
          <a:off x="2300152" y="7987393"/>
          <a:ext cx="6996871" cy="3976961"/>
        </a:xfrm>
        <a:prstGeom prst="rect">
          <a:avLst/>
        </a:prstGeom>
      </xdr:spPr>
    </xdr:pic>
    <xdr:clientData/>
  </xdr:oneCellAnchor>
  <xdr:twoCellAnchor>
    <xdr:from>
      <xdr:col>5</xdr:col>
      <xdr:colOff>144309</xdr:colOff>
      <xdr:row>66</xdr:row>
      <xdr:rowOff>260909</xdr:rowOff>
    </xdr:from>
    <xdr:to>
      <xdr:col>9</xdr:col>
      <xdr:colOff>762001</xdr:colOff>
      <xdr:row>72</xdr:row>
      <xdr:rowOff>110837</xdr:rowOff>
    </xdr:to>
    <xdr:grpSp>
      <xdr:nvGrpSpPr>
        <xdr:cNvPr id="33" name="Group 32">
          <a:extLst>
            <a:ext uri="{FF2B5EF4-FFF2-40B4-BE49-F238E27FC236}">
              <a16:creationId xmlns:a16="http://schemas.microsoft.com/office/drawing/2014/main" id="{D461C513-93E3-4054-9E5C-35411FA4BCD6}"/>
            </a:ext>
          </a:extLst>
        </xdr:cNvPr>
        <xdr:cNvGrpSpPr/>
      </xdr:nvGrpSpPr>
      <xdr:grpSpPr>
        <a:xfrm>
          <a:off x="12967340" y="14905597"/>
          <a:ext cx="7285192" cy="1088178"/>
          <a:chOff x="18150327" y="11235338"/>
          <a:chExt cx="8157309" cy="1324216"/>
        </a:xfrm>
      </xdr:grpSpPr>
      <xdr:pic>
        <xdr:nvPicPr>
          <xdr:cNvPr id="34" name="Picture 33">
            <a:extLst>
              <a:ext uri="{FF2B5EF4-FFF2-40B4-BE49-F238E27FC236}">
                <a16:creationId xmlns:a16="http://schemas.microsoft.com/office/drawing/2014/main" id="{7698FE76-59E9-4875-A16B-0C04F9F761F7}"/>
              </a:ext>
            </a:extLst>
          </xdr:cNvPr>
          <xdr:cNvPicPr>
            <a:picLocks noChangeAspect="1"/>
          </xdr:cNvPicPr>
        </xdr:nvPicPr>
        <xdr:blipFill>
          <a:blip xmlns:r="http://schemas.openxmlformats.org/officeDocument/2006/relationships" r:embed="rId26"/>
          <a:stretch>
            <a:fillRect/>
          </a:stretch>
        </xdr:blipFill>
        <xdr:spPr>
          <a:xfrm>
            <a:off x="18153529" y="11235338"/>
            <a:ext cx="8154107" cy="634372"/>
          </a:xfrm>
          <a:prstGeom prst="rect">
            <a:avLst/>
          </a:prstGeom>
        </xdr:spPr>
      </xdr:pic>
      <xdr:pic>
        <xdr:nvPicPr>
          <xdr:cNvPr id="35" name="Picture 34">
            <a:extLst>
              <a:ext uri="{FF2B5EF4-FFF2-40B4-BE49-F238E27FC236}">
                <a16:creationId xmlns:a16="http://schemas.microsoft.com/office/drawing/2014/main" id="{B1714DA6-D178-4037-933C-44618EAA22A1}"/>
              </a:ext>
            </a:extLst>
          </xdr:cNvPr>
          <xdr:cNvPicPr>
            <a:picLocks noChangeAspect="1"/>
          </xdr:cNvPicPr>
        </xdr:nvPicPr>
        <xdr:blipFill>
          <a:blip xmlns:r="http://schemas.openxmlformats.org/officeDocument/2006/relationships" r:embed="rId27"/>
          <a:stretch>
            <a:fillRect/>
          </a:stretch>
        </xdr:blipFill>
        <xdr:spPr>
          <a:xfrm>
            <a:off x="18150327" y="11832131"/>
            <a:ext cx="7869720" cy="727423"/>
          </a:xfrm>
          <a:prstGeom prst="rect">
            <a:avLst/>
          </a:prstGeom>
        </xdr:spPr>
      </xdr:pic>
    </xdr:grpSp>
    <xdr:clientData/>
  </xdr:twoCellAnchor>
  <xdr:twoCellAnchor>
    <xdr:from>
      <xdr:col>0</xdr:col>
      <xdr:colOff>2590800</xdr:colOff>
      <xdr:row>183</xdr:row>
      <xdr:rowOff>83128</xdr:rowOff>
    </xdr:from>
    <xdr:to>
      <xdr:col>5</xdr:col>
      <xdr:colOff>502500</xdr:colOff>
      <xdr:row>206</xdr:row>
      <xdr:rowOff>51521</xdr:rowOff>
    </xdr:to>
    <xdr:grpSp>
      <xdr:nvGrpSpPr>
        <xdr:cNvPr id="36" name="Group 35">
          <a:extLst>
            <a:ext uri="{FF2B5EF4-FFF2-40B4-BE49-F238E27FC236}">
              <a16:creationId xmlns:a16="http://schemas.microsoft.com/office/drawing/2014/main" id="{CD63BFE7-22CD-4D54-904B-19BE99AE23CE}"/>
            </a:ext>
          </a:extLst>
        </xdr:cNvPr>
        <xdr:cNvGrpSpPr/>
      </xdr:nvGrpSpPr>
      <xdr:grpSpPr>
        <a:xfrm>
          <a:off x="2590800" y="35920941"/>
          <a:ext cx="10734731" cy="4076049"/>
          <a:chOff x="400057" y="9280222"/>
          <a:chExt cx="8156486" cy="4348211"/>
        </a:xfrm>
      </xdr:grpSpPr>
      <xdr:pic>
        <xdr:nvPicPr>
          <xdr:cNvPr id="37" name="Picture 36">
            <a:extLst>
              <a:ext uri="{FF2B5EF4-FFF2-40B4-BE49-F238E27FC236}">
                <a16:creationId xmlns:a16="http://schemas.microsoft.com/office/drawing/2014/main" id="{5E9F205D-668E-4C89-832B-20943A71042D}"/>
              </a:ext>
            </a:extLst>
          </xdr:cNvPr>
          <xdr:cNvPicPr>
            <a:picLocks noChangeAspect="1"/>
          </xdr:cNvPicPr>
        </xdr:nvPicPr>
        <xdr:blipFill>
          <a:blip xmlns:r="http://schemas.openxmlformats.org/officeDocument/2006/relationships" r:embed="rId28"/>
          <a:stretch>
            <a:fillRect/>
          </a:stretch>
        </xdr:blipFill>
        <xdr:spPr>
          <a:xfrm>
            <a:off x="446314" y="10681113"/>
            <a:ext cx="8087175" cy="2947320"/>
          </a:xfrm>
          <a:prstGeom prst="rect">
            <a:avLst/>
          </a:prstGeom>
        </xdr:spPr>
      </xdr:pic>
      <xdr:pic>
        <xdr:nvPicPr>
          <xdr:cNvPr id="38" name="Picture 37">
            <a:extLst>
              <a:ext uri="{FF2B5EF4-FFF2-40B4-BE49-F238E27FC236}">
                <a16:creationId xmlns:a16="http://schemas.microsoft.com/office/drawing/2014/main" id="{81F8D470-0482-47C9-8D27-305CC3A4E5C3}"/>
              </a:ext>
            </a:extLst>
          </xdr:cNvPr>
          <xdr:cNvPicPr>
            <a:picLocks noChangeAspect="1"/>
          </xdr:cNvPicPr>
        </xdr:nvPicPr>
        <xdr:blipFill>
          <a:blip xmlns:r="http://schemas.openxmlformats.org/officeDocument/2006/relationships" r:embed="rId29"/>
          <a:stretch>
            <a:fillRect/>
          </a:stretch>
        </xdr:blipFill>
        <xdr:spPr>
          <a:xfrm>
            <a:off x="400057" y="9280222"/>
            <a:ext cx="8156486" cy="1550295"/>
          </a:xfrm>
          <a:prstGeom prst="rect">
            <a:avLst/>
          </a:prstGeom>
        </xdr:spPr>
      </xdr:pic>
    </xdr:grpSp>
    <xdr:clientData/>
  </xdr:twoCellAnchor>
  <xdr:oneCellAnchor>
    <xdr:from>
      <xdr:col>2</xdr:col>
      <xdr:colOff>1210236</xdr:colOff>
      <xdr:row>27</xdr:row>
      <xdr:rowOff>295725</xdr:rowOff>
    </xdr:from>
    <xdr:ext cx="5747581" cy="313061"/>
    <xdr:pic>
      <xdr:nvPicPr>
        <xdr:cNvPr id="39" name="Picture 38">
          <a:extLst>
            <a:ext uri="{FF2B5EF4-FFF2-40B4-BE49-F238E27FC236}">
              <a16:creationId xmlns:a16="http://schemas.microsoft.com/office/drawing/2014/main" id="{14EDBA40-E9BF-460B-BE7A-F2843CF79958}"/>
            </a:ext>
          </a:extLst>
        </xdr:cNvPr>
        <xdr:cNvPicPr>
          <a:picLocks noChangeAspect="1"/>
        </xdr:cNvPicPr>
      </xdr:nvPicPr>
      <xdr:blipFill>
        <a:blip xmlns:r="http://schemas.openxmlformats.org/officeDocument/2006/relationships" r:embed="rId30"/>
        <a:stretch>
          <a:fillRect/>
        </a:stretch>
      </xdr:blipFill>
      <xdr:spPr>
        <a:xfrm>
          <a:off x="1827456" y="5119185"/>
          <a:ext cx="5747581" cy="313061"/>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7</xdr:col>
      <xdr:colOff>237372</xdr:colOff>
      <xdr:row>4</xdr:row>
      <xdr:rowOff>95578</xdr:rowOff>
    </xdr:from>
    <xdr:ext cx="4663844" cy="2278745"/>
    <xdr:pic>
      <xdr:nvPicPr>
        <xdr:cNvPr id="2" name="Picture 1">
          <a:extLst>
            <a:ext uri="{FF2B5EF4-FFF2-40B4-BE49-F238E27FC236}">
              <a16:creationId xmlns:a16="http://schemas.microsoft.com/office/drawing/2014/main" id="{BD167E34-EC26-4EEA-ABDF-A674A42BAFB4}"/>
            </a:ext>
          </a:extLst>
        </xdr:cNvPr>
        <xdr:cNvPicPr>
          <a:picLocks noChangeAspect="1"/>
        </xdr:cNvPicPr>
      </xdr:nvPicPr>
      <xdr:blipFill>
        <a:blip xmlns:r="http://schemas.openxmlformats.org/officeDocument/2006/relationships" r:embed="rId1"/>
        <a:stretch>
          <a:fillRect/>
        </a:stretch>
      </xdr:blipFill>
      <xdr:spPr>
        <a:xfrm>
          <a:off x="4504572" y="827098"/>
          <a:ext cx="4663844" cy="2278745"/>
        </a:xfrm>
        <a:prstGeom prst="rect">
          <a:avLst/>
        </a:prstGeom>
      </xdr:spPr>
    </xdr:pic>
    <xdr:clientData/>
  </xdr:oneCellAnchor>
  <xdr:oneCellAnchor>
    <xdr:from>
      <xdr:col>6</xdr:col>
      <xdr:colOff>418908</xdr:colOff>
      <xdr:row>18</xdr:row>
      <xdr:rowOff>259849</xdr:rowOff>
    </xdr:from>
    <xdr:ext cx="6241479" cy="3236760"/>
    <xdr:pic>
      <xdr:nvPicPr>
        <xdr:cNvPr id="3" name="Picture 2">
          <a:extLst>
            <a:ext uri="{FF2B5EF4-FFF2-40B4-BE49-F238E27FC236}">
              <a16:creationId xmlns:a16="http://schemas.microsoft.com/office/drawing/2014/main" id="{74760D6C-70B9-49E2-B81F-C506F5C22E3E}"/>
            </a:ext>
          </a:extLst>
        </xdr:cNvPr>
        <xdr:cNvPicPr>
          <a:picLocks noChangeAspect="1"/>
        </xdr:cNvPicPr>
      </xdr:nvPicPr>
      <xdr:blipFill>
        <a:blip xmlns:r="http://schemas.openxmlformats.org/officeDocument/2006/relationships" r:embed="rId2"/>
        <a:stretch>
          <a:fillRect/>
        </a:stretch>
      </xdr:blipFill>
      <xdr:spPr>
        <a:xfrm>
          <a:off x="4076508" y="3475489"/>
          <a:ext cx="6241479" cy="3236760"/>
        </a:xfrm>
        <a:prstGeom prst="rect">
          <a:avLst/>
        </a:prstGeom>
      </xdr:spPr>
    </xdr:pic>
    <xdr:clientData/>
  </xdr:oneCellAnchor>
  <xdr:oneCellAnchor>
    <xdr:from>
      <xdr:col>0</xdr:col>
      <xdr:colOff>0</xdr:colOff>
      <xdr:row>25</xdr:row>
      <xdr:rowOff>346758</xdr:rowOff>
    </xdr:from>
    <xdr:ext cx="4763374" cy="2998160"/>
    <xdr:pic>
      <xdr:nvPicPr>
        <xdr:cNvPr id="4" name="Picture 3">
          <a:extLst>
            <a:ext uri="{FF2B5EF4-FFF2-40B4-BE49-F238E27FC236}">
              <a16:creationId xmlns:a16="http://schemas.microsoft.com/office/drawing/2014/main" id="{EC9F5EE8-504D-4B78-96A6-2B38B8EB6350}"/>
            </a:ext>
          </a:extLst>
        </xdr:cNvPr>
        <xdr:cNvPicPr>
          <a:picLocks noChangeAspect="1"/>
        </xdr:cNvPicPr>
      </xdr:nvPicPr>
      <xdr:blipFill>
        <a:blip xmlns:r="http://schemas.openxmlformats.org/officeDocument/2006/relationships" r:embed="rId3"/>
        <a:stretch>
          <a:fillRect/>
        </a:stretch>
      </xdr:blipFill>
      <xdr:spPr>
        <a:xfrm>
          <a:off x="0" y="4751118"/>
          <a:ext cx="4763374" cy="2998160"/>
        </a:xfrm>
        <a:prstGeom prst="rect">
          <a:avLst/>
        </a:prstGeom>
      </xdr:spPr>
    </xdr:pic>
    <xdr:clientData/>
  </xdr:oneCellAnchor>
  <xdr:twoCellAnchor>
    <xdr:from>
      <xdr:col>0</xdr:col>
      <xdr:colOff>152399</xdr:colOff>
      <xdr:row>44</xdr:row>
      <xdr:rowOff>44824</xdr:rowOff>
    </xdr:from>
    <xdr:to>
      <xdr:col>4</xdr:col>
      <xdr:colOff>153029</xdr:colOff>
      <xdr:row>59</xdr:row>
      <xdr:rowOff>33383</xdr:rowOff>
    </xdr:to>
    <xdr:pic>
      <xdr:nvPicPr>
        <xdr:cNvPr id="5" name="Picture 4">
          <a:extLst>
            <a:ext uri="{FF2B5EF4-FFF2-40B4-BE49-F238E27FC236}">
              <a16:creationId xmlns:a16="http://schemas.microsoft.com/office/drawing/2014/main" id="{7BA7DC89-1B78-4955-8ACA-94495433BE96}"/>
            </a:ext>
          </a:extLst>
        </xdr:cNvPr>
        <xdr:cNvPicPr>
          <a:picLocks noChangeAspect="1"/>
        </xdr:cNvPicPr>
      </xdr:nvPicPr>
      <xdr:blipFill>
        <a:blip xmlns:r="http://schemas.openxmlformats.org/officeDocument/2006/relationships" r:embed="rId4"/>
        <a:stretch>
          <a:fillRect/>
        </a:stretch>
      </xdr:blipFill>
      <xdr:spPr>
        <a:xfrm>
          <a:off x="152399" y="8091544"/>
          <a:ext cx="2439030" cy="2731759"/>
        </a:xfrm>
        <a:prstGeom prst="rect">
          <a:avLst/>
        </a:prstGeom>
        <a:ln w="57150">
          <a:solidFill>
            <a:schemeClr val="tx1"/>
          </a:solidFill>
        </a:ln>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45720</xdr:colOff>
      <xdr:row>4</xdr:row>
      <xdr:rowOff>45720</xdr:rowOff>
    </xdr:from>
    <xdr:ext cx="8846820" cy="4857750"/>
    <xdr:pic>
      <xdr:nvPicPr>
        <xdr:cNvPr id="2" name="Picture 1">
          <a:extLst>
            <a:ext uri="{FF2B5EF4-FFF2-40B4-BE49-F238E27FC236}">
              <a16:creationId xmlns:a16="http://schemas.microsoft.com/office/drawing/2014/main" id="{B7742378-DC1C-439A-AE63-40B6D409148F}"/>
            </a:ext>
          </a:extLst>
        </xdr:cNvPr>
        <xdr:cNvPicPr/>
      </xdr:nvPicPr>
      <xdr:blipFill>
        <a:blip xmlns:r="http://schemas.openxmlformats.org/officeDocument/2006/relationships" r:embed="rId1"/>
        <a:stretch>
          <a:fillRect/>
        </a:stretch>
      </xdr:blipFill>
      <xdr:spPr>
        <a:xfrm>
          <a:off x="670560" y="723900"/>
          <a:ext cx="8846820" cy="4857750"/>
        </a:xfrm>
        <a:prstGeom prst="rect">
          <a:avLst/>
        </a:prstGeom>
        <a:ln>
          <a:solidFill>
            <a:schemeClr val="tx1"/>
          </a:solidFill>
        </a:ln>
      </xdr:spPr>
    </xdr:pic>
    <xdr:clientData/>
  </xdr:oneCellAnchor>
  <xdr:twoCellAnchor>
    <xdr:from>
      <xdr:col>1</xdr:col>
      <xdr:colOff>137160</xdr:colOff>
      <xdr:row>9</xdr:row>
      <xdr:rowOff>53340</xdr:rowOff>
    </xdr:from>
    <xdr:to>
      <xdr:col>1</xdr:col>
      <xdr:colOff>502920</xdr:colOff>
      <xdr:row>10</xdr:row>
      <xdr:rowOff>99060</xdr:rowOff>
    </xdr:to>
    <xdr:sp macro="" textlink="">
      <xdr:nvSpPr>
        <xdr:cNvPr id="3" name="Oval 2">
          <a:extLst>
            <a:ext uri="{FF2B5EF4-FFF2-40B4-BE49-F238E27FC236}">
              <a16:creationId xmlns:a16="http://schemas.microsoft.com/office/drawing/2014/main" id="{61024504-4B28-4A58-80BF-AC2F90290B44}"/>
            </a:ext>
          </a:extLst>
        </xdr:cNvPr>
        <xdr:cNvSpPr/>
      </xdr:nvSpPr>
      <xdr:spPr>
        <a:xfrm>
          <a:off x="762000" y="169926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129540</xdr:colOff>
      <xdr:row>10</xdr:row>
      <xdr:rowOff>38100</xdr:rowOff>
    </xdr:from>
    <xdr:to>
      <xdr:col>1</xdr:col>
      <xdr:colOff>495300</xdr:colOff>
      <xdr:row>11</xdr:row>
      <xdr:rowOff>83820</xdr:rowOff>
    </xdr:to>
    <xdr:sp macro="" textlink="">
      <xdr:nvSpPr>
        <xdr:cNvPr id="4" name="Oval 3">
          <a:extLst>
            <a:ext uri="{FF2B5EF4-FFF2-40B4-BE49-F238E27FC236}">
              <a16:creationId xmlns:a16="http://schemas.microsoft.com/office/drawing/2014/main" id="{6E9AC0D0-D928-4399-920A-45F4637142CB}"/>
            </a:ext>
          </a:extLst>
        </xdr:cNvPr>
        <xdr:cNvSpPr/>
      </xdr:nvSpPr>
      <xdr:spPr>
        <a:xfrm>
          <a:off x="754380" y="18669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19</xdr:row>
      <xdr:rowOff>121920</xdr:rowOff>
    </xdr:from>
    <xdr:to>
      <xdr:col>1</xdr:col>
      <xdr:colOff>510540</xdr:colOff>
      <xdr:row>21</xdr:row>
      <xdr:rowOff>0</xdr:rowOff>
    </xdr:to>
    <xdr:sp macro="" textlink="">
      <xdr:nvSpPr>
        <xdr:cNvPr id="5" name="Oval 4">
          <a:extLst>
            <a:ext uri="{FF2B5EF4-FFF2-40B4-BE49-F238E27FC236}">
              <a16:creationId xmlns:a16="http://schemas.microsoft.com/office/drawing/2014/main" id="{28BF7C17-F988-49CD-AFEF-474EE2E8920A}"/>
            </a:ext>
          </a:extLst>
        </xdr:cNvPr>
        <xdr:cNvSpPr/>
      </xdr:nvSpPr>
      <xdr:spPr>
        <a:xfrm>
          <a:off x="769620" y="35966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20</xdr:row>
      <xdr:rowOff>114300</xdr:rowOff>
    </xdr:from>
    <xdr:to>
      <xdr:col>1</xdr:col>
      <xdr:colOff>502920</xdr:colOff>
      <xdr:row>21</xdr:row>
      <xdr:rowOff>160020</xdr:rowOff>
    </xdr:to>
    <xdr:sp macro="" textlink="">
      <xdr:nvSpPr>
        <xdr:cNvPr id="6" name="Oval 5">
          <a:extLst>
            <a:ext uri="{FF2B5EF4-FFF2-40B4-BE49-F238E27FC236}">
              <a16:creationId xmlns:a16="http://schemas.microsoft.com/office/drawing/2014/main" id="{7FC8FB1D-09D0-4748-99C0-A244926DC36D}"/>
            </a:ext>
          </a:extLst>
        </xdr:cNvPr>
        <xdr:cNvSpPr/>
      </xdr:nvSpPr>
      <xdr:spPr>
        <a:xfrm>
          <a:off x="762000" y="37719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114300</xdr:colOff>
      <xdr:row>22</xdr:row>
      <xdr:rowOff>53340</xdr:rowOff>
    </xdr:from>
    <xdr:to>
      <xdr:col>2</xdr:col>
      <xdr:colOff>365760</xdr:colOff>
      <xdr:row>23</xdr:row>
      <xdr:rowOff>121920</xdr:rowOff>
    </xdr:to>
    <xdr:sp macro="" textlink="">
      <xdr:nvSpPr>
        <xdr:cNvPr id="7" name="Oval 6">
          <a:extLst>
            <a:ext uri="{FF2B5EF4-FFF2-40B4-BE49-F238E27FC236}">
              <a16:creationId xmlns:a16="http://schemas.microsoft.com/office/drawing/2014/main" id="{F08C349E-5EFA-430D-B83A-928077433299}"/>
            </a:ext>
          </a:extLst>
        </xdr:cNvPr>
        <xdr:cNvSpPr/>
      </xdr:nvSpPr>
      <xdr:spPr>
        <a:xfrm>
          <a:off x="739140" y="4076700"/>
          <a:ext cx="876300" cy="25146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oneCellAnchor>
    <xdr:from>
      <xdr:col>1</xdr:col>
      <xdr:colOff>0</xdr:colOff>
      <xdr:row>36</xdr:row>
      <xdr:rowOff>0</xdr:rowOff>
    </xdr:from>
    <xdr:ext cx="8877300" cy="5219700"/>
    <xdr:pic>
      <xdr:nvPicPr>
        <xdr:cNvPr id="8" name="Picture 7">
          <a:extLst>
            <a:ext uri="{FF2B5EF4-FFF2-40B4-BE49-F238E27FC236}">
              <a16:creationId xmlns:a16="http://schemas.microsoft.com/office/drawing/2014/main" id="{D52247A1-CB4D-4059-9886-F7EF76555896}"/>
            </a:ext>
          </a:extLst>
        </xdr:cNvPr>
        <xdr:cNvPicPr/>
      </xdr:nvPicPr>
      <xdr:blipFill>
        <a:blip xmlns:r="http://schemas.openxmlformats.org/officeDocument/2006/relationships" r:embed="rId2"/>
        <a:stretch>
          <a:fillRect/>
        </a:stretch>
      </xdr:blipFill>
      <xdr:spPr>
        <a:xfrm>
          <a:off x="624840" y="6583680"/>
          <a:ext cx="8877300" cy="5219700"/>
        </a:xfrm>
        <a:prstGeom prst="rect">
          <a:avLst/>
        </a:prstGeom>
        <a:ln>
          <a:solidFill>
            <a:schemeClr val="tx1"/>
          </a:solidFill>
        </a:ln>
      </xdr:spPr>
    </xdr:pic>
    <xdr:clientData/>
  </xdr:oneCellAnchor>
  <xdr:twoCellAnchor>
    <xdr:from>
      <xdr:col>1</xdr:col>
      <xdr:colOff>152400</xdr:colOff>
      <xdr:row>43</xdr:row>
      <xdr:rowOff>137160</xdr:rowOff>
    </xdr:from>
    <xdr:to>
      <xdr:col>1</xdr:col>
      <xdr:colOff>518160</xdr:colOff>
      <xdr:row>45</xdr:row>
      <xdr:rowOff>15240</xdr:rowOff>
    </xdr:to>
    <xdr:sp macro="" textlink="">
      <xdr:nvSpPr>
        <xdr:cNvPr id="9" name="Oval 8">
          <a:extLst>
            <a:ext uri="{FF2B5EF4-FFF2-40B4-BE49-F238E27FC236}">
              <a16:creationId xmlns:a16="http://schemas.microsoft.com/office/drawing/2014/main" id="{7A64075A-E54B-4974-943D-0DEEB13CF23C}"/>
            </a:ext>
          </a:extLst>
        </xdr:cNvPr>
        <xdr:cNvSpPr/>
      </xdr:nvSpPr>
      <xdr:spPr>
        <a:xfrm>
          <a:off x="777240" y="800100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44</xdr:row>
      <xdr:rowOff>68580</xdr:rowOff>
    </xdr:from>
    <xdr:to>
      <xdr:col>1</xdr:col>
      <xdr:colOff>518160</xdr:colOff>
      <xdr:row>45</xdr:row>
      <xdr:rowOff>114300</xdr:rowOff>
    </xdr:to>
    <xdr:sp macro="" textlink="">
      <xdr:nvSpPr>
        <xdr:cNvPr id="10" name="Oval 9">
          <a:extLst>
            <a:ext uri="{FF2B5EF4-FFF2-40B4-BE49-F238E27FC236}">
              <a16:creationId xmlns:a16="http://schemas.microsoft.com/office/drawing/2014/main" id="{B1E61A57-3D83-4C5E-8BB3-1BC4C46D30F3}"/>
            </a:ext>
          </a:extLst>
        </xdr:cNvPr>
        <xdr:cNvSpPr/>
      </xdr:nvSpPr>
      <xdr:spPr>
        <a:xfrm>
          <a:off x="777240" y="81153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49</xdr:row>
      <xdr:rowOff>38100</xdr:rowOff>
    </xdr:from>
    <xdr:to>
      <xdr:col>1</xdr:col>
      <xdr:colOff>502920</xdr:colOff>
      <xdr:row>50</xdr:row>
      <xdr:rowOff>83820</xdr:rowOff>
    </xdr:to>
    <xdr:sp macro="" textlink="">
      <xdr:nvSpPr>
        <xdr:cNvPr id="11" name="Oval 10">
          <a:extLst>
            <a:ext uri="{FF2B5EF4-FFF2-40B4-BE49-F238E27FC236}">
              <a16:creationId xmlns:a16="http://schemas.microsoft.com/office/drawing/2014/main" id="{07F471A4-19FB-4DD6-9220-E4AA9F1CFEEA}"/>
            </a:ext>
          </a:extLst>
        </xdr:cNvPr>
        <xdr:cNvSpPr/>
      </xdr:nvSpPr>
      <xdr:spPr>
        <a:xfrm>
          <a:off x="762000" y="89992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41</xdr:row>
      <xdr:rowOff>15240</xdr:rowOff>
    </xdr:from>
    <xdr:to>
      <xdr:col>1</xdr:col>
      <xdr:colOff>510540</xdr:colOff>
      <xdr:row>42</xdr:row>
      <xdr:rowOff>60960</xdr:rowOff>
    </xdr:to>
    <xdr:sp macro="" textlink="">
      <xdr:nvSpPr>
        <xdr:cNvPr id="12" name="Oval 11">
          <a:extLst>
            <a:ext uri="{FF2B5EF4-FFF2-40B4-BE49-F238E27FC236}">
              <a16:creationId xmlns:a16="http://schemas.microsoft.com/office/drawing/2014/main" id="{21B2D6A8-A3CC-47EF-A5A8-624D05C11452}"/>
            </a:ext>
          </a:extLst>
        </xdr:cNvPr>
        <xdr:cNvSpPr/>
      </xdr:nvSpPr>
      <xdr:spPr>
        <a:xfrm>
          <a:off x="769620" y="75133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41</xdr:row>
      <xdr:rowOff>121920</xdr:rowOff>
    </xdr:from>
    <xdr:to>
      <xdr:col>1</xdr:col>
      <xdr:colOff>502920</xdr:colOff>
      <xdr:row>43</xdr:row>
      <xdr:rowOff>0</xdr:rowOff>
    </xdr:to>
    <xdr:sp macro="" textlink="">
      <xdr:nvSpPr>
        <xdr:cNvPr id="13" name="Oval 12">
          <a:extLst>
            <a:ext uri="{FF2B5EF4-FFF2-40B4-BE49-F238E27FC236}">
              <a16:creationId xmlns:a16="http://schemas.microsoft.com/office/drawing/2014/main" id="{708B8177-EAD3-4D5B-8075-F5CAF6C99132}"/>
            </a:ext>
          </a:extLst>
        </xdr:cNvPr>
        <xdr:cNvSpPr/>
      </xdr:nvSpPr>
      <xdr:spPr>
        <a:xfrm>
          <a:off x="762000" y="762000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51</xdr:row>
      <xdr:rowOff>144780</xdr:rowOff>
    </xdr:from>
    <xdr:to>
      <xdr:col>1</xdr:col>
      <xdr:colOff>518160</xdr:colOff>
      <xdr:row>53</xdr:row>
      <xdr:rowOff>22860</xdr:rowOff>
    </xdr:to>
    <xdr:sp macro="" textlink="">
      <xdr:nvSpPr>
        <xdr:cNvPr id="14" name="Oval 13">
          <a:extLst>
            <a:ext uri="{FF2B5EF4-FFF2-40B4-BE49-F238E27FC236}">
              <a16:creationId xmlns:a16="http://schemas.microsoft.com/office/drawing/2014/main" id="{C8D44EEE-386F-46C7-A844-0D28B7B5ACBA}"/>
            </a:ext>
          </a:extLst>
        </xdr:cNvPr>
        <xdr:cNvSpPr/>
      </xdr:nvSpPr>
      <xdr:spPr>
        <a:xfrm>
          <a:off x="777240" y="947166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53</xdr:row>
      <xdr:rowOff>30480</xdr:rowOff>
    </xdr:from>
    <xdr:to>
      <xdr:col>1</xdr:col>
      <xdr:colOff>502920</xdr:colOff>
      <xdr:row>54</xdr:row>
      <xdr:rowOff>76200</xdr:rowOff>
    </xdr:to>
    <xdr:sp macro="" textlink="">
      <xdr:nvSpPr>
        <xdr:cNvPr id="15" name="Oval 14">
          <a:extLst>
            <a:ext uri="{FF2B5EF4-FFF2-40B4-BE49-F238E27FC236}">
              <a16:creationId xmlns:a16="http://schemas.microsoft.com/office/drawing/2014/main" id="{B7538C39-D6D2-460A-9689-AEEC322B1961}"/>
            </a:ext>
          </a:extLst>
        </xdr:cNvPr>
        <xdr:cNvSpPr/>
      </xdr:nvSpPr>
      <xdr:spPr>
        <a:xfrm>
          <a:off x="762000" y="97231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55</xdr:row>
      <xdr:rowOff>53340</xdr:rowOff>
    </xdr:from>
    <xdr:to>
      <xdr:col>1</xdr:col>
      <xdr:colOff>510540</xdr:colOff>
      <xdr:row>56</xdr:row>
      <xdr:rowOff>99060</xdr:rowOff>
    </xdr:to>
    <xdr:sp macro="" textlink="">
      <xdr:nvSpPr>
        <xdr:cNvPr id="16" name="Oval 15">
          <a:extLst>
            <a:ext uri="{FF2B5EF4-FFF2-40B4-BE49-F238E27FC236}">
              <a16:creationId xmlns:a16="http://schemas.microsoft.com/office/drawing/2014/main" id="{2337581D-B76F-428C-BEAD-5651A19C67E1}"/>
            </a:ext>
          </a:extLst>
        </xdr:cNvPr>
        <xdr:cNvSpPr/>
      </xdr:nvSpPr>
      <xdr:spPr>
        <a:xfrm>
          <a:off x="769620" y="1011174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56</xdr:row>
      <xdr:rowOff>22860</xdr:rowOff>
    </xdr:from>
    <xdr:to>
      <xdr:col>1</xdr:col>
      <xdr:colOff>502920</xdr:colOff>
      <xdr:row>57</xdr:row>
      <xdr:rowOff>68580</xdr:rowOff>
    </xdr:to>
    <xdr:sp macro="" textlink="">
      <xdr:nvSpPr>
        <xdr:cNvPr id="17" name="Oval 16">
          <a:extLst>
            <a:ext uri="{FF2B5EF4-FFF2-40B4-BE49-F238E27FC236}">
              <a16:creationId xmlns:a16="http://schemas.microsoft.com/office/drawing/2014/main" id="{679E03AD-7765-4884-91B4-3BC1E7262CA6}"/>
            </a:ext>
          </a:extLst>
        </xdr:cNvPr>
        <xdr:cNvSpPr/>
      </xdr:nvSpPr>
      <xdr:spPr>
        <a:xfrm>
          <a:off x="762000" y="1026414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oneCellAnchor>
    <xdr:from>
      <xdr:col>1</xdr:col>
      <xdr:colOff>0</xdr:colOff>
      <xdr:row>70</xdr:row>
      <xdr:rowOff>0</xdr:rowOff>
    </xdr:from>
    <xdr:ext cx="6120130" cy="5613400"/>
    <xdr:pic>
      <xdr:nvPicPr>
        <xdr:cNvPr id="18" name="Picture 17">
          <a:extLst>
            <a:ext uri="{FF2B5EF4-FFF2-40B4-BE49-F238E27FC236}">
              <a16:creationId xmlns:a16="http://schemas.microsoft.com/office/drawing/2014/main" id="{8BFC4ABA-F7B8-401A-9702-BF745BD2AF48}"/>
            </a:ext>
          </a:extLst>
        </xdr:cNvPr>
        <xdr:cNvPicPr/>
      </xdr:nvPicPr>
      <xdr:blipFill>
        <a:blip xmlns:r="http://schemas.openxmlformats.org/officeDocument/2006/relationships" r:embed="rId3"/>
        <a:stretch>
          <a:fillRect/>
        </a:stretch>
      </xdr:blipFill>
      <xdr:spPr>
        <a:xfrm>
          <a:off x="624840" y="12801600"/>
          <a:ext cx="6120130" cy="5613400"/>
        </a:xfrm>
        <a:prstGeom prst="rect">
          <a:avLst/>
        </a:prstGeom>
      </xdr:spPr>
    </xdr:pic>
    <xdr:clientData/>
  </xdr:oneCellAnchor>
  <xdr:twoCellAnchor>
    <xdr:from>
      <xdr:col>1</xdr:col>
      <xdr:colOff>167640</xdr:colOff>
      <xdr:row>76</xdr:row>
      <xdr:rowOff>137160</xdr:rowOff>
    </xdr:from>
    <xdr:to>
      <xdr:col>2</xdr:col>
      <xdr:colOff>38100</xdr:colOff>
      <xdr:row>78</xdr:row>
      <xdr:rowOff>152400</xdr:rowOff>
    </xdr:to>
    <xdr:sp macro="" textlink="">
      <xdr:nvSpPr>
        <xdr:cNvPr id="19" name="Oval 18">
          <a:extLst>
            <a:ext uri="{FF2B5EF4-FFF2-40B4-BE49-F238E27FC236}">
              <a16:creationId xmlns:a16="http://schemas.microsoft.com/office/drawing/2014/main" id="{5652E66B-1C80-48BA-AC1F-2EC9D1F417DD}"/>
            </a:ext>
          </a:extLst>
        </xdr:cNvPr>
        <xdr:cNvSpPr/>
      </xdr:nvSpPr>
      <xdr:spPr>
        <a:xfrm>
          <a:off x="792480" y="14036040"/>
          <a:ext cx="495300" cy="3810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80</xdr:row>
      <xdr:rowOff>160020</xdr:rowOff>
    </xdr:from>
    <xdr:to>
      <xdr:col>2</xdr:col>
      <xdr:colOff>7620</xdr:colOff>
      <xdr:row>83</xdr:row>
      <xdr:rowOff>7620</xdr:rowOff>
    </xdr:to>
    <xdr:sp macro="" textlink="">
      <xdr:nvSpPr>
        <xdr:cNvPr id="20" name="Oval 19">
          <a:extLst>
            <a:ext uri="{FF2B5EF4-FFF2-40B4-BE49-F238E27FC236}">
              <a16:creationId xmlns:a16="http://schemas.microsoft.com/office/drawing/2014/main" id="{73D4C3F9-7A9D-4D19-AFAE-B47A6502C994}"/>
            </a:ext>
          </a:extLst>
        </xdr:cNvPr>
        <xdr:cNvSpPr/>
      </xdr:nvSpPr>
      <xdr:spPr>
        <a:xfrm>
          <a:off x="762000" y="14790420"/>
          <a:ext cx="495300" cy="3962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95</xdr:row>
      <xdr:rowOff>15240</xdr:rowOff>
    </xdr:from>
    <xdr:to>
      <xdr:col>2</xdr:col>
      <xdr:colOff>22860</xdr:colOff>
      <xdr:row>97</xdr:row>
      <xdr:rowOff>30480</xdr:rowOff>
    </xdr:to>
    <xdr:sp macro="" textlink="">
      <xdr:nvSpPr>
        <xdr:cNvPr id="21" name="Oval 20">
          <a:extLst>
            <a:ext uri="{FF2B5EF4-FFF2-40B4-BE49-F238E27FC236}">
              <a16:creationId xmlns:a16="http://schemas.microsoft.com/office/drawing/2014/main" id="{894A72E4-53AC-47E0-AFF1-10AF82DEB324}"/>
            </a:ext>
          </a:extLst>
        </xdr:cNvPr>
        <xdr:cNvSpPr/>
      </xdr:nvSpPr>
      <xdr:spPr>
        <a:xfrm>
          <a:off x="777240" y="17388840"/>
          <a:ext cx="495300" cy="3810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556261</xdr:colOff>
      <xdr:row>2</xdr:row>
      <xdr:rowOff>45721</xdr:rowOff>
    </xdr:from>
    <xdr:ext cx="8176260" cy="4886454"/>
    <xdr:pic>
      <xdr:nvPicPr>
        <xdr:cNvPr id="2" name="Picture 1">
          <a:extLst>
            <a:ext uri="{FF2B5EF4-FFF2-40B4-BE49-F238E27FC236}">
              <a16:creationId xmlns:a16="http://schemas.microsoft.com/office/drawing/2014/main" id="{843E8D82-624F-488A-9976-B007B4F16DE6}"/>
            </a:ext>
          </a:extLst>
        </xdr:cNvPr>
        <xdr:cNvPicPr>
          <a:picLocks noChangeAspect="1"/>
        </xdr:cNvPicPr>
      </xdr:nvPicPr>
      <xdr:blipFill>
        <a:blip xmlns:r="http://schemas.openxmlformats.org/officeDocument/2006/relationships" r:embed="rId1"/>
        <a:stretch>
          <a:fillRect/>
        </a:stretch>
      </xdr:blipFill>
      <xdr:spPr>
        <a:xfrm>
          <a:off x="556261" y="411481"/>
          <a:ext cx="8176260" cy="4886454"/>
        </a:xfrm>
        <a:prstGeom prst="rect">
          <a:avLst/>
        </a:prstGeom>
      </xdr:spPr>
    </xdr:pic>
    <xdr:clientData/>
  </xdr:oneCellAnchor>
  <xdr:twoCellAnchor>
    <xdr:from>
      <xdr:col>1</xdr:col>
      <xdr:colOff>83820</xdr:colOff>
      <xdr:row>11</xdr:row>
      <xdr:rowOff>137160</xdr:rowOff>
    </xdr:from>
    <xdr:to>
      <xdr:col>1</xdr:col>
      <xdr:colOff>449580</xdr:colOff>
      <xdr:row>13</xdr:row>
      <xdr:rowOff>15240</xdr:rowOff>
    </xdr:to>
    <xdr:sp macro="" textlink="">
      <xdr:nvSpPr>
        <xdr:cNvPr id="3" name="Oval 2">
          <a:extLst>
            <a:ext uri="{FF2B5EF4-FFF2-40B4-BE49-F238E27FC236}">
              <a16:creationId xmlns:a16="http://schemas.microsoft.com/office/drawing/2014/main" id="{94E220F5-5F00-4A10-ABA8-1BEBA9522852}"/>
            </a:ext>
          </a:extLst>
        </xdr:cNvPr>
        <xdr:cNvSpPr/>
      </xdr:nvSpPr>
      <xdr:spPr>
        <a:xfrm>
          <a:off x="708660" y="21488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91440</xdr:colOff>
      <xdr:row>25</xdr:row>
      <xdr:rowOff>129540</xdr:rowOff>
    </xdr:from>
    <xdr:to>
      <xdr:col>1</xdr:col>
      <xdr:colOff>457200</xdr:colOff>
      <xdr:row>27</xdr:row>
      <xdr:rowOff>7620</xdr:rowOff>
    </xdr:to>
    <xdr:sp macro="" textlink="">
      <xdr:nvSpPr>
        <xdr:cNvPr id="4" name="Oval 3">
          <a:extLst>
            <a:ext uri="{FF2B5EF4-FFF2-40B4-BE49-F238E27FC236}">
              <a16:creationId xmlns:a16="http://schemas.microsoft.com/office/drawing/2014/main" id="{C6AA62E8-1241-41E3-BD83-69F7C23A5158}"/>
            </a:ext>
          </a:extLst>
        </xdr:cNvPr>
        <xdr:cNvSpPr/>
      </xdr:nvSpPr>
      <xdr:spPr>
        <a:xfrm>
          <a:off x="716280" y="47015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21</xdr:col>
      <xdr:colOff>15240</xdr:colOff>
      <xdr:row>1</xdr:row>
      <xdr:rowOff>99060</xdr:rowOff>
    </xdr:from>
    <xdr:ext cx="5173980" cy="2150745"/>
    <xdr:pic>
      <xdr:nvPicPr>
        <xdr:cNvPr id="2" name="Picture 1">
          <a:extLst>
            <a:ext uri="{FF2B5EF4-FFF2-40B4-BE49-F238E27FC236}">
              <a16:creationId xmlns:a16="http://schemas.microsoft.com/office/drawing/2014/main" id="{2ACBA734-F133-4D13-9A24-D780E5C1DE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36880" y="281940"/>
          <a:ext cx="5173980" cy="215074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oneCellAnchor>
</xdr:wsDr>
</file>

<file path=xl/drawings/drawing11.xml><?xml version="1.0" encoding="utf-8"?>
<xdr:wsDr xmlns:xdr="http://schemas.openxmlformats.org/drawingml/2006/spreadsheetDrawing" xmlns:a="http://schemas.openxmlformats.org/drawingml/2006/main">
  <xdr:oneCellAnchor>
    <xdr:from>
      <xdr:col>22</xdr:col>
      <xdr:colOff>194866</xdr:colOff>
      <xdr:row>4</xdr:row>
      <xdr:rowOff>59221</xdr:rowOff>
    </xdr:from>
    <xdr:ext cx="4802309" cy="2462841"/>
    <xdr:pic>
      <xdr:nvPicPr>
        <xdr:cNvPr id="2" name="Picture 1">
          <a:extLst>
            <a:ext uri="{FF2B5EF4-FFF2-40B4-BE49-F238E27FC236}">
              <a16:creationId xmlns:a16="http://schemas.microsoft.com/office/drawing/2014/main" id="{6C7B8E4D-678C-439D-9337-3FEFD361CD08}"/>
            </a:ext>
          </a:extLst>
        </xdr:cNvPr>
        <xdr:cNvPicPr>
          <a:picLocks noChangeAspect="1"/>
        </xdr:cNvPicPr>
      </xdr:nvPicPr>
      <xdr:blipFill>
        <a:blip xmlns:r="http://schemas.openxmlformats.org/officeDocument/2006/relationships" r:embed="rId1"/>
        <a:stretch>
          <a:fillRect/>
        </a:stretch>
      </xdr:blipFill>
      <xdr:spPr>
        <a:xfrm>
          <a:off x="13606066" y="790741"/>
          <a:ext cx="4802309" cy="2462841"/>
        </a:xfrm>
        <a:prstGeom prst="rect">
          <a:avLst/>
        </a:prstGeom>
      </xdr:spPr>
    </xdr:pic>
    <xdr:clientData/>
  </xdr:oneCellAnchor>
  <xdr:twoCellAnchor>
    <xdr:from>
      <xdr:col>7</xdr:col>
      <xdr:colOff>127</xdr:colOff>
      <xdr:row>23</xdr:row>
      <xdr:rowOff>126931</xdr:rowOff>
    </xdr:from>
    <xdr:to>
      <xdr:col>15</xdr:col>
      <xdr:colOff>15580</xdr:colOff>
      <xdr:row>30</xdr:row>
      <xdr:rowOff>43543</xdr:rowOff>
    </xdr:to>
    <xdr:pic>
      <xdr:nvPicPr>
        <xdr:cNvPr id="3" name="Picture 2">
          <a:extLst>
            <a:ext uri="{FF2B5EF4-FFF2-40B4-BE49-F238E27FC236}">
              <a16:creationId xmlns:a16="http://schemas.microsoft.com/office/drawing/2014/main" id="{AF93FEC8-E45A-4F8D-8B66-DEC3E1D635EA}"/>
            </a:ext>
          </a:extLst>
        </xdr:cNvPr>
        <xdr:cNvPicPr>
          <a:picLocks noChangeAspect="1"/>
        </xdr:cNvPicPr>
      </xdr:nvPicPr>
      <xdr:blipFill>
        <a:blip xmlns:r="http://schemas.openxmlformats.org/officeDocument/2006/relationships" r:embed="rId2"/>
        <a:stretch>
          <a:fillRect/>
        </a:stretch>
      </xdr:blipFill>
      <xdr:spPr>
        <a:xfrm>
          <a:off x="4267327" y="4333171"/>
          <a:ext cx="4892253" cy="1196772"/>
        </a:xfrm>
        <a:prstGeom prst="rect">
          <a:avLst/>
        </a:prstGeom>
      </xdr:spPr>
    </xdr:pic>
    <xdr:clientData/>
  </xdr:twoCellAnchor>
  <xdr:oneCellAnchor>
    <xdr:from>
      <xdr:col>0</xdr:col>
      <xdr:colOff>566057</xdr:colOff>
      <xdr:row>19</xdr:row>
      <xdr:rowOff>32658</xdr:rowOff>
    </xdr:from>
    <xdr:ext cx="5550325" cy="5881563"/>
    <xdr:pic>
      <xdr:nvPicPr>
        <xdr:cNvPr id="4" name="Picture 3">
          <a:extLst>
            <a:ext uri="{FF2B5EF4-FFF2-40B4-BE49-F238E27FC236}">
              <a16:creationId xmlns:a16="http://schemas.microsoft.com/office/drawing/2014/main" id="{7B86393C-BF1D-4920-A587-6A7AA09A688C}"/>
            </a:ext>
          </a:extLst>
        </xdr:cNvPr>
        <xdr:cNvPicPr>
          <a:picLocks noChangeAspect="1"/>
        </xdr:cNvPicPr>
      </xdr:nvPicPr>
      <xdr:blipFill>
        <a:blip xmlns:r="http://schemas.openxmlformats.org/officeDocument/2006/relationships" r:embed="rId3"/>
        <a:stretch>
          <a:fillRect/>
        </a:stretch>
      </xdr:blipFill>
      <xdr:spPr>
        <a:xfrm>
          <a:off x="566057" y="3507378"/>
          <a:ext cx="5550325" cy="5881563"/>
        </a:xfrm>
        <a:prstGeom prst="rect">
          <a:avLst/>
        </a:prstGeom>
      </xdr:spPr>
    </xdr:pic>
    <xdr:clientData/>
  </xdr:oneCellAnchor>
  <xdr:oneCellAnchor>
    <xdr:from>
      <xdr:col>1</xdr:col>
      <xdr:colOff>97971</xdr:colOff>
      <xdr:row>47</xdr:row>
      <xdr:rowOff>228600</xdr:rowOff>
    </xdr:from>
    <xdr:ext cx="5407439" cy="2457721"/>
    <xdr:pic>
      <xdr:nvPicPr>
        <xdr:cNvPr id="5" name="Picture 4">
          <a:extLst>
            <a:ext uri="{FF2B5EF4-FFF2-40B4-BE49-F238E27FC236}">
              <a16:creationId xmlns:a16="http://schemas.microsoft.com/office/drawing/2014/main" id="{F7150F9D-E647-47D2-899D-1291102A18DB}"/>
            </a:ext>
          </a:extLst>
        </xdr:cNvPr>
        <xdr:cNvPicPr>
          <a:picLocks noChangeAspect="1"/>
        </xdr:cNvPicPr>
      </xdr:nvPicPr>
      <xdr:blipFill>
        <a:blip xmlns:r="http://schemas.openxmlformats.org/officeDocument/2006/relationships" r:embed="rId4"/>
        <a:stretch>
          <a:fillRect/>
        </a:stretch>
      </xdr:blipFill>
      <xdr:spPr>
        <a:xfrm>
          <a:off x="707571" y="8778240"/>
          <a:ext cx="5407439" cy="2457721"/>
        </a:xfrm>
        <a:prstGeom prst="rect">
          <a:avLst/>
        </a:prstGeom>
      </xdr:spPr>
    </xdr:pic>
    <xdr:clientData/>
  </xdr:oneCellAnchor>
  <xdr:oneCellAnchor>
    <xdr:from>
      <xdr:col>1</xdr:col>
      <xdr:colOff>10885</xdr:colOff>
      <xdr:row>61</xdr:row>
      <xdr:rowOff>21771</xdr:rowOff>
    </xdr:from>
    <xdr:ext cx="5356429" cy="2767991"/>
    <xdr:pic>
      <xdr:nvPicPr>
        <xdr:cNvPr id="6" name="Picture 5">
          <a:extLst>
            <a:ext uri="{FF2B5EF4-FFF2-40B4-BE49-F238E27FC236}">
              <a16:creationId xmlns:a16="http://schemas.microsoft.com/office/drawing/2014/main" id="{A82D5E04-D315-4253-B6E8-AF0729EF2843}"/>
            </a:ext>
          </a:extLst>
        </xdr:cNvPr>
        <xdr:cNvPicPr>
          <a:picLocks noChangeAspect="1"/>
        </xdr:cNvPicPr>
      </xdr:nvPicPr>
      <xdr:blipFill>
        <a:blip xmlns:r="http://schemas.openxmlformats.org/officeDocument/2006/relationships" r:embed="rId5"/>
        <a:stretch>
          <a:fillRect/>
        </a:stretch>
      </xdr:blipFill>
      <xdr:spPr>
        <a:xfrm>
          <a:off x="620485" y="11177451"/>
          <a:ext cx="5356429" cy="2767991"/>
        </a:xfrm>
        <a:prstGeom prst="rect">
          <a:avLst/>
        </a:prstGeom>
      </xdr:spPr>
    </xdr:pic>
    <xdr:clientData/>
  </xdr:oneCellAnchor>
  <xdr:oneCellAnchor>
    <xdr:from>
      <xdr:col>7</xdr:col>
      <xdr:colOff>499653</xdr:colOff>
      <xdr:row>35</xdr:row>
      <xdr:rowOff>50073</xdr:rowOff>
    </xdr:from>
    <xdr:ext cx="4773025" cy="1427014"/>
    <xdr:pic>
      <xdr:nvPicPr>
        <xdr:cNvPr id="7" name="Picture 6">
          <a:extLst>
            <a:ext uri="{FF2B5EF4-FFF2-40B4-BE49-F238E27FC236}">
              <a16:creationId xmlns:a16="http://schemas.microsoft.com/office/drawing/2014/main" id="{E937CF6D-118D-4052-A4CA-79D17142E1F3}"/>
            </a:ext>
          </a:extLst>
        </xdr:cNvPr>
        <xdr:cNvPicPr>
          <a:picLocks noChangeAspect="1"/>
        </xdr:cNvPicPr>
      </xdr:nvPicPr>
      <xdr:blipFill>
        <a:blip xmlns:r="http://schemas.openxmlformats.org/officeDocument/2006/relationships" r:embed="rId6"/>
        <a:stretch>
          <a:fillRect/>
        </a:stretch>
      </xdr:blipFill>
      <xdr:spPr>
        <a:xfrm>
          <a:off x="4766853" y="6450873"/>
          <a:ext cx="4773025" cy="1427014"/>
        </a:xfrm>
        <a:prstGeom prst="rect">
          <a:avLst/>
        </a:prstGeom>
      </xdr:spPr>
    </xdr:pic>
    <xdr:clientData/>
  </xdr:oneCellAnchor>
  <xdr:oneCellAnchor>
    <xdr:from>
      <xdr:col>7</xdr:col>
      <xdr:colOff>163285</xdr:colOff>
      <xdr:row>43</xdr:row>
      <xdr:rowOff>97971</xdr:rowOff>
    </xdr:from>
    <xdr:ext cx="4608611" cy="959613"/>
    <xdr:pic>
      <xdr:nvPicPr>
        <xdr:cNvPr id="8" name="Picture 7">
          <a:extLst>
            <a:ext uri="{FF2B5EF4-FFF2-40B4-BE49-F238E27FC236}">
              <a16:creationId xmlns:a16="http://schemas.microsoft.com/office/drawing/2014/main" id="{5EBF05CF-D84E-46C5-8463-658B7B14CD75}"/>
            </a:ext>
          </a:extLst>
        </xdr:cNvPr>
        <xdr:cNvPicPr>
          <a:picLocks noChangeAspect="1"/>
        </xdr:cNvPicPr>
      </xdr:nvPicPr>
      <xdr:blipFill>
        <a:blip xmlns:r="http://schemas.openxmlformats.org/officeDocument/2006/relationships" r:embed="rId7"/>
        <a:stretch>
          <a:fillRect/>
        </a:stretch>
      </xdr:blipFill>
      <xdr:spPr>
        <a:xfrm>
          <a:off x="4430485" y="7961811"/>
          <a:ext cx="4608611" cy="959613"/>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1</xdr:col>
      <xdr:colOff>663147</xdr:colOff>
      <xdr:row>23</xdr:row>
      <xdr:rowOff>30480</xdr:rowOff>
    </xdr:from>
    <xdr:ext cx="6359945" cy="3575540"/>
    <xdr:pic>
      <xdr:nvPicPr>
        <xdr:cNvPr id="2" name="Picture 1">
          <a:extLst>
            <a:ext uri="{FF2B5EF4-FFF2-40B4-BE49-F238E27FC236}">
              <a16:creationId xmlns:a16="http://schemas.microsoft.com/office/drawing/2014/main" id="{F6B1376B-E15B-454E-B8C5-82D0F3A75412}"/>
            </a:ext>
          </a:extLst>
        </xdr:cNvPr>
        <xdr:cNvPicPr>
          <a:picLocks noChangeAspect="1"/>
        </xdr:cNvPicPr>
      </xdr:nvPicPr>
      <xdr:blipFill>
        <a:blip xmlns:r="http://schemas.openxmlformats.org/officeDocument/2006/relationships" r:embed="rId1"/>
        <a:stretch>
          <a:fillRect/>
        </a:stretch>
      </xdr:blipFill>
      <xdr:spPr>
        <a:xfrm>
          <a:off x="1219407" y="4236720"/>
          <a:ext cx="6359945" cy="3575540"/>
        </a:xfrm>
        <a:prstGeom prst="rect">
          <a:avLst/>
        </a:prstGeom>
      </xdr:spPr>
    </xdr:pic>
    <xdr:clientData/>
  </xdr:oneCellAnchor>
  <xdr:twoCellAnchor>
    <xdr:from>
      <xdr:col>1</xdr:col>
      <xdr:colOff>438369</xdr:colOff>
      <xdr:row>48</xdr:row>
      <xdr:rowOff>40278</xdr:rowOff>
    </xdr:from>
    <xdr:to>
      <xdr:col>3</xdr:col>
      <xdr:colOff>445225</xdr:colOff>
      <xdr:row>70</xdr:row>
      <xdr:rowOff>5353</xdr:rowOff>
    </xdr:to>
    <xdr:grpSp>
      <xdr:nvGrpSpPr>
        <xdr:cNvPr id="3" name="Group 2">
          <a:extLst>
            <a:ext uri="{FF2B5EF4-FFF2-40B4-BE49-F238E27FC236}">
              <a16:creationId xmlns:a16="http://schemas.microsoft.com/office/drawing/2014/main" id="{971312B1-3B1F-484F-9A56-F5C427D426E0}"/>
            </a:ext>
          </a:extLst>
        </xdr:cNvPr>
        <xdr:cNvGrpSpPr/>
      </xdr:nvGrpSpPr>
      <xdr:grpSpPr>
        <a:xfrm>
          <a:off x="1047969" y="9086307"/>
          <a:ext cx="4959856" cy="4243160"/>
          <a:chOff x="590071" y="2226365"/>
          <a:chExt cx="8198136" cy="7114293"/>
        </a:xfrm>
      </xdr:grpSpPr>
      <xdr:pic>
        <xdr:nvPicPr>
          <xdr:cNvPr id="4" name="Picture 3">
            <a:extLst>
              <a:ext uri="{FF2B5EF4-FFF2-40B4-BE49-F238E27FC236}">
                <a16:creationId xmlns:a16="http://schemas.microsoft.com/office/drawing/2014/main" id="{3D4E2A73-F92C-4DF7-A3C5-439EE5F53E3F}"/>
              </a:ext>
            </a:extLst>
          </xdr:cNvPr>
          <xdr:cNvPicPr>
            <a:picLocks noChangeAspect="1"/>
          </xdr:cNvPicPr>
        </xdr:nvPicPr>
        <xdr:blipFill>
          <a:blip xmlns:r="http://schemas.openxmlformats.org/officeDocument/2006/relationships" r:embed="rId2"/>
          <a:stretch>
            <a:fillRect/>
          </a:stretch>
        </xdr:blipFill>
        <xdr:spPr>
          <a:xfrm>
            <a:off x="609600" y="2226365"/>
            <a:ext cx="8178607" cy="4470887"/>
          </a:xfrm>
          <a:prstGeom prst="rect">
            <a:avLst/>
          </a:prstGeom>
        </xdr:spPr>
      </xdr:pic>
      <xdr:pic>
        <xdr:nvPicPr>
          <xdr:cNvPr id="5" name="Picture 4">
            <a:extLst>
              <a:ext uri="{FF2B5EF4-FFF2-40B4-BE49-F238E27FC236}">
                <a16:creationId xmlns:a16="http://schemas.microsoft.com/office/drawing/2014/main" id="{563B6F25-E99F-466F-825C-5F9211CF2058}"/>
              </a:ext>
            </a:extLst>
          </xdr:cNvPr>
          <xdr:cNvPicPr>
            <a:picLocks noChangeAspect="1"/>
          </xdr:cNvPicPr>
        </xdr:nvPicPr>
        <xdr:blipFill>
          <a:blip xmlns:r="http://schemas.openxmlformats.org/officeDocument/2006/relationships" r:embed="rId3"/>
          <a:stretch>
            <a:fillRect/>
          </a:stretch>
        </xdr:blipFill>
        <xdr:spPr>
          <a:xfrm>
            <a:off x="590071" y="6667356"/>
            <a:ext cx="8162990" cy="2673302"/>
          </a:xfrm>
          <a:prstGeom prst="rect">
            <a:avLst/>
          </a:prstGeom>
        </xdr:spPr>
      </xdr:pic>
    </xdr:grpSp>
    <xdr:clientData/>
  </xdr:twoCellAnchor>
  <xdr:oneCellAnchor>
    <xdr:from>
      <xdr:col>9</xdr:col>
      <xdr:colOff>956329</xdr:colOff>
      <xdr:row>24</xdr:row>
      <xdr:rowOff>125035</xdr:rowOff>
    </xdr:from>
    <xdr:ext cx="8416271" cy="2912082"/>
    <xdr:pic>
      <xdr:nvPicPr>
        <xdr:cNvPr id="6" name="Picture 5">
          <a:extLst>
            <a:ext uri="{FF2B5EF4-FFF2-40B4-BE49-F238E27FC236}">
              <a16:creationId xmlns:a16="http://schemas.microsoft.com/office/drawing/2014/main" id="{B436EC7C-003A-43DA-8BC3-5641A4BB7CFD}"/>
            </a:ext>
          </a:extLst>
        </xdr:cNvPr>
        <xdr:cNvPicPr>
          <a:picLocks noChangeAspect="1"/>
        </xdr:cNvPicPr>
      </xdr:nvPicPr>
      <xdr:blipFill>
        <a:blip xmlns:r="http://schemas.openxmlformats.org/officeDocument/2006/relationships" r:embed="rId4"/>
        <a:stretch>
          <a:fillRect/>
        </a:stretch>
      </xdr:blipFill>
      <xdr:spPr>
        <a:xfrm>
          <a:off x="6092209" y="4514155"/>
          <a:ext cx="8416271" cy="2912082"/>
        </a:xfrm>
        <a:prstGeom prst="rect">
          <a:avLst/>
        </a:prstGeom>
      </xdr:spPr>
    </xdr:pic>
    <xdr:clientData/>
  </xdr:oneCellAnchor>
  <xdr:oneCellAnchor>
    <xdr:from>
      <xdr:col>1</xdr:col>
      <xdr:colOff>670164</xdr:colOff>
      <xdr:row>43</xdr:row>
      <xdr:rowOff>71263</xdr:rowOff>
    </xdr:from>
    <xdr:ext cx="6353200" cy="930223"/>
    <xdr:pic>
      <xdr:nvPicPr>
        <xdr:cNvPr id="7" name="Picture 6">
          <a:extLst>
            <a:ext uri="{FF2B5EF4-FFF2-40B4-BE49-F238E27FC236}">
              <a16:creationId xmlns:a16="http://schemas.microsoft.com/office/drawing/2014/main" id="{D0079FAA-EC4D-41E0-B15E-948A6F6A6FAE}"/>
            </a:ext>
          </a:extLst>
        </xdr:cNvPr>
        <xdr:cNvPicPr>
          <a:picLocks noChangeAspect="1"/>
        </xdr:cNvPicPr>
      </xdr:nvPicPr>
      <xdr:blipFill>
        <a:blip xmlns:r="http://schemas.openxmlformats.org/officeDocument/2006/relationships" r:embed="rId5"/>
        <a:stretch>
          <a:fillRect/>
        </a:stretch>
      </xdr:blipFill>
      <xdr:spPr>
        <a:xfrm>
          <a:off x="1218804" y="7935103"/>
          <a:ext cx="6353200" cy="930223"/>
        </a:xfrm>
        <a:prstGeom prst="rect">
          <a:avLst/>
        </a:prstGeom>
      </xdr:spPr>
    </xdr:pic>
    <xdr:clientData/>
  </xdr:oneCellAnchor>
  <xdr:oneCellAnchor>
    <xdr:from>
      <xdr:col>8</xdr:col>
      <xdr:colOff>375724</xdr:colOff>
      <xdr:row>53</xdr:row>
      <xdr:rowOff>137160</xdr:rowOff>
    </xdr:from>
    <xdr:ext cx="8098260" cy="5166362"/>
    <xdr:pic>
      <xdr:nvPicPr>
        <xdr:cNvPr id="8" name="Picture 7">
          <a:extLst>
            <a:ext uri="{FF2B5EF4-FFF2-40B4-BE49-F238E27FC236}">
              <a16:creationId xmlns:a16="http://schemas.microsoft.com/office/drawing/2014/main" id="{EE3B24D7-BFD5-4D8B-9BE0-3047BFB1B4D5}"/>
            </a:ext>
          </a:extLst>
        </xdr:cNvPr>
        <xdr:cNvPicPr>
          <a:picLocks noChangeAspect="1"/>
        </xdr:cNvPicPr>
      </xdr:nvPicPr>
      <xdr:blipFill>
        <a:blip xmlns:r="http://schemas.openxmlformats.org/officeDocument/2006/relationships" r:embed="rId6"/>
        <a:stretch>
          <a:fillRect/>
        </a:stretch>
      </xdr:blipFill>
      <xdr:spPr>
        <a:xfrm>
          <a:off x="5252524" y="9829800"/>
          <a:ext cx="8098260" cy="5166362"/>
        </a:xfrm>
        <a:prstGeom prst="rect">
          <a:avLst/>
        </a:prstGeom>
      </xdr:spPr>
    </xdr:pic>
    <xdr:clientData/>
  </xdr:oneCellAnchor>
  <xdr:twoCellAnchor>
    <xdr:from>
      <xdr:col>3</xdr:col>
      <xdr:colOff>668987</xdr:colOff>
      <xdr:row>44</xdr:row>
      <xdr:rowOff>41838</xdr:rowOff>
    </xdr:from>
    <xdr:to>
      <xdr:col>10</xdr:col>
      <xdr:colOff>960287</xdr:colOff>
      <xdr:row>49</xdr:row>
      <xdr:rowOff>134321</xdr:rowOff>
    </xdr:to>
    <xdr:grpSp>
      <xdr:nvGrpSpPr>
        <xdr:cNvPr id="9" name="Group 8">
          <a:extLst>
            <a:ext uri="{FF2B5EF4-FFF2-40B4-BE49-F238E27FC236}">
              <a16:creationId xmlns:a16="http://schemas.microsoft.com/office/drawing/2014/main" id="{22566523-F0E4-42F6-8ECD-F64AEB3A6B51}"/>
            </a:ext>
          </a:extLst>
        </xdr:cNvPr>
        <xdr:cNvGrpSpPr/>
      </xdr:nvGrpSpPr>
      <xdr:grpSpPr>
        <a:xfrm>
          <a:off x="6231587" y="8271438"/>
          <a:ext cx="6702986" cy="1093969"/>
          <a:chOff x="9923930" y="3749746"/>
          <a:chExt cx="7000315" cy="1091194"/>
        </a:xfrm>
      </xdr:grpSpPr>
      <xdr:pic>
        <xdr:nvPicPr>
          <xdr:cNvPr id="10" name="Picture 9">
            <a:extLst>
              <a:ext uri="{FF2B5EF4-FFF2-40B4-BE49-F238E27FC236}">
                <a16:creationId xmlns:a16="http://schemas.microsoft.com/office/drawing/2014/main" id="{D4E5526B-2BB9-4F29-BF31-62077F78040D}"/>
              </a:ext>
            </a:extLst>
          </xdr:cNvPr>
          <xdr:cNvPicPr>
            <a:picLocks noChangeAspect="1"/>
          </xdr:cNvPicPr>
        </xdr:nvPicPr>
        <xdr:blipFill>
          <a:blip xmlns:r="http://schemas.openxmlformats.org/officeDocument/2006/relationships" r:embed="rId7"/>
          <a:stretch>
            <a:fillRect/>
          </a:stretch>
        </xdr:blipFill>
        <xdr:spPr>
          <a:xfrm>
            <a:off x="9941861" y="3749746"/>
            <a:ext cx="6982384" cy="687639"/>
          </a:xfrm>
          <a:prstGeom prst="rect">
            <a:avLst/>
          </a:prstGeom>
        </xdr:spPr>
      </xdr:pic>
      <xdr:pic>
        <xdr:nvPicPr>
          <xdr:cNvPr id="11" name="Picture 10">
            <a:extLst>
              <a:ext uri="{FF2B5EF4-FFF2-40B4-BE49-F238E27FC236}">
                <a16:creationId xmlns:a16="http://schemas.microsoft.com/office/drawing/2014/main" id="{B10974B8-D6D3-4A91-B254-382CAF6E31B3}"/>
              </a:ext>
            </a:extLst>
          </xdr:cNvPr>
          <xdr:cNvPicPr>
            <a:picLocks noChangeAspect="1"/>
          </xdr:cNvPicPr>
        </xdr:nvPicPr>
        <xdr:blipFill>
          <a:blip xmlns:r="http://schemas.openxmlformats.org/officeDocument/2006/relationships" r:embed="rId8"/>
          <a:stretch>
            <a:fillRect/>
          </a:stretch>
        </xdr:blipFill>
        <xdr:spPr>
          <a:xfrm>
            <a:off x="9923930" y="4401669"/>
            <a:ext cx="6910076" cy="439271"/>
          </a:xfrm>
          <a:prstGeom prst="rect">
            <a:avLst/>
          </a:prstGeom>
        </xdr:spPr>
      </xdr:pic>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EDA/VEDA_Models/TIMES-DK_Model/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ibsi/Desktop/SubRes_IND_Tech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Giada\PhD\Straw\Copy%20of%20Alternativ%20Drivmiddelmodel%203.0.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IMES%20models/TIMES-Nordic/SubRES_TMPL/data_sheets_for_renewable_fuel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Mikkel%20Bosack/Downloads/data_sheets_for_renewable_fuels%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AD THIS"/>
      <sheetName val="IND_Agriculture"/>
      <sheetName val="IND_Food"/>
      <sheetName val="IND_Chemical"/>
      <sheetName val="IND_Metal"/>
      <sheetName val="IND_Other"/>
      <sheetName val="IND_MotorVehicles"/>
      <sheetName val="IND_Sales"/>
      <sheetName val="IND_PrivateService"/>
      <sheetName val="IND_PublicService"/>
      <sheetName val="IND_Construction"/>
      <sheetName val="IND_OtherUtilities"/>
      <sheetName val="IND_GlassConcrete"/>
      <sheetName val="1. Oil-fired boiler"/>
      <sheetName val="DH substation"/>
      <sheetName val="2. Natural gas boiler"/>
      <sheetName val="DH Wood Chips"/>
      <sheetName val="4. Biomass boiler, automatic"/>
      <sheetName val="Biomass boiler, manual"/>
      <sheetName val="Wood stove"/>
      <sheetName val="7. HP, Air-air"/>
      <sheetName val="7. HP, Air-water Apartm."/>
      <sheetName val="7. HP, Brine-water apartm."/>
      <sheetName val="8a Absorption gas-driv Apart"/>
      <sheetName val="8b Gas engine-driv heat pump ap"/>
      <sheetName val="8c Adsorption gas driv one fam"/>
      <sheetName val="15 Solar heating"/>
      <sheetName val="16 Electric heating"/>
      <sheetName val="Heat pump, ventilation"/>
      <sheetName val="Micro CHP, natural gas FC"/>
      <sheetName val="Micro CHP, hydrogen FC"/>
      <sheetName val="Micro CHP - Stirling engine"/>
      <sheetName val="Micro CHP - Gas engine"/>
      <sheetName val="DH network"/>
      <sheetName val="Electrical grid"/>
    </sheetNames>
    <sheetDataSet>
      <sheetData sheetId="0"/>
      <sheetData sheetId="1">
        <row r="48">
          <cell r="C48">
            <v>7.45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Referencer"/>
      <sheetName val="ResultsOneYear"/>
      <sheetName val="ResultsAllYears"/>
      <sheetName val="Vehicles"/>
      <sheetName val="Fuels"/>
      <sheetName val="Basic Data"/>
      <sheetName val="General ass. and conv."/>
      <sheetName val="LCA Vehicles"/>
      <sheetName val="PC (FORCE 1) Bio-Methanol"/>
      <sheetName val="PC (FORCE 3) 1G ethanol"/>
      <sheetName val="PC (FORCE 4) 2G ethanol"/>
      <sheetName val="PC (FORCE 6) 1G HVO DIESE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FORCE 2) ETL-Methanol"/>
      <sheetName val="IC tog-elektricitet"/>
      <sheetName val="IC Elektrolyse og komprimering"/>
      <sheetName val="IC Ladestation"/>
      <sheetName val="IC Ladestation Hybrid"/>
      <sheetName val="IC Naturgas komprimering"/>
      <sheetName val="IC Ingen mellem"/>
      <sheetName val="EU Std benzin personbil"/>
      <sheetName val="EU Std diesel personbil"/>
      <sheetName val="EU Diesel personbil DME"/>
      <sheetName val="EU Tilpasset Otto personbil"/>
      <sheetName val="EU Brændselscelle, brint bil"/>
      <sheetName val="EU FC, brinthybrid personbil"/>
      <sheetName val="EU FC, methanolhybrid personbil"/>
      <sheetName val="EU Plugin Hybrid personbil"/>
      <sheetName val="EU El personbil"/>
      <sheetName val="EU El personbil, stort bat."/>
      <sheetName val="EU Varebil benzin"/>
      <sheetName val="EU Varebil CNG"/>
      <sheetName val="EU varebil diesel"/>
      <sheetName val="EU varebil el"/>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Ark1"/>
    </sheetNames>
    <sheetDataSet>
      <sheetData sheetId="0"/>
      <sheetData sheetId="1"/>
      <sheetData sheetId="2"/>
      <sheetData sheetId="3"/>
      <sheetData sheetId="4"/>
      <sheetData sheetId="5"/>
      <sheetData sheetId="6"/>
      <sheetData sheetId="7">
        <row r="3">
          <cell r="C3">
            <v>0.04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SUP_COM"/>
      <sheetName val="SUP_PROC"/>
      <sheetName val="Index"/>
      <sheetName val="81 Biogas Plant, Basic conf."/>
      <sheetName val="81 Biogas Plant, Add. Straw"/>
      <sheetName val="81 Biogas Plant, Add. Org Waste"/>
      <sheetName val="82 Biogas, upgrading"/>
      <sheetName val="83 Gasif. Fixed Bed, Producer "/>
      <sheetName val="84 Gasif. CFB, Bio-SNG"/>
      <sheetName val="85 Gasif. Ent. Flow FT, liq fu "/>
      <sheetName val="86 AEC 1MW"/>
      <sheetName val="86 AEC 100MW"/>
      <sheetName val="86 PEMEC 1MW"/>
      <sheetName val="86 PEMEC 100MW"/>
      <sheetName val="86 SOEC 1MW"/>
      <sheetName val="89 Vegetable oil FAME"/>
      <sheetName val="90 UCO &amp; animal fat FAME"/>
      <sheetName val="91 Hydrogenated veg oil"/>
      <sheetName val="92 HVO jet fuel"/>
      <sheetName val="93 1st generation ethanol"/>
      <sheetName val="94 Pyrolysis oils"/>
      <sheetName val="95 Cellulosic ethanol"/>
      <sheetName val="97 Methanol from biomass gasif."/>
      <sheetName val="98 Methanol from power"/>
      <sheetName val="99 SNG from methan. of biogas"/>
      <sheetName val="100 Hydrothermal liquifaction"/>
      <sheetName val="101 Catalytic Hydropyrolysis 2"/>
      <sheetName val="101 Catalytic Hydropyrolysis 1"/>
      <sheetName val="102 Hydrogen to Jet"/>
      <sheetName val="102 Power to Jet"/>
      <sheetName val="103 Hydrogen to Ammonia"/>
      <sheetName val="104 Methane pyrolysis, MBR"/>
      <sheetName val="104 Methane pyrolysis, Plasma"/>
    </sheet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81 Biogas Plant, Basic conf."/>
      <sheetName val="81 Biogas Plant, Add. Straw"/>
      <sheetName val="81 Biogas Plant, Add. Org Waste"/>
      <sheetName val="82 Biogas, upgrading"/>
      <sheetName val="83 Gasif. Fixed Bed, Producer "/>
      <sheetName val="84 Gasif. CFB, Bio-SNG"/>
      <sheetName val="85 Gasif. Ent. Flow FT, liq fu "/>
      <sheetName val="86 SOEC"/>
      <sheetName val="87 PEM Electrolyser"/>
      <sheetName val="88 Alkaline Electrolyser"/>
      <sheetName val="89 Vegetable oil FAME"/>
      <sheetName val="90 UCO &amp; animal fat FAME"/>
      <sheetName val="91 Hydrogenated veg oil"/>
      <sheetName val="92 HVO jet fuel"/>
      <sheetName val="93 1st generation ethanol"/>
      <sheetName val="94 Pyrolysis oils"/>
      <sheetName val="95 Cellulosic ethanol"/>
      <sheetName val="97 Methanol from biomass gasif."/>
      <sheetName val="98 Methanol from power"/>
      <sheetName val="99 SNG from methan. of biogas"/>
      <sheetName val="100 Hydrothermal liquifaction"/>
      <sheetName val="101 Catalytic Hydropyrolysis 2"/>
      <sheetName val="101 Catalytic Hydropyrolysis 1"/>
      <sheetName val="102 Hydrogen to Jet"/>
      <sheetName val="102 Power to J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task39.sites.olt.ubc.ca/files/2013/05/Marine-biofuel-report-final-Oct-2017.pdf"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6.xml.rels><?xml version="1.0" encoding="UTF-8" standalone="yes"?>
<Relationships xmlns="http://schemas.openxmlformats.org/package/2006/relationships"><Relationship Id="rId8" Type="http://schemas.openxmlformats.org/officeDocument/2006/relationships/hyperlink" Target="https://ens.dk/sites/ens.dk/files/Statistik/energy_statistics_2015.pdf" TargetMode="External"/><Relationship Id="rId13" Type="http://schemas.openxmlformats.org/officeDocument/2006/relationships/hyperlink" Target="http://www.adktroutguide.com/files/1999_Phd_Thesis_-_Kinetics_Selectivity_and_Scaleup_of_FT_Synthesis.pdf" TargetMode="External"/><Relationship Id="rId18" Type="http://schemas.openxmlformats.org/officeDocument/2006/relationships/printerSettings" Target="../printerSettings/printerSettings3.bin"/><Relationship Id="rId3" Type="http://schemas.openxmlformats.org/officeDocument/2006/relationships/hyperlink" Target="https://www.doi.org/10.1021/ef302003f" TargetMode="External"/><Relationship Id="rId7" Type="http://schemas.openxmlformats.org/officeDocument/2006/relationships/hyperlink" Target="https://doi.org/10.13031/2013.30383" TargetMode="External"/><Relationship Id="rId12" Type="http://schemas.openxmlformats.org/officeDocument/2006/relationships/hyperlink" Target="http://web.anl.gov/PCS/acsfuel/preprint%20archive/Files/39_4_WASHINGTON%20DC_08-94_1146.pdf" TargetMode="External"/><Relationship Id="rId17" Type="http://schemas.openxmlformats.org/officeDocument/2006/relationships/hyperlink" Target="https://www.doi.org/10.1002/bbb.1613" TargetMode="External"/><Relationship Id="rId2" Type="http://schemas.openxmlformats.org/officeDocument/2006/relationships/hyperlink" Target="http://acee.princeton.edu/wp-content/uploads/2016/10/Kreutz-et-al-PCC-2008-10-7-08.pdf" TargetMode="External"/><Relationship Id="rId16" Type="http://schemas.openxmlformats.org/officeDocument/2006/relationships/hyperlink" Target="http://platformduurzamebiobrandstoffen.nl/wp-content/uploads/2017/07/2017_SGAB_Cost-of-Biofuels.pdf" TargetMode="External"/><Relationship Id="rId1" Type="http://schemas.openxmlformats.org/officeDocument/2006/relationships/hyperlink" Target="https://www.doi.org/10.1002/bbb.1710" TargetMode="External"/><Relationship Id="rId6" Type="http://schemas.openxmlformats.org/officeDocument/2006/relationships/hyperlink" Target="http://www.velocys.com/our-biorefineries/" TargetMode="External"/><Relationship Id="rId11" Type="http://schemas.openxmlformats.org/officeDocument/2006/relationships/hyperlink" Target="https://biorrefineria.blogspot.ca/2017/06/velocys-plans-for-construction-of-commercial-BTL-plant-move-forward.html" TargetMode="External"/><Relationship Id="rId5" Type="http://schemas.openxmlformats.org/officeDocument/2006/relationships/hyperlink" Target="https://doi.org/10.1016/j.jechem.2015.11.005" TargetMode="External"/><Relationship Id="rId15" Type="http://schemas.openxmlformats.org/officeDocument/2006/relationships/hyperlink" Target="http://www.irena.org/DocumentDownloads/Publications/IRENA_Innovation_Outlook_Advanced_Liquid_Biofuels_2016.pdf" TargetMode="External"/><Relationship Id="rId10" Type="http://schemas.openxmlformats.org/officeDocument/2006/relationships/hyperlink" Target="http://www.velocys.com/establishment-of-a-strategic-alliance-with-tri/" TargetMode="External"/><Relationship Id="rId4" Type="http://schemas.openxmlformats.org/officeDocument/2006/relationships/hyperlink" Target="https://doi.org/10.1039/C6EE00935B" TargetMode="External"/><Relationship Id="rId9" Type="http://schemas.openxmlformats.org/officeDocument/2006/relationships/hyperlink" Target="https://www.doi.org/10.3389/fsufs.2017.00002" TargetMode="External"/><Relationship Id="rId14" Type="http://schemas.openxmlformats.org/officeDocument/2006/relationships/hyperlink" Target="https://www.ien.com/operations/news/20980331/mississippi-lands-biofuel-refinery"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2.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www.intechopen.com/books/hydrogenation/hydroconversion-of-triglycerides-into-green-liquid-fuels" TargetMode="External"/><Relationship Id="rId13"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www.uop.com/wp-content/uploads/2012/12/UOP-Hydrorefining-Green-Diesel-Tech-Paper.pdf" TargetMode="External"/><Relationship Id="rId7" Type="http://schemas.openxmlformats.org/officeDocument/2006/relationships/hyperlink" Target="http://www.extension.iastate.edu/agdm/energy/xls/d1-15biodieselprofitability.xlsx" TargetMode="External"/><Relationship Id="rId12" Type="http://schemas.openxmlformats.org/officeDocument/2006/relationships/hyperlink" Target="https://www.neste.com/sites/default/files/attachments/neste_renewable_diesel_handbook.pdf" TargetMode="External"/><Relationship Id="rId2" Type="http://schemas.openxmlformats.org/officeDocument/2006/relationships/hyperlink" Target="https://www.epa.gov/sites/production/files/2017-05/documents/reg-geismar-deter-ltr-2017-04-13.pdf" TargetMode="External"/><Relationship Id="rId1" Type="http://schemas.openxmlformats.org/officeDocument/2006/relationships/hyperlink" Target="https://www.arb.ca.gov/fuels/lcfs/2a2b/apps/nes-na-tallow-rpt-011414.pdf" TargetMode="External"/><Relationship Id="rId6" Type="http://schemas.openxmlformats.org/officeDocument/2006/relationships/hyperlink" Target="https://www.eia.gov/dnav/pet/pet_pri_spt_s1_d.htm" TargetMode="External"/><Relationship Id="rId11" Type="http://schemas.openxmlformats.org/officeDocument/2006/relationships/hyperlink" Target="https://www.prnewswire.com/news-releases/diamond-green-diesel-to-be-expanded-to-275-million-gallons-annually-300248085.html" TargetMode="External"/><Relationship Id="rId5" Type="http://schemas.openxmlformats.org/officeDocument/2006/relationships/hyperlink" Target="https://www.neste.com/en/corporate-info/investors/financials" TargetMode="External"/><Relationship Id="rId10" Type="http://schemas.openxmlformats.org/officeDocument/2006/relationships/hyperlink" Target="https://doi.org/10.1016/j.seta.2014.01.008" TargetMode="External"/><Relationship Id="rId4" Type="http://schemas.openxmlformats.org/officeDocument/2006/relationships/hyperlink" Target="https://www.doi.org/10.1002/bbb.1613" TargetMode="External"/><Relationship Id="rId9" Type="http://schemas.openxmlformats.org/officeDocument/2006/relationships/hyperlink" Target="https://doi.org/10.1186/s13068-017-0945-3" TargetMode="External"/></Relationships>
</file>

<file path=xl/worksheets/_rels/sheet35.xml.rels><?xml version="1.0" encoding="UTF-8" standalone="yes"?>
<Relationships xmlns="http://schemas.openxmlformats.org/package/2006/relationships"><Relationship Id="rId3" Type="http://schemas.openxmlformats.org/officeDocument/2006/relationships/hyperlink" Target="https://doi.org/10.1186/s13068-017-0739-7" TargetMode="External"/><Relationship Id="rId7" Type="http://schemas.openxmlformats.org/officeDocument/2006/relationships/hyperlink" Target="https://www.doi.org/10.1002/bbb.1613" TargetMode="External"/><Relationship Id="rId2" Type="http://schemas.openxmlformats.org/officeDocument/2006/relationships/hyperlink" Target="https://dspace.library.uu.nl/bitstream/handle/1874/347665/MSc%20Thesis%20K.Y%20Antonissen%2c%20May%202016%20%281%29.pdf?sequence=2&amp;isAllowed=y" TargetMode="External"/><Relationship Id="rId1" Type="http://schemas.openxmlformats.org/officeDocument/2006/relationships/hyperlink" Target="https://energy.gov/sites/prod/files/2017/07/f35/BETO_2017WTE-Workshop_BryanSherbacow-AltAir.pdf" TargetMode="External"/><Relationship Id="rId6" Type="http://schemas.openxmlformats.org/officeDocument/2006/relationships/hyperlink" Target="http://web.mit.edu/aeroastro/partner/reports/proj28/partner-proj28-2010-001.pdf" TargetMode="External"/><Relationship Id="rId5" Type="http://schemas.openxmlformats.org/officeDocument/2006/relationships/hyperlink" Target="https://doi.org/10.2516/ogst/2014007" TargetMode="External"/><Relationship Id="rId4" Type="http://schemas.openxmlformats.org/officeDocument/2006/relationships/hyperlink" Target="https://doi.org/10.1186/s13068-017-0945-3" TargetMode="External"/></Relationships>
</file>

<file path=xl/worksheets/_rels/sheet36.xml.rels><?xml version="1.0" encoding="UTF-8" standalone="yes"?>
<Relationships xmlns="http://schemas.openxmlformats.org/package/2006/relationships"><Relationship Id="rId8" Type="http://schemas.openxmlformats.org/officeDocument/2006/relationships/hyperlink" Target="http://www.extension.iastate.edu/agdm/energy/xls/d1-10ethanolprofitability.xlsx" TargetMode="External"/><Relationship Id="rId3" Type="http://schemas.openxmlformats.org/officeDocument/2006/relationships/hyperlink" Target="http://naldc.nal.usda.gov/download/22550/PDF" TargetMode="External"/><Relationship Id="rId7" Type="http://schemas.openxmlformats.org/officeDocument/2006/relationships/hyperlink" Target="http://epure.org/media/1610/2016-industry-statistics.pdf" TargetMode="External"/><Relationship Id="rId2" Type="http://schemas.openxmlformats.org/officeDocument/2006/relationships/hyperlink" Target="http://epure.org/about-ethanol/fuel-market/fuel-blends/" TargetMode="External"/><Relationship Id="rId1" Type="http://schemas.openxmlformats.org/officeDocument/2006/relationships/hyperlink" Target="https://ens.dk/sites/ens.dk/files/Statistik/energy_statistics_2015.pdf" TargetMode="External"/><Relationship Id="rId6" Type="http://schemas.openxmlformats.org/officeDocument/2006/relationships/hyperlink" Target="http://epure.org/media/1137/state-of-the-industry-report-2014.pdf" TargetMode="External"/><Relationship Id="rId5" Type="http://schemas.openxmlformats.org/officeDocument/2006/relationships/hyperlink" Target="http://www.eia.gov/cfapps/ipdbproject/IEDIndex3.cfm?tid=79&amp;pid=79&amp;aid=1" TargetMode="External"/><Relationship Id="rId10" Type="http://schemas.openxmlformats.org/officeDocument/2006/relationships/hyperlink" Target="http://ringneckenergy.com/wp-content/uploads/2016/12/2015_PPM_w_Exhibits.pdf" TargetMode="External"/><Relationship Id="rId4" Type="http://schemas.openxmlformats.org/officeDocument/2006/relationships/hyperlink" Target="http://task39.sites.olt.ubc.ca/files/2013/05/IEA_Bioenergy_Task-39_Improving_carbon_and_energy_balance.pdf" TargetMode="External"/><Relationship Id="rId9" Type="http://schemas.openxmlformats.org/officeDocument/2006/relationships/hyperlink" Target="http://www.capjournal.com/news/ringneck-energy-pouring-cement-building-foundations-for-ethanol-plant-near/article_4ee23aac-adec-11e7-80fb-a7814e744ba7.html" TargetMode="External"/></Relationships>
</file>

<file path=xl/worksheets/_rels/sheet37.xml.rels><?xml version="1.0" encoding="UTF-8" standalone="yes"?>
<Relationships xmlns="http://schemas.openxmlformats.org/package/2006/relationships"><Relationship Id="rId8" Type="http://schemas.openxmlformats.org/officeDocument/2006/relationships/hyperlink" Target="https://doi.org/10.1016/j.fuel.2014.11.078" TargetMode="External"/><Relationship Id="rId3" Type="http://schemas.openxmlformats.org/officeDocument/2006/relationships/hyperlink" Target="https://ec.europa.eu/energy/sites/ener/files/documents/32_dharmesh_mahajan-honeywell.pdf" TargetMode="External"/><Relationship Id="rId7" Type="http://schemas.openxmlformats.org/officeDocument/2006/relationships/hyperlink" Target="http://dx.doi.org/10.1080/17597269.2015.1118780" TargetMode="External"/><Relationship Id="rId12" Type="http://schemas.openxmlformats.org/officeDocument/2006/relationships/hyperlink" Target="http://www.etc-cte.ec.gc.ca/databases/oilproperties/pdf/web_bunker_c_fuel_oil.pdf" TargetMode="External"/><Relationship Id="rId2" Type="http://schemas.openxmlformats.org/officeDocument/2006/relationships/hyperlink" Target="https://www.btg-btl.com/en/company/projects/empyro" TargetMode="External"/><Relationship Id="rId1" Type="http://schemas.openxmlformats.org/officeDocument/2006/relationships/hyperlink" Target="http://www.gastechnology.org/tcbiomass/tcb2015/Muggen_Gerhard-Presentation-tcbiomass2015.pdf" TargetMode="External"/><Relationship Id="rId6" Type="http://schemas.openxmlformats.org/officeDocument/2006/relationships/hyperlink" Target="https://www.nrel.gov/docs/fy11osti/46586.pdf" TargetMode="External"/><Relationship Id="rId11" Type="http://schemas.openxmlformats.org/officeDocument/2006/relationships/hyperlink" Target="https://www.btg-btl.com/en/applications/oilproperties" TargetMode="External"/><Relationship Id="rId5" Type="http://schemas.openxmlformats.org/officeDocument/2006/relationships/hyperlink" Target="https://www.btg-btl.com/nieuwsbrieven/2017/november/en" TargetMode="External"/><Relationship Id="rId10" Type="http://schemas.openxmlformats.org/officeDocument/2006/relationships/hyperlink" Target="https://www.energy.gov/sites/prod/files/2016/10/f33/Graham_0.pdf" TargetMode="External"/><Relationship Id="rId4" Type="http://schemas.openxmlformats.org/officeDocument/2006/relationships/hyperlink" Target="https://doi.org/10.1016/S0146-6380(99)00120-5" TargetMode="External"/><Relationship Id="rId9" Type="http://schemas.openxmlformats.org/officeDocument/2006/relationships/hyperlink" Target="http://www.besustainablemagazine.com/cms2/empyro-bv-breaks-ground-of-its-biomass-to-liquid-pyrolysis-plant/"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doi.org/10.1016/j.energy.2014.09.042" TargetMode="External"/><Relationship Id="rId7" Type="http://schemas.openxmlformats.org/officeDocument/2006/relationships/hyperlink" Target="https://www.nrel.gov/docs/fy12osti/52636.pdf" TargetMode="External"/><Relationship Id="rId2" Type="http://schemas.openxmlformats.org/officeDocument/2006/relationships/hyperlink" Target="http://serenergy.com/wp-content/uploads/2015/11/GreenSynFuels_report_final.pdf" TargetMode="External"/><Relationship Id="rId1" Type="http://schemas.openxmlformats.org/officeDocument/2006/relationships/hyperlink" Target="https://doi.org/10.1016/j.biombioe.2014.03.063" TargetMode="External"/><Relationship Id="rId6" Type="http://schemas.openxmlformats.org/officeDocument/2006/relationships/hyperlink" Target="http://www.varmlandsmetanol.se/dokument/Folder%20VM%20sept%202016.pdf" TargetMode="External"/><Relationship Id="rId5" Type="http://schemas.openxmlformats.org/officeDocument/2006/relationships/hyperlink" Target="http://www.varmlandsmetanol.se/Om%20Projektet.htm" TargetMode="External"/><Relationship Id="rId4" Type="http://schemas.openxmlformats.org/officeDocument/2006/relationships/hyperlink" Target="http://task39.sites.olt.ubc.ca/files/2012/01/IEA-Bioenergy-Task-39-Newsletter-Issue-42-April-2016.pdf"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https://doi.org/10.1016/j.renene.2015.07.066" TargetMode="External"/><Relationship Id="rId13" Type="http://schemas.openxmlformats.org/officeDocument/2006/relationships/hyperlink" Target="http://carbonrecycling.is/comercial-scale/" TargetMode="External"/><Relationship Id="rId3" Type="http://schemas.openxmlformats.org/officeDocument/2006/relationships/hyperlink" Target="https://www.co2-cato.org/cato-download/4123/20170512_143353_20-11.00-Stefansson-public.pdf" TargetMode="External"/><Relationship Id="rId7" Type="http://schemas.openxmlformats.org/officeDocument/2006/relationships/hyperlink" Target="https://energy.gov/sites/prod/files/2017/06/f34/fcto_may_2017_h2_scale_wkshp_hovsapian.pdf" TargetMode="External"/><Relationship Id="rId12" Type="http://schemas.openxmlformats.org/officeDocument/2006/relationships/hyperlink" Target="http://www.enea-consulting.com/wp-content/uploads/2016/01/ENEA-Consulting-The-potential-of-power-to-gas.pdf" TargetMode="External"/><Relationship Id="rId2" Type="http://schemas.openxmlformats.org/officeDocument/2006/relationships/hyperlink" Target="https://eu-ems.com/event_images/presentations/Benedikt%20Stefansson%20presentation.pdf" TargetMode="External"/><Relationship Id="rId1" Type="http://schemas.openxmlformats.org/officeDocument/2006/relationships/hyperlink" Target="http://serenergy.com/next-generation-of-methanol-fuel-cell-vehicles-sees-the-light-of-day/" TargetMode="External"/><Relationship Id="rId6" Type="http://schemas.openxmlformats.org/officeDocument/2006/relationships/hyperlink" Target="http://www.methanol.org/the-methanol-industry/" TargetMode="External"/><Relationship Id="rId11" Type="http://schemas.openxmlformats.org/officeDocument/2006/relationships/hyperlink" Target="https://dx.doi.org/10.2790/981669" TargetMode="External"/><Relationship Id="rId5" Type="http://schemas.openxmlformats.org/officeDocument/2006/relationships/hyperlink" Target="http://dx.doi.org/10.1016/j.ijhydene.2015.12.074" TargetMode="External"/><Relationship Id="rId10" Type="http://schemas.openxmlformats.org/officeDocument/2006/relationships/hyperlink" Target="https://www.topsoe.com/processes/gasoline-synthesis/gasoline-synthesis-tigas" TargetMode="External"/><Relationship Id="rId4" Type="http://schemas.openxmlformats.org/officeDocument/2006/relationships/hyperlink" Target="http://www.mefco2.eu/pdf/MefCO2_Brochure_00.pdf" TargetMode="External"/><Relationship Id="rId9" Type="http://schemas.openxmlformats.org/officeDocument/2006/relationships/hyperlink" Target="http://serenergy.com/wp-content/uploads/2015/11/GreenSynFuels_report_final.pdf" TargetMode="External"/></Relationships>
</file>

<file path=xl/worksheets/_rels/sheet41.xml.rels><?xml version="1.0" encoding="UTF-8" standalone="yes"?>
<Relationships xmlns="http://schemas.openxmlformats.org/package/2006/relationships"><Relationship Id="rId3" Type="http://schemas.openxmlformats.org/officeDocument/2006/relationships/hyperlink" Target="https://www.di-verlag.de/media/content/gwf-GE/gwf_Gas_5_14/gwf-GE_05_2014_FB_Kurt.pdf?xaf26a=7841c984ef837209544e" TargetMode="External"/><Relationship Id="rId2" Type="http://schemas.openxmlformats.org/officeDocument/2006/relationships/hyperlink" Target="https://www.aramis.admin.ch/Default.aspx?DocumentID=45656&amp;Load=true" TargetMode="External"/><Relationship Id="rId1" Type="http://schemas.openxmlformats.org/officeDocument/2006/relationships/hyperlink" Target="https://doi.org/10.1016/j.renene.2015.07.066" TargetMode="External"/><Relationship Id="rId6" Type="http://schemas.openxmlformats.org/officeDocument/2006/relationships/hyperlink" Target="http://www.hz-inova.com/cms/en/home?p=6276" TargetMode="External"/><Relationship Id="rId5" Type="http://schemas.openxmlformats.org/officeDocument/2006/relationships/hyperlink" Target="https://www.tuwien.ac.at/fileadmin/t/tuwien/fotos/pa/download/2015/HM2015/Flyer_Power_to_Bio--Gas_EN.pdf" TargetMode="External"/><Relationship Id="rId4" Type="http://schemas.openxmlformats.org/officeDocument/2006/relationships/hyperlink" Target="https://doi.org/10.1002/wene.97"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www.licella.com.au/news/licella-canfor-joint-venture-at-the-forefront-of-global-bioenergy/" TargetMode="External"/><Relationship Id="rId3" Type="http://schemas.openxmlformats.org/officeDocument/2006/relationships/hyperlink" Target="http://www.etc-cte.ec.gc.ca/databases/oilproperties/pdf/web_bunker_c_fuel_oil.pdf" TargetMode="External"/><Relationship Id="rId7" Type="http://schemas.openxmlformats.org/officeDocument/2006/relationships/hyperlink" Target="https://doi.org/10.1016/j.apenergy.2014.03.053" TargetMode="External"/><Relationship Id="rId12" Type="http://schemas.openxmlformats.org/officeDocument/2006/relationships/hyperlink" Target="https://doi.org/10.1002/bbb.1831" TargetMode="External"/><Relationship Id="rId2" Type="http://schemas.openxmlformats.org/officeDocument/2006/relationships/hyperlink" Target="https://doi.org/10.1007/s13399-017-0248-8" TargetMode="External"/><Relationship Id="rId1" Type="http://schemas.openxmlformats.org/officeDocument/2006/relationships/hyperlink" Target="http://steeperenergy.com/2017/12/15/steeper-energy-announces-eur-50-6-m-dkk-377-m-advanced-biofuel-project-with-norwegian-swedish-joint-venture-silva-green-fuel-in-licensing-deal/" TargetMode="External"/><Relationship Id="rId6" Type="http://schemas.openxmlformats.org/officeDocument/2006/relationships/hyperlink" Target="https://www.bio.org/sites/default/files/0830AM-Perry%20Toms.pdf" TargetMode="External"/><Relationship Id="rId11" Type="http://schemas.openxmlformats.org/officeDocument/2006/relationships/hyperlink" Target="https://doi.org/10.13044/j.sdewes.d5.0177" TargetMode="External"/><Relationship Id="rId5" Type="http://schemas.openxmlformats.org/officeDocument/2006/relationships/hyperlink" Target="https://doi.org/10.1007/s13399-017-0248-8" TargetMode="External"/><Relationship Id="rId10" Type="http://schemas.openxmlformats.org/officeDocument/2006/relationships/hyperlink" Target="http://www.ourenergypolicy.org/wp-content/uploads/2015/08/60462.pdf" TargetMode="External"/><Relationship Id="rId4" Type="http://schemas.openxmlformats.org/officeDocument/2006/relationships/hyperlink" Target="http://www.biofuelsdigest.com/bdigest/2017/02/02/fracking-biomass-steeper-energy-and-the-pursuit-of-renewable-hydrocarbons/" TargetMode="External"/><Relationship Id="rId9" Type="http://schemas.openxmlformats.org/officeDocument/2006/relationships/hyperlink" Target="https://doi.org/10.1016/B978-0-08-101029-7.00009-6" TargetMode="Externa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E24"/>
  <sheetViews>
    <sheetView workbookViewId="0">
      <selection activeCell="A3" sqref="A3:E6"/>
    </sheetView>
  </sheetViews>
  <sheetFormatPr defaultRowHeight="14.4"/>
  <cols>
    <col min="1" max="1" width="11.5546875" customWidth="1"/>
    <col min="2" max="2" width="15.6640625" customWidth="1"/>
    <col min="3" max="3" width="13.88671875" customWidth="1"/>
    <col min="4" max="4" width="19.88671875" customWidth="1"/>
    <col min="5" max="5" width="152.88671875" customWidth="1"/>
  </cols>
  <sheetData>
    <row r="3" spans="1:5">
      <c r="A3" s="1" t="s">
        <v>26</v>
      </c>
      <c r="B3" s="1" t="s">
        <v>27</v>
      </c>
      <c r="C3" s="1" t="s">
        <v>28</v>
      </c>
      <c r="D3" s="1" t="s">
        <v>29</v>
      </c>
      <c r="E3" s="1" t="s">
        <v>30</v>
      </c>
    </row>
    <row r="4" spans="1:5" s="2" customFormat="1">
      <c r="A4" s="3">
        <v>44166</v>
      </c>
      <c r="B4" s="2" t="s">
        <v>1380</v>
      </c>
      <c r="C4" s="2" t="s">
        <v>1381</v>
      </c>
    </row>
    <row r="5" spans="1:5" s="2" customFormat="1">
      <c r="A5" s="3">
        <v>44166</v>
      </c>
      <c r="B5" s="2" t="s">
        <v>1380</v>
      </c>
      <c r="C5" s="2" t="s">
        <v>1383</v>
      </c>
      <c r="E5" s="2" t="s">
        <v>1384</v>
      </c>
    </row>
    <row r="6" spans="1:5" s="2" customFormat="1">
      <c r="A6" s="3" t="s">
        <v>706</v>
      </c>
      <c r="B6" s="2" t="s">
        <v>1380</v>
      </c>
      <c r="C6" s="2" t="s">
        <v>1382</v>
      </c>
    </row>
    <row r="7" spans="1:5" s="2" customFormat="1">
      <c r="A7" s="3"/>
    </row>
    <row r="8" spans="1:5" s="2" customFormat="1">
      <c r="A8" s="3"/>
    </row>
    <row r="9" spans="1:5">
      <c r="A9" s="3"/>
      <c r="B9" s="2"/>
      <c r="C9" s="2"/>
      <c r="D9" s="2"/>
      <c r="E9" s="2"/>
    </row>
    <row r="10" spans="1:5">
      <c r="A10" s="3"/>
      <c r="B10" s="2"/>
      <c r="C10" s="2"/>
      <c r="D10" s="2"/>
      <c r="E10" s="2"/>
    </row>
    <row r="11" spans="1:5">
      <c r="A11" s="3"/>
      <c r="B11" s="2"/>
      <c r="C11" s="2"/>
      <c r="D11" s="2"/>
      <c r="E11" s="2"/>
    </row>
    <row r="12" spans="1:5">
      <c r="A12" s="3"/>
      <c r="B12" s="2"/>
      <c r="C12" s="2"/>
      <c r="D12" s="2"/>
      <c r="E12" s="2"/>
    </row>
    <row r="13" spans="1:5">
      <c r="A13" s="3"/>
      <c r="B13" s="2"/>
      <c r="C13" s="2"/>
      <c r="D13" s="2"/>
      <c r="E13" s="2"/>
    </row>
    <row r="14" spans="1:5">
      <c r="A14" s="3"/>
      <c r="B14" s="2"/>
      <c r="C14" s="2"/>
      <c r="D14" s="2"/>
      <c r="E14" s="2"/>
    </row>
    <row r="15" spans="1:5">
      <c r="A15" s="3"/>
      <c r="B15" s="2"/>
      <c r="C15" s="2"/>
      <c r="D15" s="2"/>
      <c r="E15" s="2"/>
    </row>
    <row r="16" spans="1:5">
      <c r="A16" s="3"/>
      <c r="B16" s="2"/>
      <c r="C16" s="2"/>
      <c r="D16" s="2"/>
      <c r="E16" s="2"/>
    </row>
    <row r="17" spans="1:5">
      <c r="A17" s="3"/>
      <c r="B17" s="2"/>
      <c r="C17" s="2"/>
      <c r="D17" s="2"/>
      <c r="E17" s="2"/>
    </row>
    <row r="18" spans="1:5">
      <c r="A18" s="3"/>
      <c r="B18" s="4"/>
      <c r="C18" s="2"/>
      <c r="D18" s="1"/>
      <c r="E18" s="4"/>
    </row>
    <row r="19" spans="1:5">
      <c r="A19" s="3"/>
      <c r="B19" s="4"/>
      <c r="C19" s="2"/>
      <c r="D19" s="1"/>
      <c r="E19" s="4"/>
    </row>
    <row r="20" spans="1:5">
      <c r="A20" s="3"/>
      <c r="B20" s="4"/>
      <c r="C20" s="2"/>
      <c r="D20" s="1"/>
      <c r="E20" s="4"/>
    </row>
    <row r="21" spans="1:5">
      <c r="A21" s="3"/>
      <c r="B21" s="4"/>
      <c r="C21" s="2"/>
      <c r="D21" s="1"/>
      <c r="E21" s="4"/>
    </row>
    <row r="22" spans="1:5">
      <c r="A22" s="3"/>
      <c r="B22" s="4"/>
      <c r="C22" s="2"/>
      <c r="D22" s="1"/>
      <c r="E22" s="4"/>
    </row>
    <row r="23" spans="1:5">
      <c r="A23" s="3"/>
      <c r="B23" s="4"/>
      <c r="C23" s="2"/>
      <c r="D23" s="1"/>
      <c r="E23" s="4"/>
    </row>
    <row r="24" spans="1:5">
      <c r="A24" s="3"/>
      <c r="B24" s="2"/>
      <c r="C24" s="2"/>
      <c r="D24" s="2"/>
      <c r="E24" s="2"/>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7ED65-1F91-4B89-99FE-C326553CD2FE}">
  <dimension ref="B3:I9"/>
  <sheetViews>
    <sheetView workbookViewId="0">
      <selection activeCell="C40" sqref="C40"/>
    </sheetView>
  </sheetViews>
  <sheetFormatPr defaultRowHeight="14.4"/>
  <cols>
    <col min="2" max="2" width="15.88671875" customWidth="1"/>
    <col min="3" max="3" width="15.88671875" bestFit="1" customWidth="1"/>
    <col min="4" max="4" width="44.5546875" bestFit="1" customWidth="1"/>
  </cols>
  <sheetData>
    <row r="3" spans="2:9">
      <c r="B3" s="1078" t="s">
        <v>1421</v>
      </c>
      <c r="C3" s="1079"/>
      <c r="D3" s="1079"/>
      <c r="E3" s="1079"/>
      <c r="F3" s="1079"/>
      <c r="G3" s="1079"/>
      <c r="H3" s="1079"/>
      <c r="I3" s="1079"/>
    </row>
    <row r="4" spans="2:9">
      <c r="B4" s="1080" t="s">
        <v>1422</v>
      </c>
      <c r="C4" s="1080" t="s">
        <v>1423</v>
      </c>
      <c r="D4" s="1080" t="s">
        <v>1424</v>
      </c>
      <c r="E4" s="1081" t="s">
        <v>746</v>
      </c>
      <c r="F4" s="1081" t="s">
        <v>1425</v>
      </c>
      <c r="G4" s="1081" t="s">
        <v>1426</v>
      </c>
      <c r="H4" s="1081" t="s">
        <v>1427</v>
      </c>
      <c r="I4" s="1081" t="s">
        <v>1428</v>
      </c>
    </row>
    <row r="5" spans="2:9" ht="29.4" thickBot="1">
      <c r="B5" s="1083" t="s">
        <v>1429</v>
      </c>
      <c r="C5" s="1082" t="s">
        <v>1430</v>
      </c>
      <c r="D5" s="1082" t="s">
        <v>1431</v>
      </c>
      <c r="E5" s="1082" t="s">
        <v>746</v>
      </c>
      <c r="F5" s="1082" t="s">
        <v>1432</v>
      </c>
      <c r="G5" s="1082" t="s">
        <v>1433</v>
      </c>
      <c r="H5" s="1082" t="s">
        <v>1434</v>
      </c>
      <c r="I5" s="1082" t="s">
        <v>1435</v>
      </c>
    </row>
    <row r="6" spans="2:9">
      <c r="B6" t="s">
        <v>1436</v>
      </c>
      <c r="C6" t="s">
        <v>348</v>
      </c>
      <c r="D6" t="s">
        <v>1437</v>
      </c>
      <c r="E6" t="s">
        <v>25</v>
      </c>
    </row>
    <row r="7" spans="2:9">
      <c r="C7" t="s">
        <v>1314</v>
      </c>
      <c r="D7" t="s">
        <v>1438</v>
      </c>
      <c r="E7" t="s">
        <v>25</v>
      </c>
    </row>
    <row r="8" spans="2:9">
      <c r="C8" t="s">
        <v>153</v>
      </c>
      <c r="D8" t="s">
        <v>1439</v>
      </c>
      <c r="E8" t="s">
        <v>25</v>
      </c>
    </row>
    <row r="9" spans="2:9">
      <c r="C9" t="s">
        <v>163</v>
      </c>
      <c r="D9" t="s">
        <v>1440</v>
      </c>
      <c r="E9" t="s">
        <v>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9569A-5F6E-48A8-A6D7-EEFD3302424E}">
  <dimension ref="B2:I73"/>
  <sheetViews>
    <sheetView topLeftCell="A36" workbookViewId="0">
      <selection activeCell="C63" sqref="C63"/>
    </sheetView>
  </sheetViews>
  <sheetFormatPr defaultRowHeight="14.4"/>
  <cols>
    <col min="3" max="3" width="25.88671875" customWidth="1"/>
    <col min="4" max="4" width="73.88671875" bestFit="1" customWidth="1"/>
  </cols>
  <sheetData>
    <row r="2" spans="2:9">
      <c r="B2" s="71" t="s">
        <v>1</v>
      </c>
      <c r="C2" s="71"/>
      <c r="D2" s="72"/>
      <c r="E2" s="72"/>
      <c r="F2" s="72"/>
      <c r="G2" s="72"/>
      <c r="H2" s="72"/>
      <c r="I2" s="72"/>
    </row>
    <row r="3" spans="2:9">
      <c r="B3" s="73" t="s">
        <v>10</v>
      </c>
      <c r="C3" s="73" t="s">
        <v>2</v>
      </c>
      <c r="D3" s="73" t="s">
        <v>11</v>
      </c>
      <c r="E3" s="73" t="s">
        <v>12</v>
      </c>
      <c r="F3" s="73" t="s">
        <v>13</v>
      </c>
      <c r="G3" s="73" t="s">
        <v>14</v>
      </c>
      <c r="H3" s="73" t="s">
        <v>15</v>
      </c>
      <c r="I3" s="73" t="s">
        <v>16</v>
      </c>
    </row>
    <row r="4" spans="2:9" ht="15" thickBot="1">
      <c r="B4" s="74" t="s">
        <v>17</v>
      </c>
      <c r="C4" s="74" t="s">
        <v>18</v>
      </c>
      <c r="D4" s="74" t="s">
        <v>19</v>
      </c>
      <c r="E4" s="74" t="s">
        <v>20</v>
      </c>
      <c r="F4" s="74" t="s">
        <v>21</v>
      </c>
      <c r="G4" s="74" t="s">
        <v>22</v>
      </c>
      <c r="H4" s="74" t="s">
        <v>23</v>
      </c>
      <c r="I4" s="74" t="s">
        <v>24</v>
      </c>
    </row>
    <row r="5" spans="2:9">
      <c r="B5" s="69" t="s">
        <v>125</v>
      </c>
      <c r="C5" s="1074" t="s">
        <v>301</v>
      </c>
      <c r="D5" s="1074" t="s">
        <v>164</v>
      </c>
      <c r="E5" s="250" t="s">
        <v>311</v>
      </c>
      <c r="F5" s="250" t="s">
        <v>312</v>
      </c>
      <c r="G5" s="1074"/>
      <c r="H5" s="1074"/>
      <c r="I5" s="1074"/>
    </row>
    <row r="6" spans="2:9">
      <c r="B6" s="72"/>
      <c r="C6" s="72" t="s">
        <v>302</v>
      </c>
      <c r="D6" s="72" t="s">
        <v>224</v>
      </c>
      <c r="E6" s="72" t="s">
        <v>25</v>
      </c>
      <c r="F6" s="72" t="s">
        <v>123</v>
      </c>
      <c r="G6" s="69" t="s">
        <v>313</v>
      </c>
      <c r="H6" s="72"/>
      <c r="I6" s="72"/>
    </row>
    <row r="7" spans="2:9">
      <c r="B7" s="72"/>
      <c r="C7" s="72" t="s">
        <v>303</v>
      </c>
      <c r="D7" s="72" t="s">
        <v>221</v>
      </c>
      <c r="E7" s="72" t="s">
        <v>25</v>
      </c>
      <c r="F7" s="72" t="s">
        <v>123</v>
      </c>
      <c r="G7" s="69" t="s">
        <v>313</v>
      </c>
      <c r="H7" s="72"/>
      <c r="I7" s="72"/>
    </row>
    <row r="8" spans="2:9">
      <c r="B8" s="72"/>
      <c r="C8" s="72" t="s">
        <v>304</v>
      </c>
      <c r="D8" s="72" t="s">
        <v>219</v>
      </c>
      <c r="E8" s="72" t="s">
        <v>25</v>
      </c>
      <c r="F8" s="72" t="s">
        <v>123</v>
      </c>
      <c r="G8" s="69" t="s">
        <v>313</v>
      </c>
      <c r="H8" s="72"/>
      <c r="I8" s="72"/>
    </row>
    <row r="9" spans="2:9">
      <c r="B9" s="72"/>
      <c r="C9" s="72" t="s">
        <v>305</v>
      </c>
      <c r="D9" s="72" t="s">
        <v>215</v>
      </c>
      <c r="E9" s="72" t="s">
        <v>25</v>
      </c>
      <c r="F9" s="72" t="s">
        <v>123</v>
      </c>
      <c r="G9" s="69" t="s">
        <v>313</v>
      </c>
      <c r="H9" s="72"/>
      <c r="I9" s="72"/>
    </row>
    <row r="10" spans="2:9">
      <c r="B10" s="72"/>
      <c r="C10" s="72" t="s">
        <v>306</v>
      </c>
      <c r="D10" s="72" t="s">
        <v>212</v>
      </c>
      <c r="E10" s="72" t="s">
        <v>25</v>
      </c>
      <c r="F10" s="72" t="s">
        <v>123</v>
      </c>
      <c r="G10" s="69" t="s">
        <v>313</v>
      </c>
      <c r="H10" s="72"/>
      <c r="I10" s="72"/>
    </row>
    <row r="11" spans="2:9">
      <c r="B11" s="72"/>
      <c r="C11" s="72" t="s">
        <v>307</v>
      </c>
      <c r="D11" s="72" t="s">
        <v>286</v>
      </c>
      <c r="E11" s="72" t="s">
        <v>25</v>
      </c>
      <c r="F11" s="72" t="s">
        <v>123</v>
      </c>
      <c r="G11" s="69" t="s">
        <v>313</v>
      </c>
      <c r="H11" s="72" t="s">
        <v>268</v>
      </c>
      <c r="I11" s="72"/>
    </row>
    <row r="12" spans="2:9">
      <c r="B12" s="72"/>
      <c r="C12" s="72" t="s">
        <v>308</v>
      </c>
      <c r="D12" s="72" t="s">
        <v>261</v>
      </c>
      <c r="E12" s="72" t="s">
        <v>25</v>
      </c>
      <c r="F12" s="72" t="s">
        <v>123</v>
      </c>
      <c r="G12" s="69" t="s">
        <v>313</v>
      </c>
      <c r="H12" s="72" t="s">
        <v>268</v>
      </c>
      <c r="I12" s="72"/>
    </row>
    <row r="13" spans="2:9">
      <c r="B13" s="72"/>
      <c r="C13" s="72" t="s">
        <v>316</v>
      </c>
      <c r="D13" s="72" t="s">
        <v>317</v>
      </c>
      <c r="E13" s="72" t="s">
        <v>25</v>
      </c>
      <c r="F13" s="72" t="s">
        <v>123</v>
      </c>
      <c r="G13" s="69" t="s">
        <v>313</v>
      </c>
      <c r="H13" s="72"/>
      <c r="I13" s="72"/>
    </row>
    <row r="14" spans="2:9">
      <c r="B14" s="72"/>
      <c r="C14" s="72" t="s">
        <v>318</v>
      </c>
      <c r="D14" s="72" t="s">
        <v>319</v>
      </c>
      <c r="E14" s="72" t="s">
        <v>25</v>
      </c>
      <c r="F14" s="72" t="s">
        <v>123</v>
      </c>
      <c r="G14" s="69" t="s">
        <v>313</v>
      </c>
      <c r="H14" s="72"/>
      <c r="I14" s="72"/>
    </row>
    <row r="15" spans="2:9">
      <c r="B15" s="72"/>
      <c r="C15" s="72" t="s">
        <v>320</v>
      </c>
      <c r="D15" s="72" t="s">
        <v>321</v>
      </c>
      <c r="E15" s="72" t="s">
        <v>25</v>
      </c>
      <c r="F15" s="72" t="s">
        <v>123</v>
      </c>
      <c r="G15" s="69" t="s">
        <v>313</v>
      </c>
      <c r="H15" s="72"/>
      <c r="I15" s="72"/>
    </row>
    <row r="16" spans="2:9">
      <c r="B16" s="72"/>
      <c r="C16" s="72" t="s">
        <v>322</v>
      </c>
      <c r="D16" s="72" t="s">
        <v>323</v>
      </c>
      <c r="E16" s="72" t="s">
        <v>25</v>
      </c>
      <c r="F16" s="72" t="s">
        <v>123</v>
      </c>
      <c r="G16" s="69" t="s">
        <v>313</v>
      </c>
      <c r="H16" s="69"/>
      <c r="I16" s="69"/>
    </row>
    <row r="17" spans="2:9">
      <c r="B17" s="222"/>
      <c r="C17" s="222" t="s">
        <v>324</v>
      </c>
      <c r="D17" s="222" t="s">
        <v>325</v>
      </c>
      <c r="E17" s="222" t="s">
        <v>25</v>
      </c>
      <c r="F17" s="222" t="s">
        <v>123</v>
      </c>
      <c r="G17" s="70" t="s">
        <v>313</v>
      </c>
      <c r="H17" s="70"/>
      <c r="I17" s="70"/>
    </row>
    <row r="18" spans="2:9">
      <c r="B18" s="1071"/>
      <c r="C18" s="1071" t="str">
        <f>SUP_H2_Production!B11</f>
        <v>SUPH2ALKC1N</v>
      </c>
      <c r="D18" s="1071" t="str">
        <f>SUP_H2_Production!C11</f>
        <v>Alkaline Electrolyzer Cell Centralized</v>
      </c>
      <c r="E18" s="72" t="s">
        <v>25</v>
      </c>
      <c r="F18" s="72" t="s">
        <v>123</v>
      </c>
      <c r="G18" s="1232" t="s">
        <v>313</v>
      </c>
      <c r="H18" s="1006" t="s">
        <v>1314</v>
      </c>
      <c r="I18" s="1006"/>
    </row>
    <row r="19" spans="2:9">
      <c r="B19" s="1071"/>
      <c r="C19" s="1071" t="str">
        <f>SUP_H2_Production!B19</f>
        <v>SUPHEALKD1N</v>
      </c>
      <c r="D19" s="1071" t="str">
        <f>SUP_H2_Production!C19</f>
        <v>Alkaline Electrolyzer Cell Decentralized</v>
      </c>
      <c r="E19" s="72" t="s">
        <v>25</v>
      </c>
      <c r="F19" s="72" t="s">
        <v>123</v>
      </c>
      <c r="G19" s="1232" t="s">
        <v>313</v>
      </c>
      <c r="H19" s="1006" t="s">
        <v>348</v>
      </c>
      <c r="I19" s="1006"/>
    </row>
    <row r="20" spans="2:9">
      <c r="B20" s="1071"/>
      <c r="C20" s="1071" t="str">
        <f>SUP_H2_Production!B27</f>
        <v>SUPH2ALKR1N</v>
      </c>
      <c r="D20" s="1071" t="str">
        <f>SUP_H2_Production!C27</f>
        <v>Alkaline Electrolyzer Cell Rural</v>
      </c>
      <c r="E20" s="72" t="s">
        <v>25</v>
      </c>
      <c r="F20" s="72" t="s">
        <v>123</v>
      </c>
      <c r="G20" s="1232" t="s">
        <v>313</v>
      </c>
      <c r="H20" s="1006" t="s">
        <v>1314</v>
      </c>
      <c r="I20" s="1006"/>
    </row>
    <row r="21" spans="2:9">
      <c r="B21" s="1071"/>
      <c r="C21" s="1071" t="str">
        <f>SUP_H2_Production!B35</f>
        <v>SUPH2ALKC2N</v>
      </c>
      <c r="D21" s="1071" t="str">
        <f>SUP_H2_Production!C35</f>
        <v>Alkaline Electrolyzer Cell Centralized</v>
      </c>
      <c r="E21" s="72" t="s">
        <v>25</v>
      </c>
      <c r="F21" s="72" t="s">
        <v>123</v>
      </c>
      <c r="G21" s="1232" t="s">
        <v>313</v>
      </c>
      <c r="H21" s="1006" t="s">
        <v>1314</v>
      </c>
      <c r="I21" s="1006"/>
    </row>
    <row r="22" spans="2:9">
      <c r="B22" s="1071"/>
      <c r="C22" s="1071" t="str">
        <f>SUP_H2_Production!B43</f>
        <v>SUPH2ALKD2N</v>
      </c>
      <c r="D22" s="1071" t="str">
        <f>SUP_H2_Production!C43</f>
        <v>Alkaline Electrolyzer Cell Decentralized</v>
      </c>
      <c r="E22" s="72" t="s">
        <v>25</v>
      </c>
      <c r="F22" s="72" t="s">
        <v>123</v>
      </c>
      <c r="G22" s="1232" t="s">
        <v>313</v>
      </c>
      <c r="H22" s="1006" t="s">
        <v>348</v>
      </c>
      <c r="I22" s="1006"/>
    </row>
    <row r="23" spans="2:9">
      <c r="B23" s="1071"/>
      <c r="C23" s="1071" t="str">
        <f>SUP_H2_Production!B51</f>
        <v>SUPH2ALKR2N</v>
      </c>
      <c r="D23" s="1071" t="str">
        <f>SUP_H2_Production!C51</f>
        <v>Alkaline Electrolyzer Cell Rural</v>
      </c>
      <c r="E23" s="72" t="s">
        <v>25</v>
      </c>
      <c r="F23" s="72" t="s">
        <v>123</v>
      </c>
      <c r="G23" s="1232" t="s">
        <v>313</v>
      </c>
      <c r="H23" s="1006" t="s">
        <v>1314</v>
      </c>
      <c r="I23" s="1006"/>
    </row>
    <row r="24" spans="2:9">
      <c r="B24" s="1071"/>
      <c r="C24" s="1071" t="str">
        <f>SUP_H2_Production!B59</f>
        <v>SUPH2PEMC1N</v>
      </c>
      <c r="D24" s="1071" t="str">
        <f>SUP_H2_Production!C59</f>
        <v>PEM Electrolyzer Cell Centralized</v>
      </c>
      <c r="E24" s="72" t="s">
        <v>25</v>
      </c>
      <c r="F24" s="72" t="s">
        <v>123</v>
      </c>
      <c r="G24" s="1232" t="s">
        <v>313</v>
      </c>
      <c r="H24" s="1006" t="s">
        <v>1314</v>
      </c>
      <c r="I24" s="1006"/>
    </row>
    <row r="25" spans="2:9">
      <c r="B25" s="1071"/>
      <c r="C25" s="1071" t="str">
        <f>SUP_H2_Production!B67</f>
        <v>SUPH2PEMD1N</v>
      </c>
      <c r="D25" s="1071" t="str">
        <f>SUP_H2_Production!C67</f>
        <v>PEM Electrolyzer Cell Decentralized</v>
      </c>
      <c r="E25" s="72" t="s">
        <v>25</v>
      </c>
      <c r="F25" s="72" t="s">
        <v>123</v>
      </c>
      <c r="G25" s="1232" t="s">
        <v>313</v>
      </c>
      <c r="H25" s="1006" t="s">
        <v>348</v>
      </c>
      <c r="I25" s="1006"/>
    </row>
    <row r="26" spans="2:9">
      <c r="B26" s="1071"/>
      <c r="C26" s="1071" t="str">
        <f>SUP_H2_Production!B75</f>
        <v>SUPH2PEMR1N</v>
      </c>
      <c r="D26" s="1071" t="str">
        <f>SUP_H2_Production!C75</f>
        <v>PEM Electrolyzer Cell Rural</v>
      </c>
      <c r="E26" s="72" t="s">
        <v>25</v>
      </c>
      <c r="F26" s="72" t="s">
        <v>123</v>
      </c>
      <c r="G26" s="1232" t="s">
        <v>313</v>
      </c>
      <c r="H26" s="1006" t="s">
        <v>1314</v>
      </c>
      <c r="I26" s="1006"/>
    </row>
    <row r="27" spans="2:9">
      <c r="B27" s="1071"/>
      <c r="C27" s="1071" t="str">
        <f>SUP_H2_Production!B83</f>
        <v>SUPH2PEMC2N</v>
      </c>
      <c r="D27" s="1071" t="str">
        <f>SUP_H2_Production!C83</f>
        <v>PEM Electrolyzer Cell Centralized</v>
      </c>
      <c r="E27" s="72" t="s">
        <v>25</v>
      </c>
      <c r="F27" s="72" t="s">
        <v>123</v>
      </c>
      <c r="G27" s="1232" t="s">
        <v>313</v>
      </c>
      <c r="H27" s="1006" t="s">
        <v>1314</v>
      </c>
      <c r="I27" s="1006"/>
    </row>
    <row r="28" spans="2:9">
      <c r="B28" s="1071"/>
      <c r="C28" s="1071" t="str">
        <f>SUP_H2_Production!B91</f>
        <v>SUPH2PEMD2N</v>
      </c>
      <c r="D28" s="1071" t="str">
        <f>SUP_H2_Production!C91</f>
        <v>PEM Electrolyzer Cell Decentralized</v>
      </c>
      <c r="E28" s="72" t="s">
        <v>25</v>
      </c>
      <c r="F28" s="72" t="s">
        <v>123</v>
      </c>
      <c r="G28" s="1232" t="s">
        <v>313</v>
      </c>
      <c r="H28" s="1006" t="s">
        <v>348</v>
      </c>
      <c r="I28" s="1006"/>
    </row>
    <row r="29" spans="2:9">
      <c r="B29" s="1071"/>
      <c r="C29" s="1071" t="str">
        <f>SUP_H2_Production!B99</f>
        <v>SUPH2PEMR2N</v>
      </c>
      <c r="D29" s="1071" t="str">
        <f>SUP_H2_Production!C99</f>
        <v>PEM Electrolyzer Cell Rural</v>
      </c>
      <c r="E29" s="1071" t="s">
        <v>25</v>
      </c>
      <c r="F29" s="1071" t="s">
        <v>123</v>
      </c>
      <c r="G29" s="1006" t="s">
        <v>313</v>
      </c>
      <c r="H29" s="1006" t="s">
        <v>1314</v>
      </c>
      <c r="I29" s="1006"/>
    </row>
    <row r="30" spans="2:9">
      <c r="B30" s="1071"/>
      <c r="C30" s="1071" t="str">
        <f>SUP_H2_Production!B107</f>
        <v>SUPH2SOEC2N</v>
      </c>
      <c r="D30" s="1071" t="str">
        <f>SUP_H2_Production!C107</f>
        <v>SOEC Electrolyzer Cell Centralized</v>
      </c>
      <c r="E30" s="72" t="s">
        <v>25</v>
      </c>
      <c r="F30" s="72" t="s">
        <v>123</v>
      </c>
      <c r="G30" s="1232" t="s">
        <v>313</v>
      </c>
      <c r="H30" s="1006" t="s">
        <v>1314</v>
      </c>
      <c r="I30" s="1006"/>
    </row>
    <row r="31" spans="2:9">
      <c r="B31" s="1071"/>
      <c r="C31" s="1071" t="str">
        <f>SUP_H2_Production!B115</f>
        <v>SUPH2SOED2N</v>
      </c>
      <c r="D31" s="1071" t="str">
        <f>SUP_H2_Production!C115</f>
        <v>SOEC Electrolyzer Cell Decentralized</v>
      </c>
      <c r="E31" s="72" t="s">
        <v>25</v>
      </c>
      <c r="F31" s="72" t="s">
        <v>123</v>
      </c>
      <c r="G31" s="1232" t="s">
        <v>313</v>
      </c>
      <c r="H31" s="1006" t="s">
        <v>348</v>
      </c>
      <c r="I31" s="1006"/>
    </row>
    <row r="32" spans="2:9">
      <c r="B32" s="1071"/>
      <c r="C32" s="1071" t="str">
        <f>SUP_H2_Production!B123</f>
        <v>SUPH2SOER2N</v>
      </c>
      <c r="D32" s="1071" t="str">
        <f>SUP_H2_Production!C123</f>
        <v>SOEC Electrolyzer Cell Rural</v>
      </c>
      <c r="E32" s="72" t="s">
        <v>25</v>
      </c>
      <c r="F32" s="72" t="s">
        <v>123</v>
      </c>
      <c r="G32" s="1232" t="s">
        <v>313</v>
      </c>
      <c r="H32" s="1006" t="s">
        <v>1314</v>
      </c>
      <c r="I32" s="1006"/>
    </row>
    <row r="33" spans="2:9">
      <c r="B33" s="1071"/>
      <c r="C33" s="1071" t="str">
        <f>SUP_H2_Production!B182</f>
        <v>SUPNGAH21N</v>
      </c>
      <c r="D33" s="1071" t="str">
        <f>SUP_H2_Production!C182</f>
        <v>Steam Reforming NGA Large Central</v>
      </c>
      <c r="E33" s="72" t="s">
        <v>25</v>
      </c>
      <c r="F33" s="72" t="s">
        <v>123</v>
      </c>
      <c r="G33" s="1232" t="s">
        <v>313</v>
      </c>
      <c r="H33" s="1006" t="s">
        <v>1314</v>
      </c>
      <c r="I33" s="1006"/>
    </row>
    <row r="34" spans="2:9">
      <c r="B34" s="1071"/>
      <c r="C34" s="1071" t="str">
        <f>SUP_H2_Production!B185</f>
        <v>SUPNGAH2CC1N</v>
      </c>
      <c r="D34" s="1071" t="str">
        <f>SUP_H2_Production!C185</f>
        <v>Steam Reforming NGA Large Central With Carbon Capture 55 % CO2 capture</v>
      </c>
      <c r="E34" s="72" t="s">
        <v>25</v>
      </c>
      <c r="F34" s="72" t="s">
        <v>123</v>
      </c>
      <c r="G34" s="1232" t="s">
        <v>313</v>
      </c>
      <c r="H34" s="1006" t="s">
        <v>1314</v>
      </c>
      <c r="I34" s="1006"/>
    </row>
    <row r="35" spans="2:9">
      <c r="B35" s="1071"/>
      <c r="C35" s="1071" t="str">
        <f>SUP_H2_Production!B188</f>
        <v>SUPNGAH2CC2N</v>
      </c>
      <c r="D35" s="1071" t="str">
        <f>SUP_H2_Production!C188</f>
        <v>Steam Reforming NGA Large Central With Carbon Capture 1 54 % CO2 capture</v>
      </c>
      <c r="E35" s="72" t="s">
        <v>25</v>
      </c>
      <c r="F35" s="72" t="s">
        <v>123</v>
      </c>
      <c r="G35" s="1232" t="s">
        <v>313</v>
      </c>
      <c r="H35" s="1006" t="s">
        <v>1314</v>
      </c>
      <c r="I35" s="1006"/>
    </row>
    <row r="36" spans="2:9">
      <c r="B36" s="222"/>
      <c r="C36" s="222" t="str">
        <f>SUP_H2_Production!B191</f>
        <v>SUPNGAH2CC3N</v>
      </c>
      <c r="D36" s="222" t="str">
        <f>SUP_H2_Production!C191</f>
        <v>Steam Reforming NGA Large Central With Carbon Capture 1 90 % CO2 capture</v>
      </c>
      <c r="E36" s="222" t="s">
        <v>25</v>
      </c>
      <c r="F36" s="222" t="s">
        <v>123</v>
      </c>
      <c r="G36" s="70" t="s">
        <v>313</v>
      </c>
      <c r="H36" s="70" t="s">
        <v>1314</v>
      </c>
      <c r="I36" s="70"/>
    </row>
    <row r="37" spans="2:9">
      <c r="B37" s="1071"/>
      <c r="C37" s="1071" t="s">
        <v>326</v>
      </c>
      <c r="D37" s="1071" t="s">
        <v>1727</v>
      </c>
      <c r="E37" s="1071" t="s">
        <v>25</v>
      </c>
      <c r="F37" s="1071" t="s">
        <v>314</v>
      </c>
      <c r="G37" s="1006" t="s">
        <v>313</v>
      </c>
      <c r="H37" s="1006" t="s">
        <v>315</v>
      </c>
      <c r="I37" s="1006"/>
    </row>
    <row r="38" spans="2:9">
      <c r="B38" s="1071"/>
      <c r="C38" s="1071" t="s">
        <v>1725</v>
      </c>
      <c r="D38" s="1071" t="s">
        <v>1728</v>
      </c>
      <c r="E38" s="1071" t="s">
        <v>25</v>
      </c>
      <c r="F38" s="1071" t="s">
        <v>314</v>
      </c>
      <c r="G38" s="1006" t="s">
        <v>313</v>
      </c>
      <c r="H38" s="1006" t="s">
        <v>315</v>
      </c>
      <c r="I38" s="1006"/>
    </row>
    <row r="39" spans="2:9">
      <c r="B39" s="222"/>
      <c r="C39" s="222" t="s">
        <v>1726</v>
      </c>
      <c r="D39" s="222" t="s">
        <v>1729</v>
      </c>
      <c r="E39" s="222" t="s">
        <v>25</v>
      </c>
      <c r="F39" s="222" t="s">
        <v>314</v>
      </c>
      <c r="G39" s="70" t="s">
        <v>313</v>
      </c>
      <c r="H39" s="70" t="s">
        <v>315</v>
      </c>
      <c r="I39" s="70"/>
    </row>
    <row r="40" spans="2:9">
      <c r="B40" s="1071"/>
      <c r="C40" s="1006" t="str">
        <f>SUP_DEA_ELECTRO!B11</f>
        <v>SUPMOECO2C1</v>
      </c>
      <c r="D40" s="1006" t="str">
        <f>SUP_DEA_ELECTRO!C11</f>
        <v>Power to Methanol Central</v>
      </c>
      <c r="E40" s="1051" t="s">
        <v>25</v>
      </c>
      <c r="F40" s="1051" t="s">
        <v>123</v>
      </c>
      <c r="G40" s="72" t="s">
        <v>313</v>
      </c>
      <c r="H40" s="1006" t="s">
        <v>268</v>
      </c>
      <c r="I40" s="1006"/>
    </row>
    <row r="41" spans="2:9">
      <c r="B41" s="1071"/>
      <c r="C41" s="1006" t="str">
        <f>SUP_DEA_ELECTRO!B31</f>
        <v>SUPKRECO2C1</v>
      </c>
      <c r="D41" s="1006" t="str">
        <f>SUP_DEA_ELECTRO!C31</f>
        <v>Hydrogen to Jet Fuel Central</v>
      </c>
      <c r="E41" s="1051" t="s">
        <v>25</v>
      </c>
      <c r="F41" s="1051" t="s">
        <v>123</v>
      </c>
      <c r="G41" s="72" t="s">
        <v>313</v>
      </c>
      <c r="H41" s="1006" t="s">
        <v>223</v>
      </c>
      <c r="I41" s="1006"/>
    </row>
    <row r="42" spans="2:9">
      <c r="B42" s="222"/>
      <c r="C42" s="70" t="str">
        <f>SUP_DEA_ELECTRO!B47</f>
        <v>SUPKRECO2C2</v>
      </c>
      <c r="D42" s="70" t="str">
        <f>SUP_DEA_ELECTRO!C47</f>
        <v>Power to Jet Fuel Central</v>
      </c>
      <c r="E42" s="70" t="s">
        <v>25</v>
      </c>
      <c r="F42" s="70" t="s">
        <v>123</v>
      </c>
      <c r="G42" s="222" t="s">
        <v>313</v>
      </c>
      <c r="H42" s="70" t="s">
        <v>223</v>
      </c>
      <c r="I42" s="1006"/>
    </row>
    <row r="43" spans="2:9">
      <c r="C43" s="69" t="str">
        <f>SUP_Biofuels!C10</f>
        <v>SUPDSB2WCHC3</v>
      </c>
      <c r="D43" s="1233" t="str">
        <f>SUP_Biofuels!D10</f>
        <v>Gasifier, biomass, Fischer Tropsch liquid fuels, large scale Central</v>
      </c>
      <c r="E43" s="69" t="s">
        <v>25</v>
      </c>
      <c r="F43" s="69" t="s">
        <v>123</v>
      </c>
      <c r="G43" s="69"/>
      <c r="H43" s="69" t="s">
        <v>86</v>
      </c>
      <c r="I43" s="69"/>
    </row>
    <row r="44" spans="2:9">
      <c r="B44" s="69"/>
      <c r="C44" s="69" t="str">
        <f>SUP_Biofuels!C30</f>
        <v>SUPMOB2WCHC1</v>
      </c>
      <c r="D44" s="1233" t="str">
        <f>SUP_Biofuels!D30</f>
        <v>Bio Methanol Central</v>
      </c>
      <c r="E44" s="69" t="s">
        <v>25</v>
      </c>
      <c r="F44" s="69" t="s">
        <v>123</v>
      </c>
      <c r="G44" s="69"/>
      <c r="H44" s="69" t="s">
        <v>69</v>
      </c>
      <c r="I44" s="69"/>
    </row>
    <row r="45" spans="2:9">
      <c r="B45" s="69"/>
      <c r="C45" s="69" t="str">
        <f>SUP_Biofuels!C42</f>
        <v>SUPDSB1RPSC1</v>
      </c>
      <c r="D45" s="1233" t="str">
        <f>SUP_Biofuels!D42</f>
        <v>Vegetable Oil FAME Central</v>
      </c>
      <c r="E45" s="69" t="s">
        <v>25</v>
      </c>
      <c r="F45" s="69" t="s">
        <v>123</v>
      </c>
      <c r="G45" s="69"/>
      <c r="H45" s="69" t="s">
        <v>73</v>
      </c>
      <c r="I45" s="69"/>
    </row>
    <row r="46" spans="2:9">
      <c r="B46" s="69"/>
      <c r="C46" s="69" t="str">
        <f>SUP_Biofuels!C67</f>
        <v>SUPDSB1CRBC1</v>
      </c>
      <c r="D46" s="1233" t="str">
        <f>SUP_Biofuels!D67</f>
        <v>Vegetable Oil FAME Central</v>
      </c>
      <c r="E46" s="69" t="s">
        <v>25</v>
      </c>
      <c r="F46" s="69" t="s">
        <v>123</v>
      </c>
      <c r="G46" s="69"/>
      <c r="H46" s="1233" t="s">
        <v>73</v>
      </c>
      <c r="I46" s="69"/>
    </row>
    <row r="47" spans="2:9">
      <c r="B47" s="69"/>
      <c r="C47" s="69" t="str">
        <f>SUP_Biofuels!C92</f>
        <v>SUPDSB1RPSC2</v>
      </c>
      <c r="D47" s="1233" t="str">
        <f>SUP_Biofuels!D92</f>
        <v>UCO and Animal Fat FAME Central</v>
      </c>
      <c r="E47" s="69" t="s">
        <v>25</v>
      </c>
      <c r="F47" s="69" t="s">
        <v>123</v>
      </c>
      <c r="G47" s="69"/>
      <c r="H47" s="1233" t="s">
        <v>73</v>
      </c>
      <c r="I47" s="69"/>
    </row>
    <row r="48" spans="2:9">
      <c r="B48" s="69"/>
      <c r="C48" s="69" t="str">
        <f>SUP_Biofuels!C117</f>
        <v>SUPDSB1RPSC3</v>
      </c>
      <c r="D48" s="1233" t="str">
        <f>SUP_Biofuels!D117</f>
        <v>HVO / renwable diesel Central</v>
      </c>
      <c r="E48" s="69" t="s">
        <v>25</v>
      </c>
      <c r="F48" s="69" t="s">
        <v>123</v>
      </c>
      <c r="G48" s="69"/>
      <c r="H48" s="1233" t="s">
        <v>73</v>
      </c>
      <c r="I48" s="69"/>
    </row>
    <row r="49" spans="2:9">
      <c r="B49" s="69"/>
      <c r="C49" s="69" t="str">
        <f>SUP_Biofuels!C157</f>
        <v>SUPDSB1CRBC3</v>
      </c>
      <c r="D49" s="1233" t="str">
        <f>SUP_Biofuels!D157</f>
        <v>HVO / renwable diesel Central</v>
      </c>
      <c r="E49" s="69" t="s">
        <v>25</v>
      </c>
      <c r="F49" s="69" t="s">
        <v>123</v>
      </c>
      <c r="G49" s="69"/>
      <c r="H49" s="1233" t="s">
        <v>73</v>
      </c>
      <c r="I49" s="69"/>
    </row>
    <row r="50" spans="2:9">
      <c r="B50" s="69"/>
      <c r="C50" s="69" t="str">
        <f>SUP_Biofuels!C197</f>
        <v>SUPKRB1RPSC1</v>
      </c>
      <c r="D50" s="1233" t="str">
        <f>SUP_Biofuels!D197</f>
        <v>HVO Jet Fuel Central</v>
      </c>
      <c r="E50" s="69" t="s">
        <v>25</v>
      </c>
      <c r="F50" s="69" t="s">
        <v>123</v>
      </c>
      <c r="G50" s="69"/>
      <c r="H50" s="69" t="s">
        <v>79</v>
      </c>
      <c r="I50" s="69"/>
    </row>
    <row r="51" spans="2:9">
      <c r="B51" s="69"/>
      <c r="C51" s="69" t="str">
        <f>SUP_Biofuels!C237</f>
        <v>SUPKRB1CRBC1</v>
      </c>
      <c r="D51" s="1233" t="str">
        <f>SUP_Biofuels!D237</f>
        <v>HVO Jet Fuel Central</v>
      </c>
      <c r="E51" s="69" t="s">
        <v>25</v>
      </c>
      <c r="F51" s="69" t="s">
        <v>123</v>
      </c>
      <c r="G51" s="69"/>
      <c r="H51" s="1233" t="s">
        <v>79</v>
      </c>
      <c r="I51" s="69"/>
    </row>
    <row r="52" spans="2:9">
      <c r="B52" s="69"/>
      <c r="C52" s="69" t="str">
        <f>SUP_Biofuels!C277</f>
        <v>SUPGSB1CRNC1</v>
      </c>
      <c r="D52" s="1233" t="str">
        <f>SUP_Biofuels!D277</f>
        <v>1st Generation Ethanol Central</v>
      </c>
      <c r="E52" s="69" t="s">
        <v>25</v>
      </c>
      <c r="F52" s="69" t="s">
        <v>123</v>
      </c>
      <c r="G52" s="69"/>
      <c r="H52" s="69" t="s">
        <v>81</v>
      </c>
      <c r="I52" s="69"/>
    </row>
    <row r="53" spans="2:9">
      <c r="B53" s="1006"/>
      <c r="C53" s="1006" t="str">
        <f>SUP_Biofuels!C297</f>
        <v>SUPCRBCRND1</v>
      </c>
      <c r="D53" s="1006" t="str">
        <f>SUP_Biofuels!D297</f>
        <v>Fast Pyrolysis Bio Oil</v>
      </c>
      <c r="E53" s="1006" t="s">
        <v>25</v>
      </c>
      <c r="F53" s="1006" t="s">
        <v>123</v>
      </c>
      <c r="G53" s="1006"/>
      <c r="H53" s="1233" t="s">
        <v>1762</v>
      </c>
      <c r="I53" s="1006"/>
    </row>
    <row r="54" spans="2:9">
      <c r="B54" s="1006"/>
      <c r="C54" s="1006" t="str">
        <f>SUP_Biofuels!C317</f>
        <v>SUPGSB1STRC1</v>
      </c>
      <c r="D54" s="1006" t="str">
        <f>SUP_Biofuels!D317</f>
        <v>Cellulosic Ethanol Central</v>
      </c>
      <c r="E54" s="1006" t="s">
        <v>25</v>
      </c>
      <c r="F54" s="1006" t="s">
        <v>123</v>
      </c>
      <c r="G54" s="1006"/>
      <c r="H54" s="1006" t="s">
        <v>81</v>
      </c>
      <c r="I54" s="1006"/>
    </row>
    <row r="55" spans="2:9">
      <c r="B55" s="1006"/>
      <c r="C55" s="1006" t="str">
        <f>SUP_Biofuels!C327</f>
        <v>SUPCRBWCHC1</v>
      </c>
      <c r="D55" s="1006" t="str">
        <f>SUP_Biofuels!D327</f>
        <v>Bio Oil Central</v>
      </c>
      <c r="E55" s="1006" t="s">
        <v>25</v>
      </c>
      <c r="F55" s="1006" t="s">
        <v>123</v>
      </c>
      <c r="G55" s="1006"/>
      <c r="H55" s="1006" t="s">
        <v>1762</v>
      </c>
      <c r="I55" s="1006"/>
    </row>
    <row r="56" spans="2:9">
      <c r="B56" s="1006"/>
      <c r="C56" s="1006" t="str">
        <f>SUP_Biofuels!C335</f>
        <v>SUPGSB2WCHC2</v>
      </c>
      <c r="D56" s="1006" t="str">
        <f>SUP_Biofuels!D335</f>
        <v>Catalytic Hydropyrolysis conf. 2 Central</v>
      </c>
      <c r="E56" s="1006" t="s">
        <v>25</v>
      </c>
      <c r="F56" s="1006" t="s">
        <v>123</v>
      </c>
      <c r="G56" s="1006"/>
      <c r="H56" s="1006" t="s">
        <v>85</v>
      </c>
      <c r="I56" s="1006"/>
    </row>
    <row r="57" spans="2:9">
      <c r="B57" s="70"/>
      <c r="C57" s="70" t="str">
        <f>SUP_Biofuels!C347</f>
        <v>SUPCRBWCHC1</v>
      </c>
      <c r="D57" s="70" t="str">
        <f>SUP_Biofuels!D347</f>
        <v>Catalytic Hydroprocessing conf. 1 with biochar production  Central</v>
      </c>
      <c r="E57" s="70" t="s">
        <v>25</v>
      </c>
      <c r="F57" s="70" t="s">
        <v>123</v>
      </c>
      <c r="G57" s="70"/>
      <c r="H57" s="70" t="s">
        <v>1762</v>
      </c>
      <c r="I57" s="1006"/>
    </row>
    <row r="58" spans="2:9">
      <c r="B58" s="69"/>
      <c r="C58" s="69" t="s">
        <v>377</v>
      </c>
      <c r="D58" s="69" t="s">
        <v>378</v>
      </c>
      <c r="E58" s="69" t="s">
        <v>25</v>
      </c>
      <c r="F58" s="69" t="s">
        <v>123</v>
      </c>
      <c r="G58" s="69"/>
      <c r="H58" s="69" t="s">
        <v>380</v>
      </c>
      <c r="I58" s="69"/>
    </row>
    <row r="59" spans="2:9">
      <c r="B59" s="69"/>
      <c r="C59" s="69" t="s">
        <v>390</v>
      </c>
      <c r="D59" s="69" t="s">
        <v>391</v>
      </c>
      <c r="E59" s="69" t="s">
        <v>25</v>
      </c>
      <c r="F59" s="69" t="s">
        <v>123</v>
      </c>
      <c r="G59" s="69"/>
      <c r="H59" s="69" t="s">
        <v>380</v>
      </c>
      <c r="I59" s="69"/>
    </row>
    <row r="60" spans="2:9">
      <c r="B60" s="69"/>
      <c r="C60" s="69" t="s">
        <v>415</v>
      </c>
      <c r="D60" s="69" t="s">
        <v>416</v>
      </c>
      <c r="E60" s="69" t="s">
        <v>25</v>
      </c>
      <c r="F60" s="69" t="s">
        <v>123</v>
      </c>
      <c r="G60" s="69"/>
      <c r="H60" s="69" t="s">
        <v>88</v>
      </c>
      <c r="I60" s="69"/>
    </row>
    <row r="61" spans="2:9">
      <c r="B61" s="69"/>
      <c r="C61" s="69" t="s">
        <v>417</v>
      </c>
      <c r="D61" s="69" t="s">
        <v>418</v>
      </c>
      <c r="E61" s="69" t="s">
        <v>25</v>
      </c>
      <c r="F61" s="69" t="s">
        <v>123</v>
      </c>
      <c r="G61" s="69"/>
      <c r="H61" s="69" t="s">
        <v>88</v>
      </c>
      <c r="I61" s="69"/>
    </row>
    <row r="62" spans="2:9">
      <c r="B62" s="69"/>
      <c r="C62" s="69" t="s">
        <v>1310</v>
      </c>
      <c r="D62" s="69" t="s">
        <v>429</v>
      </c>
      <c r="E62" s="69" t="s">
        <v>25</v>
      </c>
      <c r="F62" s="69" t="s">
        <v>123</v>
      </c>
      <c r="G62" s="69"/>
      <c r="H62" s="69" t="s">
        <v>431</v>
      </c>
      <c r="I62" s="69"/>
    </row>
    <row r="63" spans="2:9">
      <c r="B63" s="69"/>
      <c r="C63" s="69" t="s">
        <v>1311</v>
      </c>
      <c r="D63" s="69" t="s">
        <v>442</v>
      </c>
      <c r="E63" s="69" t="s">
        <v>25</v>
      </c>
      <c r="F63" s="69" t="s">
        <v>123</v>
      </c>
      <c r="G63" s="69"/>
      <c r="H63" s="69" t="s">
        <v>431</v>
      </c>
      <c r="I63" s="69"/>
    </row>
    <row r="64" spans="2:9">
      <c r="B64" s="69"/>
      <c r="C64" s="69" t="s">
        <v>1312</v>
      </c>
      <c r="D64" s="69" t="s">
        <v>443</v>
      </c>
      <c r="E64" s="69" t="s">
        <v>25</v>
      </c>
      <c r="F64" s="69" t="s">
        <v>123</v>
      </c>
      <c r="G64" s="69"/>
      <c r="H64" s="69" t="s">
        <v>431</v>
      </c>
      <c r="I64" s="69"/>
    </row>
    <row r="65" spans="2:9">
      <c r="B65" s="69"/>
      <c r="C65" s="69" t="s">
        <v>1313</v>
      </c>
      <c r="D65" s="69" t="s">
        <v>444</v>
      </c>
      <c r="E65" s="69" t="s">
        <v>25</v>
      </c>
      <c r="F65" s="69" t="s">
        <v>123</v>
      </c>
      <c r="G65" s="69"/>
      <c r="H65" s="69" t="s">
        <v>431</v>
      </c>
      <c r="I65" s="69"/>
    </row>
    <row r="66" spans="2:9">
      <c r="B66" s="70" t="s">
        <v>42</v>
      </c>
      <c r="C66" s="70" t="s">
        <v>446</v>
      </c>
      <c r="D66" s="70" t="s">
        <v>447</v>
      </c>
      <c r="E66" s="70" t="s">
        <v>25</v>
      </c>
      <c r="F66" s="70" t="s">
        <v>123</v>
      </c>
      <c r="G66" s="70"/>
      <c r="H66" s="70" t="s">
        <v>431</v>
      </c>
      <c r="I66" s="70"/>
    </row>
    <row r="67" spans="2:9">
      <c r="B67" s="69"/>
      <c r="C67" s="69" t="s">
        <v>1302</v>
      </c>
      <c r="D67" s="69" t="s">
        <v>1301</v>
      </c>
      <c r="E67" s="69" t="s">
        <v>25</v>
      </c>
      <c r="F67" s="69" t="s">
        <v>314</v>
      </c>
      <c r="G67" s="69"/>
      <c r="H67" s="69"/>
      <c r="I67" s="69"/>
    </row>
    <row r="68" spans="2:9">
      <c r="B68" s="70"/>
      <c r="C68" s="70" t="s">
        <v>1300</v>
      </c>
      <c r="D68" s="70" t="s">
        <v>1299</v>
      </c>
      <c r="E68" s="70" t="s">
        <v>25</v>
      </c>
      <c r="F68" s="70" t="s">
        <v>314</v>
      </c>
      <c r="G68" s="70"/>
      <c r="H68" s="70"/>
      <c r="I68" s="70"/>
    </row>
    <row r="69" spans="2:9">
      <c r="B69" s="69" t="s">
        <v>309</v>
      </c>
      <c r="C69" s="69" t="s">
        <v>154</v>
      </c>
      <c r="D69" s="69" t="s">
        <v>310</v>
      </c>
      <c r="E69" s="69" t="s">
        <v>311</v>
      </c>
      <c r="F69" s="69" t="s">
        <v>312</v>
      </c>
      <c r="G69" s="69"/>
      <c r="H69" s="69" t="s">
        <v>153</v>
      </c>
      <c r="I69" s="69"/>
    </row>
    <row r="70" spans="2:9">
      <c r="E70" s="1117"/>
      <c r="F70" s="1117"/>
      <c r="H70" s="1117"/>
    </row>
    <row r="71" spans="2:9">
      <c r="E71" s="1117"/>
      <c r="F71" s="1117"/>
      <c r="H71" s="1117"/>
    </row>
    <row r="72" spans="2:9">
      <c r="E72" s="1117"/>
      <c r="F72" s="1117"/>
      <c r="H72" s="1117"/>
    </row>
    <row r="73" spans="2:9">
      <c r="E73" s="1117"/>
      <c r="F73" s="1117"/>
      <c r="H73" s="111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F962-600E-41E2-8799-A329452A3EBD}">
  <sheetPr>
    <tabColor theme="3" tint="0.39997558519241921"/>
  </sheetPr>
  <dimension ref="A1:AV101"/>
  <sheetViews>
    <sheetView zoomScale="80" zoomScaleNormal="80" workbookViewId="0">
      <selection activeCell="K34" sqref="K34"/>
    </sheetView>
  </sheetViews>
  <sheetFormatPr defaultRowHeight="14.4"/>
  <cols>
    <col min="1" max="1" width="9.88671875" customWidth="1"/>
    <col min="2" max="2" width="24.88671875" customWidth="1"/>
    <col min="3" max="3" width="55.33203125" bestFit="1" customWidth="1"/>
    <col min="8" max="8" width="6.33203125" bestFit="1" customWidth="1"/>
    <col min="9" max="9" width="7.109375" bestFit="1" customWidth="1"/>
    <col min="10" max="10" width="14.109375" bestFit="1" customWidth="1"/>
    <col min="14" max="14" width="12.88671875" customWidth="1"/>
    <col min="17" max="17" width="16.33203125" customWidth="1"/>
    <col min="18" max="18" width="15" bestFit="1" customWidth="1"/>
    <col min="19" max="19" width="13.6640625" customWidth="1"/>
  </cols>
  <sheetData>
    <row r="1" spans="2:48" ht="15" thickBot="1">
      <c r="M1" s="123" t="s">
        <v>190</v>
      </c>
      <c r="N1" s="122">
        <v>7.45</v>
      </c>
    </row>
    <row r="2" spans="2:48">
      <c r="B2" s="69"/>
      <c r="C2" s="69"/>
      <c r="D2" s="69"/>
      <c r="E2" s="121"/>
      <c r="F2" s="121"/>
      <c r="G2" s="121"/>
      <c r="H2" s="121" t="s">
        <v>0</v>
      </c>
      <c r="I2" s="121"/>
      <c r="J2" s="121"/>
      <c r="K2" s="121"/>
      <c r="L2" s="69"/>
      <c r="M2" s="69"/>
      <c r="N2" s="69"/>
      <c r="O2" s="69"/>
      <c r="P2" s="69"/>
      <c r="Q2" s="69"/>
      <c r="R2" s="69"/>
    </row>
    <row r="3" spans="2:48" ht="14.4" customHeight="1">
      <c r="B3" s="120" t="s">
        <v>2</v>
      </c>
      <c r="C3" s="120" t="s">
        <v>11</v>
      </c>
      <c r="D3" s="119" t="s">
        <v>32</v>
      </c>
      <c r="E3" s="119" t="s">
        <v>189</v>
      </c>
      <c r="F3" s="119" t="s">
        <v>3</v>
      </c>
      <c r="G3" s="119" t="s">
        <v>158</v>
      </c>
      <c r="H3" s="119" t="s">
        <v>34</v>
      </c>
      <c r="I3" s="119" t="s">
        <v>4</v>
      </c>
      <c r="J3" s="119" t="s">
        <v>188</v>
      </c>
      <c r="K3" s="119" t="s">
        <v>187</v>
      </c>
      <c r="L3" s="118" t="s">
        <v>186</v>
      </c>
      <c r="M3" s="118" t="s">
        <v>185</v>
      </c>
      <c r="N3" s="118" t="s">
        <v>9</v>
      </c>
      <c r="O3" s="118" t="s">
        <v>6</v>
      </c>
      <c r="P3" s="118" t="s">
        <v>7</v>
      </c>
      <c r="Q3" s="118" t="s">
        <v>8</v>
      </c>
      <c r="R3" s="117" t="s">
        <v>39</v>
      </c>
      <c r="S3" s="116" t="s">
        <v>41</v>
      </c>
      <c r="AD3" s="69"/>
      <c r="AE3" s="69"/>
      <c r="AF3" s="69"/>
      <c r="AG3" s="69"/>
      <c r="AH3" s="69"/>
      <c r="AI3" s="69"/>
      <c r="AJ3" s="69"/>
      <c r="AK3" s="69"/>
      <c r="AL3" s="69"/>
      <c r="AM3" s="69"/>
      <c r="AN3" s="69"/>
      <c r="AO3" s="69"/>
      <c r="AP3" s="69"/>
      <c r="AQ3" s="69"/>
      <c r="AR3" s="69"/>
      <c r="AS3" s="69"/>
      <c r="AT3" s="69"/>
      <c r="AU3" s="69"/>
      <c r="AV3" s="69"/>
    </row>
    <row r="4" spans="2:48" ht="27" customHeight="1">
      <c r="B4" s="115" t="s">
        <v>184</v>
      </c>
      <c r="C4" s="115" t="s">
        <v>19</v>
      </c>
      <c r="D4" s="115" t="s">
        <v>183</v>
      </c>
      <c r="E4" s="115" t="s">
        <v>182</v>
      </c>
      <c r="F4" s="115" t="s">
        <v>181</v>
      </c>
      <c r="G4" s="115"/>
      <c r="H4" s="115"/>
      <c r="I4" s="115"/>
      <c r="J4" s="115" t="s">
        <v>180</v>
      </c>
      <c r="K4" s="115" t="s">
        <v>179</v>
      </c>
      <c r="L4" s="115" t="s">
        <v>178</v>
      </c>
      <c r="M4" s="115" t="s">
        <v>177</v>
      </c>
      <c r="N4" s="115" t="s">
        <v>176</v>
      </c>
      <c r="O4" s="115" t="s">
        <v>175</v>
      </c>
      <c r="P4" s="115" t="s">
        <v>174</v>
      </c>
      <c r="Q4" s="115" t="s">
        <v>173</v>
      </c>
      <c r="R4" s="114" t="s">
        <v>67</v>
      </c>
      <c r="S4" s="113"/>
      <c r="W4">
        <v>180962.72167933406</v>
      </c>
      <c r="X4">
        <v>21715526.601520088</v>
      </c>
      <c r="AD4" s="69"/>
      <c r="AE4" s="69"/>
      <c r="AF4" s="69"/>
      <c r="AG4" s="69"/>
      <c r="AH4" s="69"/>
      <c r="AI4" s="69"/>
      <c r="AJ4" s="69"/>
      <c r="AK4" s="69"/>
      <c r="AL4" s="69"/>
      <c r="AM4" s="69"/>
      <c r="AN4" s="69"/>
      <c r="AO4" s="69"/>
      <c r="AP4" s="69"/>
      <c r="AQ4" s="69"/>
      <c r="AR4" s="69"/>
      <c r="AS4" s="69"/>
      <c r="AT4" s="69"/>
      <c r="AU4" s="69"/>
      <c r="AV4" s="69"/>
    </row>
    <row r="5" spans="2:48" ht="15" customHeight="1" thickBot="1">
      <c r="B5" s="112" t="s">
        <v>172</v>
      </c>
      <c r="C5" s="111"/>
      <c r="D5" s="111"/>
      <c r="E5" s="111"/>
      <c r="F5" s="111"/>
      <c r="G5" s="111"/>
      <c r="H5" s="111"/>
      <c r="I5" s="111"/>
      <c r="J5" s="111" t="s">
        <v>171</v>
      </c>
      <c r="K5" s="111" t="s">
        <v>170</v>
      </c>
      <c r="L5" s="111"/>
      <c r="M5" s="111" t="s">
        <v>62</v>
      </c>
      <c r="N5" s="111" t="s">
        <v>169</v>
      </c>
      <c r="O5" s="110" t="s">
        <v>168</v>
      </c>
      <c r="P5" s="110" t="s">
        <v>167</v>
      </c>
      <c r="Q5" s="110" t="s">
        <v>166</v>
      </c>
      <c r="R5" s="110" t="s">
        <v>165</v>
      </c>
      <c r="S5" s="109"/>
      <c r="AD5" s="69"/>
      <c r="AE5" s="69"/>
      <c r="AF5" s="69"/>
      <c r="AG5" s="69"/>
      <c r="AH5" s="69"/>
      <c r="AI5" s="69"/>
      <c r="AJ5" s="69"/>
      <c r="AK5" s="69"/>
      <c r="AL5" s="69"/>
      <c r="AM5" s="69"/>
      <c r="AN5" s="69"/>
      <c r="AO5" s="69"/>
      <c r="AP5" s="69"/>
      <c r="AQ5" s="69"/>
      <c r="AR5" s="69"/>
      <c r="AS5" s="69"/>
      <c r="AT5" s="69"/>
      <c r="AU5" s="69"/>
      <c r="AV5" s="69"/>
    </row>
    <row r="6" spans="2:48">
      <c r="B6" s="69" t="s">
        <v>301</v>
      </c>
      <c r="C6" s="69" t="s">
        <v>164</v>
      </c>
      <c r="D6" s="69" t="s">
        <v>163</v>
      </c>
      <c r="E6" s="69"/>
      <c r="F6" s="69" t="s">
        <v>161</v>
      </c>
      <c r="G6" s="69">
        <v>2020</v>
      </c>
      <c r="H6" s="69" t="s">
        <v>70</v>
      </c>
      <c r="I6" s="69">
        <v>2020</v>
      </c>
      <c r="J6" s="69"/>
      <c r="K6" s="69">
        <v>0.9</v>
      </c>
      <c r="L6" s="69">
        <v>0.95</v>
      </c>
      <c r="M6" s="69">
        <v>30</v>
      </c>
      <c r="N6" s="69">
        <v>1</v>
      </c>
      <c r="O6" s="69"/>
      <c r="P6" s="69"/>
      <c r="Q6" s="69">
        <v>0.1341</v>
      </c>
      <c r="R6" s="69">
        <v>2</v>
      </c>
      <c r="S6" t="s">
        <v>162</v>
      </c>
      <c r="AD6" s="69"/>
      <c r="AE6" s="69"/>
      <c r="AF6" s="69"/>
      <c r="AG6" s="69"/>
      <c r="AH6" s="69"/>
      <c r="AI6" s="69"/>
      <c r="AJ6" s="69"/>
      <c r="AK6" s="69"/>
      <c r="AL6" s="69"/>
      <c r="AM6" s="69"/>
      <c r="AN6" s="69"/>
      <c r="AO6" s="69"/>
      <c r="AP6" s="69"/>
      <c r="AQ6" s="69"/>
      <c r="AR6" s="69"/>
      <c r="AS6" s="69"/>
      <c r="AT6" s="69"/>
      <c r="AU6" s="69"/>
      <c r="AV6" s="69"/>
    </row>
    <row r="7" spans="2:48" ht="15" thickBot="1">
      <c r="B7" s="108"/>
      <c r="C7" s="108"/>
      <c r="D7" s="1073" t="s">
        <v>163</v>
      </c>
      <c r="E7" s="1073"/>
      <c r="F7" s="1073" t="s">
        <v>161</v>
      </c>
      <c r="G7" s="107">
        <v>2030</v>
      </c>
      <c r="H7" s="107" t="s">
        <v>70</v>
      </c>
      <c r="I7" s="107"/>
      <c r="J7" s="107"/>
      <c r="K7" s="107"/>
      <c r="L7" s="107"/>
      <c r="M7" s="107"/>
      <c r="N7" s="107"/>
      <c r="O7" s="107"/>
      <c r="P7" s="107"/>
      <c r="Q7" s="107">
        <v>0.11175</v>
      </c>
      <c r="R7" s="107">
        <v>2</v>
      </c>
      <c r="S7" s="55"/>
      <c r="AD7" s="69"/>
      <c r="AE7" s="69"/>
      <c r="AF7" s="69"/>
      <c r="AG7" s="69"/>
      <c r="AH7" s="69"/>
      <c r="AI7" s="69"/>
      <c r="AJ7" s="69"/>
      <c r="AK7" s="69"/>
      <c r="AL7" s="69"/>
      <c r="AM7" s="69"/>
      <c r="AN7" s="69"/>
      <c r="AO7" s="69"/>
      <c r="AP7" s="69"/>
      <c r="AQ7" s="69"/>
      <c r="AR7" s="69"/>
      <c r="AS7" s="69"/>
      <c r="AT7" s="69"/>
      <c r="AU7" s="69"/>
      <c r="AV7" s="69"/>
    </row>
    <row r="8" spans="2:48">
      <c r="B8" s="1009"/>
      <c r="C8" s="1009"/>
      <c r="D8" s="1006"/>
      <c r="E8" s="1006"/>
      <c r="F8" s="1006"/>
      <c r="G8" s="1006"/>
      <c r="H8" s="1006"/>
      <c r="I8" s="1006"/>
      <c r="J8" s="1006"/>
      <c r="K8" s="1006"/>
      <c r="L8" s="1006"/>
      <c r="M8" s="1006"/>
      <c r="N8" s="1006"/>
      <c r="O8" s="1006"/>
      <c r="P8" s="1006"/>
      <c r="Q8" s="1006"/>
      <c r="R8" s="1006"/>
      <c r="S8" s="1007"/>
      <c r="AD8" s="1008"/>
      <c r="AE8" s="1008"/>
      <c r="AF8" s="1008"/>
      <c r="AG8" s="1008"/>
      <c r="AH8" s="1008"/>
      <c r="AI8" s="1008"/>
      <c r="AJ8" s="1008"/>
      <c r="AK8" s="1008"/>
      <c r="AL8" s="1008"/>
      <c r="AM8" s="1008"/>
      <c r="AN8" s="1008"/>
      <c r="AO8" s="1008"/>
      <c r="AP8" s="1008"/>
      <c r="AQ8" s="1008"/>
      <c r="AR8" s="1008"/>
      <c r="AS8" s="1008"/>
      <c r="AT8" s="1008"/>
      <c r="AU8" s="1008"/>
      <c r="AV8" s="1008"/>
    </row>
    <row r="9" spans="2:48">
      <c r="E9" s="69"/>
      <c r="F9" s="69"/>
      <c r="G9" s="69"/>
      <c r="H9" s="69"/>
      <c r="I9" s="69"/>
      <c r="J9" s="69"/>
      <c r="K9" s="69"/>
      <c r="L9" s="69"/>
      <c r="M9" s="69"/>
      <c r="N9" s="69"/>
      <c r="O9" s="69"/>
      <c r="P9" s="69"/>
      <c r="Q9" s="69"/>
      <c r="AD9" s="69"/>
      <c r="AE9" s="69"/>
      <c r="AF9" s="69"/>
      <c r="AG9" s="69"/>
      <c r="AH9" s="69"/>
      <c r="AI9" s="69"/>
      <c r="AJ9" s="69"/>
      <c r="AK9" s="69"/>
      <c r="AL9" s="75"/>
      <c r="AN9" s="69"/>
      <c r="AO9" s="69"/>
      <c r="AP9" s="69"/>
      <c r="AS9" s="69"/>
      <c r="AT9" s="69"/>
      <c r="AU9" s="69"/>
    </row>
    <row r="10" spans="2:48">
      <c r="E10" s="69"/>
      <c r="F10" s="69"/>
      <c r="G10" s="69"/>
      <c r="H10" s="69"/>
      <c r="I10" s="69"/>
      <c r="J10" s="69"/>
      <c r="K10" s="69"/>
      <c r="L10" s="69"/>
      <c r="M10" s="69"/>
      <c r="N10" s="69"/>
      <c r="O10" s="69"/>
      <c r="P10" s="69"/>
      <c r="Q10" s="69"/>
      <c r="AD10" s="69"/>
      <c r="AE10" s="69"/>
      <c r="AF10" s="69"/>
      <c r="AG10" s="69"/>
      <c r="AH10" s="69"/>
      <c r="AI10" s="69"/>
      <c r="AJ10" s="69"/>
      <c r="AK10" s="69"/>
      <c r="AL10" s="75"/>
      <c r="AN10" s="69"/>
      <c r="AO10" s="69"/>
      <c r="AP10" s="69"/>
      <c r="AS10" s="69"/>
      <c r="AT10" s="69"/>
      <c r="AU10" s="69"/>
    </row>
    <row r="11" spans="2:48">
      <c r="B11" s="1" t="s">
        <v>159</v>
      </c>
      <c r="E11" s="69"/>
      <c r="F11" s="69"/>
      <c r="G11" s="69"/>
      <c r="H11" s="69"/>
      <c r="I11" s="69"/>
      <c r="J11" s="69"/>
      <c r="K11" s="69"/>
      <c r="L11" s="69"/>
      <c r="M11" s="69"/>
      <c r="N11" s="69"/>
      <c r="O11" s="69"/>
      <c r="P11" s="69"/>
      <c r="Q11" s="69"/>
      <c r="AD11" s="69"/>
      <c r="AE11" s="69"/>
      <c r="AF11" s="69"/>
      <c r="AG11" s="69"/>
      <c r="AH11" s="69"/>
      <c r="AI11" s="69"/>
      <c r="AJ11" s="69"/>
      <c r="AK11" s="69"/>
      <c r="AL11" s="75"/>
      <c r="AN11" s="69"/>
      <c r="AO11" s="69"/>
      <c r="AP11" s="69"/>
      <c r="AS11" s="69"/>
      <c r="AT11" s="69"/>
      <c r="AU11" s="69"/>
    </row>
    <row r="12" spans="2:48">
      <c r="E12" s="69"/>
      <c r="F12" s="69"/>
      <c r="G12" s="69"/>
      <c r="H12" s="69"/>
      <c r="I12" s="69"/>
      <c r="J12" s="69"/>
      <c r="K12" s="69"/>
      <c r="L12" s="69"/>
      <c r="M12" s="69"/>
      <c r="N12" s="69"/>
      <c r="O12" s="69"/>
      <c r="P12" s="69"/>
      <c r="Q12" s="69"/>
      <c r="AD12" s="69"/>
      <c r="AE12" s="69"/>
      <c r="AF12" s="69"/>
      <c r="AG12" s="69"/>
      <c r="AH12" s="69"/>
      <c r="AI12" s="69"/>
      <c r="AJ12" s="69"/>
      <c r="AK12" s="69"/>
      <c r="AL12" s="75"/>
      <c r="AN12" s="69"/>
      <c r="AO12" s="69"/>
      <c r="AP12" s="69"/>
      <c r="AS12" s="69"/>
      <c r="AT12" s="69"/>
      <c r="AU12" s="69"/>
    </row>
    <row r="13" spans="2:48">
      <c r="B13" s="7"/>
      <c r="C13" s="7"/>
      <c r="D13" s="7"/>
      <c r="E13" s="7"/>
      <c r="F13" s="8" t="s">
        <v>0</v>
      </c>
      <c r="G13" s="8"/>
      <c r="H13" s="7"/>
      <c r="I13" s="69"/>
      <c r="J13" s="69"/>
      <c r="K13" s="69"/>
      <c r="L13" s="69"/>
      <c r="M13" s="69"/>
      <c r="N13" s="69"/>
      <c r="O13" s="69"/>
      <c r="P13" s="69"/>
      <c r="Q13" s="69"/>
      <c r="AD13" s="69"/>
      <c r="AE13" s="69"/>
      <c r="AF13" s="69"/>
      <c r="AG13" s="69"/>
      <c r="AH13" s="69"/>
      <c r="AI13" s="69"/>
      <c r="AJ13" s="69"/>
      <c r="AK13" s="69"/>
      <c r="AL13" s="75"/>
      <c r="AN13" s="69"/>
      <c r="AO13" s="69"/>
      <c r="AP13" s="69"/>
      <c r="AS13" s="69"/>
      <c r="AT13" s="69"/>
      <c r="AU13" s="69"/>
    </row>
    <row r="14" spans="2:48" ht="15" customHeight="1">
      <c r="B14" s="10" t="s">
        <v>2</v>
      </c>
      <c r="C14" s="11" t="s">
        <v>3</v>
      </c>
      <c r="D14" s="11" t="s">
        <v>32</v>
      </c>
      <c r="E14" s="11" t="s">
        <v>158</v>
      </c>
      <c r="F14" s="11" t="s">
        <v>34</v>
      </c>
      <c r="G14" s="11" t="s">
        <v>157</v>
      </c>
      <c r="H14" s="11" t="s">
        <v>156</v>
      </c>
      <c r="I14" s="69"/>
      <c r="J14" s="69"/>
      <c r="K14" s="69"/>
      <c r="L14" s="69"/>
      <c r="M14" s="69"/>
      <c r="N14" s="69"/>
      <c r="O14" s="69"/>
      <c r="P14" s="69"/>
      <c r="Q14" s="69"/>
      <c r="AD14" s="69"/>
      <c r="AE14" s="69"/>
      <c r="AF14" s="69"/>
      <c r="AG14" s="69"/>
      <c r="AH14" s="69"/>
      <c r="AI14" s="69"/>
      <c r="AJ14" s="69"/>
      <c r="AK14" s="69"/>
      <c r="AL14" s="75"/>
      <c r="AN14" s="69"/>
      <c r="AO14" s="69"/>
      <c r="AP14" s="69"/>
      <c r="AS14" s="69"/>
      <c r="AT14" s="69"/>
      <c r="AU14" s="69"/>
    </row>
    <row r="15" spans="2:48" ht="28.2" thickBot="1">
      <c r="B15" s="13" t="s">
        <v>42</v>
      </c>
      <c r="C15" s="13"/>
      <c r="D15" s="13" t="s">
        <v>43</v>
      </c>
      <c r="E15" s="13"/>
      <c r="F15" s="13" t="s">
        <v>46</v>
      </c>
      <c r="G15" s="13"/>
      <c r="H15" s="13"/>
      <c r="I15" s="69"/>
      <c r="J15" s="69"/>
      <c r="K15" s="69"/>
      <c r="L15" s="69"/>
      <c r="M15" s="69"/>
      <c r="N15" s="69"/>
      <c r="O15" s="69"/>
      <c r="P15" s="69"/>
      <c r="Q15" s="69"/>
      <c r="AD15" s="69"/>
      <c r="AE15" s="69"/>
      <c r="AF15" s="69"/>
      <c r="AG15" s="69"/>
      <c r="AH15" s="69"/>
      <c r="AI15" s="69"/>
      <c r="AJ15" s="69"/>
      <c r="AK15" s="69"/>
      <c r="AL15" s="75"/>
      <c r="AN15" s="69"/>
      <c r="AO15" s="69"/>
      <c r="AP15" s="69"/>
      <c r="AS15" s="69"/>
      <c r="AT15" s="69"/>
      <c r="AU15" s="69"/>
    </row>
    <row r="16" spans="2:48" ht="15" thickBot="1">
      <c r="B16" s="102" t="s">
        <v>42</v>
      </c>
      <c r="C16" s="15"/>
      <c r="D16" s="15"/>
      <c r="E16" s="15"/>
      <c r="F16" s="15"/>
      <c r="G16" s="15" t="s">
        <v>155</v>
      </c>
      <c r="H16" s="15"/>
      <c r="I16" s="69"/>
      <c r="J16" s="69"/>
      <c r="K16" s="69"/>
      <c r="L16" s="69"/>
      <c r="M16" s="69"/>
      <c r="N16" s="69"/>
      <c r="O16" s="69"/>
      <c r="P16" s="69"/>
      <c r="Q16" s="69"/>
      <c r="AD16" s="69"/>
      <c r="AE16" s="69"/>
      <c r="AF16" s="69"/>
      <c r="AG16" s="69"/>
      <c r="AH16" s="69"/>
      <c r="AI16" s="69"/>
      <c r="AJ16" s="69"/>
      <c r="AK16" s="69"/>
      <c r="AL16" s="75"/>
      <c r="AN16" s="69"/>
      <c r="AO16" s="69"/>
      <c r="AP16" s="69"/>
      <c r="AS16" s="69"/>
      <c r="AT16" s="69"/>
      <c r="AU16" s="69"/>
    </row>
    <row r="17" spans="2:47">
      <c r="B17" s="7" t="s">
        <v>154</v>
      </c>
      <c r="C17" s="7" t="s">
        <v>153</v>
      </c>
      <c r="D17" s="7"/>
      <c r="E17" s="7">
        <v>2015</v>
      </c>
      <c r="F17" s="7" t="s">
        <v>70</v>
      </c>
      <c r="G17" s="7">
        <v>1E-10</v>
      </c>
      <c r="H17" s="7">
        <v>5</v>
      </c>
      <c r="I17" s="69"/>
      <c r="J17" s="69"/>
      <c r="K17" s="69"/>
      <c r="L17" s="69"/>
      <c r="M17" s="69"/>
      <c r="N17" s="69"/>
      <c r="O17" s="69"/>
      <c r="P17" s="69"/>
      <c r="Q17" s="69"/>
      <c r="AD17" s="69"/>
      <c r="AE17" s="69"/>
      <c r="AF17" s="69"/>
      <c r="AG17" s="69"/>
      <c r="AH17" s="69"/>
      <c r="AI17" s="69"/>
      <c r="AJ17" s="69"/>
      <c r="AK17" s="69"/>
      <c r="AL17" s="75"/>
      <c r="AN17" s="69"/>
      <c r="AO17" s="69"/>
      <c r="AP17" s="69"/>
      <c r="AS17" s="69"/>
      <c r="AT17" s="69"/>
      <c r="AU17" s="69"/>
    </row>
    <row r="18" spans="2:47">
      <c r="E18" s="69"/>
      <c r="F18" s="69"/>
      <c r="G18" s="69"/>
      <c r="H18" s="69"/>
      <c r="I18" s="69"/>
      <c r="J18" s="69"/>
      <c r="K18" s="69"/>
      <c r="L18" s="69"/>
      <c r="M18" s="69"/>
      <c r="N18" s="69"/>
      <c r="O18" s="69"/>
      <c r="P18" s="69"/>
      <c r="Q18" s="69"/>
      <c r="AD18" s="69"/>
      <c r="AE18" s="69"/>
      <c r="AF18" s="69"/>
      <c r="AG18" s="69"/>
      <c r="AH18" s="69"/>
      <c r="AI18" s="69"/>
      <c r="AJ18" s="69"/>
      <c r="AK18" s="69"/>
      <c r="AL18" s="75"/>
      <c r="AN18" s="69"/>
      <c r="AO18" s="69"/>
      <c r="AP18" s="69"/>
      <c r="AS18" s="69"/>
      <c r="AT18" s="69"/>
      <c r="AU18" s="69"/>
    </row>
    <row r="19" spans="2:47">
      <c r="E19" s="69"/>
      <c r="F19" s="69"/>
      <c r="G19" s="69"/>
      <c r="H19" s="69"/>
      <c r="I19" s="69"/>
      <c r="J19" s="69"/>
      <c r="K19" s="69"/>
      <c r="L19" s="69"/>
      <c r="M19" s="69"/>
      <c r="N19" s="69"/>
      <c r="O19" s="69"/>
      <c r="P19" s="69"/>
      <c r="Q19" s="69"/>
      <c r="AD19" s="69"/>
      <c r="AE19" s="69"/>
      <c r="AF19" s="69"/>
      <c r="AG19" s="69"/>
      <c r="AH19" s="69"/>
      <c r="AI19" s="69"/>
      <c r="AJ19" s="69"/>
      <c r="AK19" s="69"/>
      <c r="AL19" s="75"/>
      <c r="AN19" s="69"/>
      <c r="AO19" s="69"/>
      <c r="AP19" s="69"/>
      <c r="AS19" s="69"/>
      <c r="AT19" s="69"/>
      <c r="AU19" s="69"/>
    </row>
    <row r="20" spans="2:47">
      <c r="E20" s="1051"/>
      <c r="F20" s="1051"/>
      <c r="G20" s="1051"/>
      <c r="H20" s="1051"/>
      <c r="I20" s="1051"/>
      <c r="J20" s="1051"/>
      <c r="K20" s="1051"/>
      <c r="L20" s="1051"/>
      <c r="M20" s="1051"/>
      <c r="N20" s="1051"/>
      <c r="O20" s="1051"/>
      <c r="P20" s="1051"/>
      <c r="Q20" s="1051"/>
      <c r="AD20" s="1051"/>
      <c r="AE20" s="1051"/>
      <c r="AF20" s="1051"/>
      <c r="AG20" s="1051"/>
      <c r="AH20" s="1051"/>
      <c r="AI20" s="1051"/>
      <c r="AJ20" s="1051"/>
      <c r="AK20" s="1051"/>
      <c r="AL20" s="75"/>
      <c r="AN20" s="1051"/>
      <c r="AO20" s="1051"/>
      <c r="AP20" s="1051"/>
      <c r="AS20" s="1051"/>
      <c r="AT20" s="1051"/>
      <c r="AU20" s="1051"/>
    </row>
    <row r="21" spans="2:47">
      <c r="E21" s="1051"/>
      <c r="F21" s="1051"/>
      <c r="G21" s="1051"/>
      <c r="H21" s="1051"/>
      <c r="I21" s="1051"/>
      <c r="J21" s="1051"/>
      <c r="K21" s="1051"/>
      <c r="L21" s="1051"/>
      <c r="M21" s="1051"/>
      <c r="N21" s="1051"/>
      <c r="O21" s="1051"/>
      <c r="P21" s="1051"/>
      <c r="Q21" s="1051"/>
      <c r="AD21" s="1051"/>
      <c r="AE21" s="1051"/>
      <c r="AF21" s="1051"/>
      <c r="AG21" s="1051"/>
      <c r="AH21" s="1051"/>
      <c r="AI21" s="1051"/>
      <c r="AJ21" s="1051"/>
      <c r="AK21" s="1051"/>
      <c r="AL21" s="75"/>
      <c r="AN21" s="1051"/>
      <c r="AO21" s="1051"/>
      <c r="AP21" s="1051"/>
      <c r="AS21" s="1051"/>
      <c r="AT21" s="1051"/>
      <c r="AU21" s="1051"/>
    </row>
    <row r="22" spans="2:47">
      <c r="E22" s="1051"/>
      <c r="F22" s="1051"/>
      <c r="G22" s="1051"/>
      <c r="H22" s="1051"/>
      <c r="I22" s="1051"/>
      <c r="J22" s="1051"/>
      <c r="K22" s="1051"/>
      <c r="L22" s="1051"/>
      <c r="M22" s="1051"/>
      <c r="N22" s="1051"/>
      <c r="O22" s="1051"/>
      <c r="P22" s="1051"/>
      <c r="Q22" s="1051"/>
      <c r="AD22" s="1051"/>
      <c r="AE22" s="1051"/>
      <c r="AF22" s="1051"/>
      <c r="AG22" s="1051"/>
      <c r="AH22" s="1051"/>
      <c r="AI22" s="1051"/>
      <c r="AJ22" s="1051"/>
      <c r="AK22" s="1051"/>
      <c r="AL22" s="75"/>
      <c r="AN22" s="1051"/>
      <c r="AO22" s="1051"/>
      <c r="AP22" s="1051"/>
      <c r="AS22" s="1051"/>
      <c r="AT22" s="1051"/>
      <c r="AU22" s="1051"/>
    </row>
    <row r="23" spans="2:47">
      <c r="E23" s="1051"/>
      <c r="F23" s="1051"/>
      <c r="G23" s="1051"/>
      <c r="H23" s="1051"/>
      <c r="I23" s="1051"/>
      <c r="J23" s="1051"/>
      <c r="K23" s="1051"/>
      <c r="L23" s="1051"/>
      <c r="M23" s="1051"/>
      <c r="N23" s="1051"/>
      <c r="O23" s="1051"/>
      <c r="P23" s="1051"/>
      <c r="Q23" s="1051"/>
      <c r="AD23" s="1051"/>
      <c r="AE23" s="1051"/>
      <c r="AF23" s="1051"/>
      <c r="AG23" s="1051"/>
      <c r="AH23" s="1051"/>
      <c r="AI23" s="1051"/>
      <c r="AJ23" s="1051"/>
      <c r="AK23" s="1051"/>
      <c r="AL23" s="75"/>
      <c r="AN23" s="1051"/>
      <c r="AO23" s="1051"/>
      <c r="AP23" s="1051"/>
      <c r="AS23" s="1051"/>
      <c r="AT23" s="1051"/>
      <c r="AU23" s="1051"/>
    </row>
    <row r="24" spans="2:47">
      <c r="E24" s="1051"/>
      <c r="F24" s="1051"/>
      <c r="G24" s="1051"/>
      <c r="H24" s="1051"/>
      <c r="I24" s="1051"/>
      <c r="J24" s="1051"/>
      <c r="K24" s="1051"/>
      <c r="L24" s="1051"/>
      <c r="M24" s="1051"/>
      <c r="N24" s="1051"/>
      <c r="O24" s="1051"/>
      <c r="P24" s="1051"/>
      <c r="Q24" s="1051"/>
      <c r="AD24" s="1051"/>
      <c r="AE24" s="1051"/>
      <c r="AF24" s="1051"/>
      <c r="AG24" s="1051"/>
      <c r="AH24" s="1051"/>
      <c r="AI24" s="1051"/>
      <c r="AJ24" s="1051"/>
      <c r="AK24" s="1051"/>
      <c r="AL24" s="75"/>
      <c r="AN24" s="1051"/>
      <c r="AO24" s="1051"/>
      <c r="AP24" s="1051"/>
      <c r="AS24" s="1051"/>
      <c r="AT24" s="1051"/>
      <c r="AU24" s="1051"/>
    </row>
    <row r="25" spans="2:47">
      <c r="E25" s="1051"/>
      <c r="F25" s="1051"/>
      <c r="G25" s="1051"/>
      <c r="H25" s="1051"/>
      <c r="I25" s="1051"/>
      <c r="J25" s="1051"/>
      <c r="K25" s="1051"/>
      <c r="L25" s="1051"/>
      <c r="M25" s="1051"/>
      <c r="N25" s="1051"/>
      <c r="O25" s="1051"/>
      <c r="P25" s="1051"/>
      <c r="Q25" s="1051"/>
      <c r="AD25" s="1051"/>
      <c r="AE25" s="1051"/>
      <c r="AF25" s="1051"/>
      <c r="AG25" s="1051"/>
      <c r="AH25" s="1051"/>
      <c r="AI25" s="1051"/>
      <c r="AJ25" s="1051"/>
      <c r="AK25" s="1051"/>
      <c r="AL25" s="75"/>
      <c r="AN25" s="1051"/>
      <c r="AO25" s="1051"/>
      <c r="AP25" s="1051"/>
      <c r="AS25" s="1051"/>
      <c r="AT25" s="1051"/>
      <c r="AU25" s="1051"/>
    </row>
    <row r="26" spans="2:47">
      <c r="E26" s="1051"/>
      <c r="F26" s="1051"/>
      <c r="G26" s="1051"/>
      <c r="H26" s="1051"/>
      <c r="I26" s="1051"/>
      <c r="J26" s="1051"/>
      <c r="K26" s="1051"/>
      <c r="L26" s="1051"/>
      <c r="M26" s="1051"/>
      <c r="N26" s="1051"/>
      <c r="O26" s="1051"/>
      <c r="P26" s="1051"/>
      <c r="Q26" s="1051"/>
      <c r="AD26" s="1051"/>
      <c r="AE26" s="1051"/>
      <c r="AF26" s="1051"/>
      <c r="AG26" s="1051"/>
      <c r="AH26" s="1051"/>
      <c r="AI26" s="1051"/>
      <c r="AJ26" s="1051"/>
      <c r="AK26" s="1051"/>
      <c r="AL26" s="75"/>
      <c r="AN26" s="1051"/>
      <c r="AO26" s="1051"/>
      <c r="AP26" s="1051"/>
      <c r="AS26" s="1051"/>
      <c r="AT26" s="1051"/>
      <c r="AU26" s="1051"/>
    </row>
    <row r="27" spans="2:47">
      <c r="E27" s="1051"/>
      <c r="F27" s="1051"/>
      <c r="G27" s="1051"/>
      <c r="H27" s="1051"/>
      <c r="I27" s="1051"/>
      <c r="J27" s="1051"/>
      <c r="K27" s="1051"/>
      <c r="L27" s="1051"/>
      <c r="M27" s="1051"/>
      <c r="N27" s="1051"/>
      <c r="O27" s="1051"/>
      <c r="P27" s="1051"/>
      <c r="Q27" s="1051"/>
      <c r="AD27" s="1051"/>
      <c r="AE27" s="1051"/>
      <c r="AF27" s="1051"/>
      <c r="AG27" s="1051"/>
      <c r="AH27" s="1051"/>
      <c r="AI27" s="1051"/>
      <c r="AJ27" s="1051"/>
      <c r="AK27" s="1051"/>
      <c r="AL27" s="75"/>
      <c r="AN27" s="1051"/>
      <c r="AO27" s="1051"/>
      <c r="AP27" s="1051"/>
      <c r="AS27" s="1051"/>
      <c r="AT27" s="1051"/>
      <c r="AU27" s="1051"/>
    </row>
    <row r="28" spans="2:47">
      <c r="E28" s="1051"/>
      <c r="F28" s="1051"/>
      <c r="G28" s="1051"/>
      <c r="H28" s="1051"/>
      <c r="I28" s="1051"/>
      <c r="J28" s="1051"/>
      <c r="K28" s="1051"/>
      <c r="L28" s="1051"/>
      <c r="M28" s="1051"/>
      <c r="N28" s="1051"/>
      <c r="O28" s="1051"/>
      <c r="P28" s="1051"/>
      <c r="Q28" s="1051"/>
      <c r="AD28" s="1051"/>
      <c r="AE28" s="1051"/>
      <c r="AF28" s="1051"/>
      <c r="AG28" s="1051"/>
      <c r="AH28" s="1051"/>
      <c r="AI28" s="1051"/>
      <c r="AJ28" s="1051"/>
      <c r="AK28" s="1051"/>
      <c r="AL28" s="75"/>
      <c r="AN28" s="1051"/>
      <c r="AO28" s="1051"/>
      <c r="AP28" s="1051"/>
      <c r="AS28" s="1051"/>
      <c r="AT28" s="1051"/>
      <c r="AU28" s="1051"/>
    </row>
    <row r="29" spans="2:47">
      <c r="E29" s="1051"/>
      <c r="F29" s="1051"/>
      <c r="G29" s="1051"/>
      <c r="H29" s="1051"/>
      <c r="I29" s="1051"/>
      <c r="J29" s="1051"/>
      <c r="K29" s="1051"/>
      <c r="L29" s="1051"/>
      <c r="M29" s="1051"/>
      <c r="N29" s="1051"/>
      <c r="O29" s="1051"/>
      <c r="P29" s="1051"/>
      <c r="Q29" s="1051"/>
      <c r="AD29" s="1051"/>
      <c r="AE29" s="1051"/>
      <c r="AF29" s="1051"/>
      <c r="AG29" s="1051"/>
      <c r="AH29" s="1051"/>
      <c r="AI29" s="1051"/>
      <c r="AJ29" s="1051"/>
      <c r="AK29" s="1051"/>
      <c r="AL29" s="75"/>
      <c r="AN29" s="1051"/>
      <c r="AO29" s="1051"/>
      <c r="AP29" s="1051"/>
      <c r="AS29" s="1051"/>
      <c r="AT29" s="1051"/>
      <c r="AU29" s="1051"/>
    </row>
    <row r="30" spans="2:47">
      <c r="E30" s="1051"/>
      <c r="F30" s="1051"/>
      <c r="G30" s="1051"/>
      <c r="H30" s="1051"/>
      <c r="I30" s="1051"/>
      <c r="J30" s="1051"/>
      <c r="K30" s="1051"/>
      <c r="L30" s="1051"/>
      <c r="M30" s="1051"/>
      <c r="N30" s="1051"/>
      <c r="O30" s="1051"/>
      <c r="P30" s="1051"/>
      <c r="Q30" s="1051"/>
      <c r="AD30" s="1051"/>
      <c r="AE30" s="1051"/>
      <c r="AF30" s="1051"/>
      <c r="AG30" s="1051"/>
      <c r="AH30" s="1051"/>
      <c r="AI30" s="1051"/>
      <c r="AJ30" s="1051"/>
      <c r="AK30" s="1051"/>
      <c r="AL30" s="75"/>
      <c r="AN30" s="1051"/>
      <c r="AO30" s="1051"/>
      <c r="AP30" s="1051"/>
      <c r="AS30" s="1051"/>
      <c r="AT30" s="1051"/>
      <c r="AU30" s="1051"/>
    </row>
    <row r="31" spans="2:47">
      <c r="E31" s="1051"/>
      <c r="F31" s="1051"/>
      <c r="G31" s="1051"/>
      <c r="H31" s="1051"/>
      <c r="I31" s="1051"/>
      <c r="J31" s="1051"/>
      <c r="K31" s="1051"/>
      <c r="L31" s="1051"/>
      <c r="M31" s="1051"/>
      <c r="N31" s="1051"/>
      <c r="O31" s="1051"/>
      <c r="P31" s="1051"/>
      <c r="Q31" s="1051"/>
      <c r="AD31" s="1051"/>
      <c r="AE31" s="1051"/>
      <c r="AF31" s="1051"/>
      <c r="AG31" s="1051"/>
      <c r="AH31" s="1051"/>
      <c r="AI31" s="1051"/>
      <c r="AJ31" s="1051"/>
      <c r="AK31" s="1051"/>
      <c r="AL31" s="75"/>
      <c r="AN31" s="1051"/>
      <c r="AO31" s="1051"/>
      <c r="AP31" s="1051"/>
      <c r="AS31" s="1051"/>
      <c r="AT31" s="1051"/>
      <c r="AU31" s="1051"/>
    </row>
    <row r="32" spans="2:47">
      <c r="E32" s="1051"/>
      <c r="F32" s="1051"/>
      <c r="G32" s="1051"/>
      <c r="H32" s="1051"/>
      <c r="I32" s="1051"/>
      <c r="J32" s="1051"/>
      <c r="K32" s="1051"/>
      <c r="L32" s="1051"/>
      <c r="M32" s="1051"/>
      <c r="N32" s="1051"/>
      <c r="O32" s="1051"/>
      <c r="P32" s="1051"/>
      <c r="Q32" s="1051"/>
      <c r="AD32" s="1051"/>
      <c r="AE32" s="1051"/>
      <c r="AF32" s="1051"/>
      <c r="AG32" s="1051"/>
      <c r="AH32" s="1051"/>
      <c r="AI32" s="1051"/>
      <c r="AJ32" s="1051"/>
      <c r="AK32" s="1051"/>
      <c r="AL32" s="75"/>
      <c r="AN32" s="1051"/>
      <c r="AO32" s="1051"/>
      <c r="AP32" s="1051"/>
      <c r="AS32" s="1051"/>
      <c r="AT32" s="1051"/>
      <c r="AU32" s="1051"/>
    </row>
    <row r="33" spans="5:47">
      <c r="E33" s="1051"/>
      <c r="F33" s="1051"/>
      <c r="G33" s="1051"/>
      <c r="H33" s="1051"/>
      <c r="I33" s="1051"/>
      <c r="J33" s="1051"/>
      <c r="K33" s="1051"/>
      <c r="L33" s="1051"/>
      <c r="M33" s="1051"/>
      <c r="N33" s="1051"/>
      <c r="O33" s="1051"/>
      <c r="P33" s="1051"/>
      <c r="Q33" s="1051"/>
      <c r="AD33" s="1051"/>
      <c r="AE33" s="1051"/>
      <c r="AF33" s="1051"/>
      <c r="AG33" s="1051"/>
      <c r="AH33" s="1051"/>
      <c r="AI33" s="1051"/>
      <c r="AJ33" s="1051"/>
      <c r="AK33" s="1051"/>
      <c r="AL33" s="75"/>
      <c r="AN33" s="1051"/>
      <c r="AO33" s="1051"/>
      <c r="AP33" s="1051"/>
      <c r="AS33" s="1051"/>
      <c r="AT33" s="1051"/>
      <c r="AU33" s="1051"/>
    </row>
    <row r="34" spans="5:47">
      <c r="E34" s="1051"/>
      <c r="F34" s="1051"/>
      <c r="G34" s="1051"/>
      <c r="H34" s="1051"/>
      <c r="I34" s="1051"/>
      <c r="J34" s="1051"/>
      <c r="K34" s="1051"/>
      <c r="L34" s="1051"/>
      <c r="M34" s="1051"/>
      <c r="N34" s="1051"/>
      <c r="O34" s="1051"/>
      <c r="P34" s="1051"/>
      <c r="Q34" s="1051"/>
      <c r="AD34" s="1051"/>
      <c r="AE34" s="1051"/>
      <c r="AF34" s="1051"/>
      <c r="AG34" s="1051"/>
      <c r="AH34" s="1051"/>
      <c r="AI34" s="1051"/>
      <c r="AJ34" s="1051"/>
      <c r="AK34" s="1051"/>
      <c r="AL34" s="75"/>
      <c r="AN34" s="1051"/>
      <c r="AO34" s="1051"/>
      <c r="AP34" s="1051"/>
      <c r="AS34" s="1051"/>
      <c r="AT34" s="1051"/>
      <c r="AU34" s="1051"/>
    </row>
    <row r="35" spans="5:47">
      <c r="E35" s="1051"/>
      <c r="F35" s="1051"/>
      <c r="G35" s="1051"/>
      <c r="H35" s="1051"/>
      <c r="I35" s="1051"/>
      <c r="J35" s="1051"/>
      <c r="K35" s="1051"/>
      <c r="L35" s="1051"/>
      <c r="M35" s="1051"/>
      <c r="N35" s="1051"/>
      <c r="O35" s="1051"/>
      <c r="P35" s="1051"/>
      <c r="Q35" s="1051"/>
      <c r="AD35" s="1051"/>
      <c r="AE35" s="1051"/>
      <c r="AF35" s="1051"/>
      <c r="AG35" s="1051"/>
      <c r="AH35" s="1051"/>
      <c r="AI35" s="1051"/>
      <c r="AJ35" s="1051"/>
      <c r="AK35" s="1051"/>
      <c r="AL35" s="75"/>
      <c r="AN35" s="1051"/>
      <c r="AO35" s="1051"/>
      <c r="AP35" s="1051"/>
      <c r="AS35" s="1051"/>
      <c r="AT35" s="1051"/>
      <c r="AU35" s="1051"/>
    </row>
    <row r="36" spans="5:47">
      <c r="E36" s="1051"/>
      <c r="F36" s="1051"/>
      <c r="G36" s="1051"/>
      <c r="H36" s="1051"/>
      <c r="I36" s="1051"/>
      <c r="J36" s="1051"/>
      <c r="K36" s="1051"/>
      <c r="L36" s="1051"/>
      <c r="M36" s="1051"/>
      <c r="N36" s="1051"/>
      <c r="O36" s="1051"/>
      <c r="P36" s="1051"/>
      <c r="Q36" s="1051"/>
      <c r="AD36" s="1051"/>
      <c r="AE36" s="1051"/>
      <c r="AF36" s="1051"/>
      <c r="AG36" s="1051"/>
      <c r="AH36" s="1051"/>
      <c r="AI36" s="1051"/>
      <c r="AJ36" s="1051"/>
      <c r="AK36" s="1051"/>
      <c r="AL36" s="75"/>
      <c r="AN36" s="1051"/>
      <c r="AO36" s="1051"/>
      <c r="AP36" s="1051"/>
      <c r="AS36" s="1051"/>
      <c r="AT36" s="1051"/>
      <c r="AU36" s="1051"/>
    </row>
    <row r="37" spans="5:47">
      <c r="E37" s="1051"/>
      <c r="F37" s="1051"/>
      <c r="G37" s="1051"/>
      <c r="H37" s="1051"/>
      <c r="I37" s="1051"/>
      <c r="J37" s="1051"/>
      <c r="K37" s="1051"/>
      <c r="L37" s="1051"/>
      <c r="M37" s="1051"/>
      <c r="N37" s="1051"/>
      <c r="O37" s="1051"/>
      <c r="P37" s="1051"/>
      <c r="Q37" s="1051"/>
      <c r="AD37" s="1051"/>
      <c r="AE37" s="1051"/>
      <c r="AF37" s="1051"/>
      <c r="AG37" s="1051"/>
      <c r="AH37" s="1051"/>
      <c r="AI37" s="1051"/>
      <c r="AJ37" s="1051"/>
      <c r="AK37" s="1051"/>
      <c r="AL37" s="75"/>
      <c r="AN37" s="1051"/>
      <c r="AO37" s="1051"/>
      <c r="AP37" s="1051"/>
      <c r="AS37" s="1051"/>
      <c r="AT37" s="1051"/>
      <c r="AU37" s="1051"/>
    </row>
    <row r="38" spans="5:47">
      <c r="E38" s="1051"/>
      <c r="F38" s="1051"/>
      <c r="G38" s="1051"/>
      <c r="H38" s="1051"/>
      <c r="I38" s="1051"/>
      <c r="J38" s="1051"/>
      <c r="K38" s="1051"/>
      <c r="L38" s="1051"/>
      <c r="M38" s="1051"/>
      <c r="N38" s="1051"/>
      <c r="O38" s="1051"/>
      <c r="P38" s="1051"/>
      <c r="Q38" s="1051"/>
      <c r="AD38" s="1051"/>
      <c r="AE38" s="1051"/>
      <c r="AF38" s="1051"/>
      <c r="AG38" s="1051"/>
      <c r="AH38" s="1051"/>
      <c r="AI38" s="1051"/>
      <c r="AJ38" s="1051"/>
      <c r="AK38" s="1051"/>
      <c r="AL38" s="75"/>
      <c r="AN38" s="1051"/>
      <c r="AO38" s="1051"/>
      <c r="AP38" s="1051"/>
      <c r="AS38" s="1051"/>
      <c r="AT38" s="1051"/>
      <c r="AU38" s="1051"/>
    </row>
    <row r="39" spans="5:47">
      <c r="E39" s="1051"/>
      <c r="F39" s="1051"/>
      <c r="G39" s="1051"/>
      <c r="H39" s="1051"/>
      <c r="I39" s="1051"/>
      <c r="J39" s="1051"/>
      <c r="K39" s="1051"/>
      <c r="L39" s="1051"/>
      <c r="M39" s="1051"/>
      <c r="N39" s="1051"/>
      <c r="O39" s="1051"/>
      <c r="P39" s="1051"/>
      <c r="Q39" s="1051"/>
      <c r="AD39" s="1051"/>
      <c r="AE39" s="1051"/>
      <c r="AF39" s="1051"/>
      <c r="AG39" s="1051"/>
      <c r="AH39" s="1051"/>
      <c r="AI39" s="1051"/>
      <c r="AJ39" s="1051"/>
      <c r="AK39" s="1051"/>
      <c r="AL39" s="75"/>
      <c r="AN39" s="1051"/>
      <c r="AO39" s="1051"/>
      <c r="AP39" s="1051"/>
      <c r="AS39" s="1051"/>
      <c r="AT39" s="1051"/>
      <c r="AU39" s="1051"/>
    </row>
    <row r="40" spans="5:47">
      <c r="E40" s="1051"/>
      <c r="F40" s="1051"/>
      <c r="G40" s="1051"/>
      <c r="H40" s="1051"/>
      <c r="I40" s="1051"/>
      <c r="J40" s="1051"/>
      <c r="K40" s="1051"/>
      <c r="L40" s="1051"/>
      <c r="M40" s="1051"/>
      <c r="N40" s="1051"/>
      <c r="O40" s="1051"/>
      <c r="P40" s="1051"/>
      <c r="Q40" s="1051"/>
      <c r="AD40" s="1051"/>
      <c r="AE40" s="1051"/>
      <c r="AF40" s="1051"/>
      <c r="AG40" s="1051"/>
      <c r="AH40" s="1051"/>
      <c r="AI40" s="1051"/>
      <c r="AJ40" s="1051"/>
      <c r="AK40" s="1051"/>
      <c r="AL40" s="75"/>
      <c r="AN40" s="1051"/>
      <c r="AO40" s="1051"/>
      <c r="AP40" s="1051"/>
      <c r="AS40" s="1051"/>
      <c r="AT40" s="1051"/>
      <c r="AU40" s="1051"/>
    </row>
    <row r="41" spans="5:47">
      <c r="E41" s="1051"/>
      <c r="F41" s="1051"/>
      <c r="G41" s="1051"/>
      <c r="H41" s="1051"/>
      <c r="I41" s="1051"/>
      <c r="J41" s="1051"/>
      <c r="K41" s="1051"/>
      <c r="L41" s="1051"/>
      <c r="M41" s="1051"/>
      <c r="N41" s="1051"/>
      <c r="O41" s="1051"/>
      <c r="P41" s="1051"/>
      <c r="Q41" s="1051"/>
      <c r="AD41" s="1051"/>
      <c r="AE41" s="1051"/>
      <c r="AF41" s="1051"/>
      <c r="AG41" s="1051"/>
      <c r="AH41" s="1051"/>
      <c r="AI41" s="1051"/>
      <c r="AJ41" s="1051"/>
      <c r="AK41" s="1051"/>
      <c r="AL41" s="75"/>
      <c r="AN41" s="1051"/>
      <c r="AO41" s="1051"/>
      <c r="AP41" s="1051"/>
      <c r="AS41" s="1051"/>
      <c r="AT41" s="1051"/>
      <c r="AU41" s="1051"/>
    </row>
    <row r="42" spans="5:47">
      <c r="E42" s="1051"/>
      <c r="F42" s="1051"/>
      <c r="G42" s="1051"/>
      <c r="H42" s="1051"/>
      <c r="I42" s="1051"/>
      <c r="J42" s="1051"/>
      <c r="K42" s="1051"/>
      <c r="L42" s="1051"/>
      <c r="M42" s="1051"/>
      <c r="N42" s="1051"/>
      <c r="O42" s="1051"/>
      <c r="P42" s="1051"/>
      <c r="Q42" s="1051"/>
      <c r="AD42" s="1051"/>
      <c r="AE42" s="1051"/>
      <c r="AF42" s="1051"/>
      <c r="AG42" s="1051"/>
      <c r="AH42" s="1051"/>
      <c r="AI42" s="1051"/>
      <c r="AJ42" s="1051"/>
      <c r="AK42" s="1051"/>
      <c r="AL42" s="75"/>
      <c r="AN42" s="1051"/>
      <c r="AO42" s="1051"/>
      <c r="AP42" s="1051"/>
      <c r="AS42" s="1051"/>
      <c r="AT42" s="1051"/>
      <c r="AU42" s="1051"/>
    </row>
    <row r="43" spans="5:47">
      <c r="E43" s="1051"/>
      <c r="F43" s="1051"/>
      <c r="G43" s="1051"/>
      <c r="H43" s="1051"/>
      <c r="I43" s="1051"/>
      <c r="J43" s="1051"/>
      <c r="K43" s="1051"/>
      <c r="L43" s="1051"/>
      <c r="M43" s="1051"/>
      <c r="N43" s="1051"/>
      <c r="O43" s="1051"/>
      <c r="P43" s="1051"/>
      <c r="Q43" s="1051"/>
      <c r="AD43" s="1051"/>
      <c r="AE43" s="1051"/>
      <c r="AF43" s="1051"/>
      <c r="AG43" s="1051"/>
      <c r="AH43" s="1051"/>
      <c r="AI43" s="1051"/>
      <c r="AJ43" s="1051"/>
      <c r="AK43" s="1051"/>
      <c r="AL43" s="75"/>
      <c r="AN43" s="1051"/>
      <c r="AO43" s="1051"/>
      <c r="AP43" s="1051"/>
      <c r="AS43" s="1051"/>
      <c r="AT43" s="1051"/>
      <c r="AU43" s="1051"/>
    </row>
    <row r="44" spans="5:47">
      <c r="E44" s="1051"/>
      <c r="F44" s="1051"/>
      <c r="G44" s="1051"/>
      <c r="H44" s="1051"/>
      <c r="I44" s="1051"/>
      <c r="J44" s="1051"/>
      <c r="K44" s="1051"/>
      <c r="L44" s="1051"/>
      <c r="M44" s="1051"/>
      <c r="N44" s="1051"/>
      <c r="O44" s="1051"/>
      <c r="P44" s="1051"/>
      <c r="Q44" s="1051"/>
      <c r="AD44" s="1051"/>
      <c r="AE44" s="1051"/>
      <c r="AF44" s="1051"/>
      <c r="AG44" s="1051"/>
      <c r="AH44" s="1051"/>
      <c r="AI44" s="1051"/>
      <c r="AJ44" s="1051"/>
      <c r="AK44" s="1051"/>
      <c r="AL44" s="75"/>
      <c r="AN44" s="1051"/>
      <c r="AO44" s="1051"/>
      <c r="AP44" s="1051"/>
      <c r="AS44" s="1051"/>
      <c r="AT44" s="1051"/>
      <c r="AU44" s="1051"/>
    </row>
    <row r="45" spans="5:47">
      <c r="E45" s="1051"/>
      <c r="F45" s="1051"/>
      <c r="G45" s="1051"/>
      <c r="H45" s="1051"/>
      <c r="I45" s="1051"/>
      <c r="J45" s="1051"/>
      <c r="K45" s="1051"/>
      <c r="L45" s="1051"/>
      <c r="M45" s="1051"/>
      <c r="N45" s="1051"/>
      <c r="O45" s="1051"/>
      <c r="P45" s="1051"/>
      <c r="Q45" s="1051"/>
      <c r="AD45" s="1051"/>
      <c r="AE45" s="1051"/>
      <c r="AF45" s="1051"/>
      <c r="AG45" s="1051"/>
      <c r="AH45" s="1051"/>
      <c r="AI45" s="1051"/>
      <c r="AJ45" s="1051"/>
      <c r="AK45" s="1051"/>
      <c r="AL45" s="75"/>
      <c r="AN45" s="1051"/>
      <c r="AO45" s="1051"/>
      <c r="AP45" s="1051"/>
      <c r="AS45" s="1051"/>
      <c r="AT45" s="1051"/>
      <c r="AU45" s="1051"/>
    </row>
    <row r="46" spans="5:47">
      <c r="E46" s="1051"/>
      <c r="F46" s="1051"/>
      <c r="G46" s="1051"/>
      <c r="H46" s="1051"/>
      <c r="I46" s="1051"/>
      <c r="J46" s="1051"/>
      <c r="K46" s="1051"/>
      <c r="L46" s="1051"/>
      <c r="M46" s="1051"/>
      <c r="N46" s="1051"/>
      <c r="O46" s="1051"/>
      <c r="P46" s="1051"/>
      <c r="Q46" s="1051"/>
      <c r="AD46" s="1051"/>
      <c r="AE46" s="1051"/>
      <c r="AF46" s="1051"/>
      <c r="AG46" s="1051"/>
      <c r="AH46" s="1051"/>
      <c r="AI46" s="1051"/>
      <c r="AJ46" s="1051"/>
      <c r="AK46" s="1051"/>
      <c r="AL46" s="75"/>
      <c r="AN46" s="1051"/>
      <c r="AO46" s="1051"/>
      <c r="AP46" s="1051"/>
      <c r="AS46" s="1051"/>
      <c r="AT46" s="1051"/>
      <c r="AU46" s="1051"/>
    </row>
    <row r="47" spans="5:47">
      <c r="E47" s="1051"/>
      <c r="F47" s="1051"/>
      <c r="G47" s="1051"/>
      <c r="H47" s="1051"/>
      <c r="I47" s="1051"/>
      <c r="J47" s="1051"/>
      <c r="K47" s="1051"/>
      <c r="L47" s="1051"/>
      <c r="M47" s="1051"/>
      <c r="N47" s="1051"/>
      <c r="O47" s="1051"/>
      <c r="P47" s="1051"/>
      <c r="Q47" s="1051"/>
      <c r="AD47" s="1051"/>
      <c r="AE47" s="1051"/>
      <c r="AF47" s="1051"/>
      <c r="AG47" s="1051"/>
      <c r="AH47" s="1051"/>
      <c r="AI47" s="1051"/>
      <c r="AJ47" s="1051"/>
      <c r="AK47" s="1051"/>
      <c r="AL47" s="75"/>
      <c r="AN47" s="1051"/>
      <c r="AO47" s="1051"/>
      <c r="AP47" s="1051"/>
      <c r="AS47" s="1051"/>
      <c r="AT47" s="1051"/>
      <c r="AU47" s="1051"/>
    </row>
    <row r="48" spans="5:47">
      <c r="E48" s="1051"/>
      <c r="F48" s="1051"/>
      <c r="G48" s="1051"/>
      <c r="H48" s="1051"/>
      <c r="I48" s="1051"/>
      <c r="J48" s="1051"/>
      <c r="K48" s="1051"/>
      <c r="L48" s="1051"/>
      <c r="M48" s="1051"/>
      <c r="N48" s="1051"/>
      <c r="O48" s="1051"/>
      <c r="P48" s="1051"/>
      <c r="Q48" s="1051"/>
      <c r="AD48" s="1051"/>
      <c r="AE48" s="1051"/>
      <c r="AF48" s="1051"/>
      <c r="AG48" s="1051"/>
      <c r="AH48" s="1051"/>
      <c r="AI48" s="1051"/>
      <c r="AJ48" s="1051"/>
      <c r="AK48" s="1051"/>
      <c r="AL48" s="75"/>
      <c r="AN48" s="1051"/>
      <c r="AO48" s="1051"/>
      <c r="AP48" s="1051"/>
      <c r="AS48" s="1051"/>
      <c r="AT48" s="1051"/>
      <c r="AU48" s="1051"/>
    </row>
    <row r="49" spans="5:47">
      <c r="E49" s="1051"/>
      <c r="F49" s="1051"/>
      <c r="G49" s="1051"/>
      <c r="H49" s="1051"/>
      <c r="I49" s="1051"/>
      <c r="J49" s="1051"/>
      <c r="K49" s="1051"/>
      <c r="L49" s="1051"/>
      <c r="M49" s="1051"/>
      <c r="N49" s="1051"/>
      <c r="O49" s="1051"/>
      <c r="P49" s="1051"/>
      <c r="Q49" s="1051"/>
      <c r="AD49" s="1051"/>
      <c r="AE49" s="1051"/>
      <c r="AF49" s="1051"/>
      <c r="AG49" s="1051"/>
      <c r="AH49" s="1051"/>
      <c r="AI49" s="1051"/>
      <c r="AJ49" s="1051"/>
      <c r="AK49" s="1051"/>
      <c r="AL49" s="75"/>
      <c r="AN49" s="1051"/>
      <c r="AO49" s="1051"/>
      <c r="AP49" s="1051"/>
      <c r="AS49" s="1051"/>
      <c r="AT49" s="1051"/>
      <c r="AU49" s="1051"/>
    </row>
    <row r="50" spans="5:47">
      <c r="E50" s="1051"/>
      <c r="F50" s="1051"/>
      <c r="G50" s="1051"/>
      <c r="H50" s="1051"/>
      <c r="I50" s="1051"/>
      <c r="J50" s="1051"/>
      <c r="K50" s="1051"/>
      <c r="L50" s="1051"/>
      <c r="M50" s="1051"/>
      <c r="N50" s="1051"/>
      <c r="O50" s="1051"/>
      <c r="P50" s="1051"/>
      <c r="Q50" s="1051"/>
      <c r="AD50" s="1051"/>
      <c r="AE50" s="1051"/>
      <c r="AF50" s="1051"/>
      <c r="AG50" s="1051"/>
      <c r="AH50" s="1051"/>
      <c r="AI50" s="1051"/>
      <c r="AJ50" s="1051"/>
      <c r="AK50" s="1051"/>
      <c r="AL50" s="75"/>
      <c r="AN50" s="1051"/>
      <c r="AO50" s="1051"/>
      <c r="AP50" s="1051"/>
      <c r="AS50" s="1051"/>
      <c r="AT50" s="1051"/>
      <c r="AU50" s="1051"/>
    </row>
    <row r="51" spans="5:47">
      <c r="E51" s="1051"/>
      <c r="F51" s="1051"/>
      <c r="G51" s="1051"/>
      <c r="H51" s="1051"/>
      <c r="I51" s="1051"/>
      <c r="J51" s="1051"/>
      <c r="K51" s="1051"/>
      <c r="L51" s="1051"/>
      <c r="M51" s="1051"/>
      <c r="N51" s="1051"/>
      <c r="O51" s="1051"/>
      <c r="P51" s="1051"/>
      <c r="Q51" s="1051"/>
      <c r="AD51" s="1051"/>
      <c r="AE51" s="1051"/>
      <c r="AF51" s="1051"/>
      <c r="AG51" s="1051"/>
      <c r="AH51" s="1051"/>
      <c r="AI51" s="1051"/>
      <c r="AJ51" s="1051"/>
      <c r="AK51" s="1051"/>
      <c r="AL51" s="75"/>
      <c r="AN51" s="1051"/>
      <c r="AO51" s="1051"/>
      <c r="AP51" s="1051"/>
      <c r="AS51" s="1051"/>
      <c r="AT51" s="1051"/>
      <c r="AU51" s="1051"/>
    </row>
    <row r="52" spans="5:47">
      <c r="E52" s="1051"/>
      <c r="F52" s="1051"/>
      <c r="G52" s="1051"/>
      <c r="H52" s="1051"/>
      <c r="I52" s="1051"/>
      <c r="J52" s="1051"/>
      <c r="K52" s="1051"/>
      <c r="L52" s="1051"/>
      <c r="M52" s="1051"/>
      <c r="N52" s="1051"/>
      <c r="O52" s="1051"/>
      <c r="P52" s="1051"/>
      <c r="Q52" s="1051"/>
      <c r="AD52" s="1051"/>
      <c r="AE52" s="1051"/>
      <c r="AF52" s="1051"/>
      <c r="AG52" s="1051"/>
      <c r="AH52" s="1051"/>
      <c r="AI52" s="1051"/>
      <c r="AJ52" s="1051"/>
      <c r="AK52" s="1051"/>
      <c r="AL52" s="75"/>
      <c r="AN52" s="1051"/>
      <c r="AO52" s="1051"/>
      <c r="AP52" s="1051"/>
      <c r="AS52" s="1051"/>
      <c r="AT52" s="1051"/>
      <c r="AU52" s="1051"/>
    </row>
    <row r="53" spans="5:47">
      <c r="E53" s="1051"/>
      <c r="F53" s="1051"/>
      <c r="G53" s="1051"/>
      <c r="H53" s="1051"/>
      <c r="I53" s="1051"/>
      <c r="J53" s="1051"/>
      <c r="K53" s="1051"/>
      <c r="L53" s="1051"/>
      <c r="M53" s="1051"/>
      <c r="N53" s="1051"/>
      <c r="O53" s="1051"/>
      <c r="P53" s="1051"/>
      <c r="Q53" s="1051"/>
      <c r="AD53" s="1051"/>
      <c r="AE53" s="1051"/>
      <c r="AF53" s="1051"/>
      <c r="AG53" s="1051"/>
      <c r="AH53" s="1051"/>
      <c r="AI53" s="1051"/>
      <c r="AJ53" s="1051"/>
      <c r="AK53" s="1051"/>
      <c r="AL53" s="75"/>
      <c r="AN53" s="1051"/>
      <c r="AO53" s="1051"/>
      <c r="AP53" s="1051"/>
      <c r="AS53" s="1051"/>
      <c r="AT53" s="1051"/>
      <c r="AU53" s="1051"/>
    </row>
    <row r="54" spans="5:47">
      <c r="E54" s="69"/>
      <c r="F54" s="69"/>
      <c r="G54" s="69"/>
      <c r="H54" s="69"/>
      <c r="I54" s="69"/>
      <c r="J54" s="69"/>
      <c r="K54" s="69"/>
      <c r="L54" s="69"/>
      <c r="M54" s="69"/>
      <c r="N54" s="69"/>
      <c r="O54" s="69"/>
      <c r="P54" s="69"/>
      <c r="Q54" s="69"/>
      <c r="AD54" s="69"/>
      <c r="AE54" s="69"/>
      <c r="AU54" s="69"/>
    </row>
    <row r="55" spans="5:47">
      <c r="J55" s="69"/>
      <c r="AD55" s="69"/>
      <c r="AE55" s="69"/>
      <c r="AU55" s="69"/>
    </row>
    <row r="56" spans="5:47" ht="15" thickBot="1">
      <c r="N56" s="90" t="s">
        <v>152</v>
      </c>
      <c r="O56" s="90"/>
      <c r="P56" s="90"/>
      <c r="Q56" s="90"/>
      <c r="R56" s="90"/>
      <c r="AD56" s="69"/>
      <c r="AE56" s="69"/>
      <c r="AU56" s="69"/>
    </row>
    <row r="57" spans="5:47" ht="15" thickBot="1">
      <c r="J57" s="82"/>
      <c r="K57" s="101" t="s">
        <v>151</v>
      </c>
      <c r="L57" s="101" t="s">
        <v>150</v>
      </c>
      <c r="M57" s="100"/>
      <c r="AD57" s="69"/>
      <c r="AE57" s="69"/>
      <c r="AU57" s="69"/>
    </row>
    <row r="58" spans="5:47">
      <c r="J58" s="99">
        <v>2030</v>
      </c>
      <c r="K58">
        <v>3.7</v>
      </c>
      <c r="L58">
        <v>0.73</v>
      </c>
      <c r="M58" s="76" t="s">
        <v>149</v>
      </c>
      <c r="AD58" s="69"/>
      <c r="AE58" s="69"/>
      <c r="AU58" s="69"/>
    </row>
    <row r="59" spans="5:47">
      <c r="J59" s="99">
        <v>2050</v>
      </c>
      <c r="K59">
        <v>2.7</v>
      </c>
      <c r="L59">
        <v>0.54</v>
      </c>
      <c r="M59" s="76" t="s">
        <v>149</v>
      </c>
      <c r="AD59" s="69"/>
      <c r="AE59" s="69"/>
      <c r="AU59" s="69"/>
    </row>
    <row r="60" spans="5:47">
      <c r="J60" s="99"/>
      <c r="K60" s="1275">
        <v>0.9</v>
      </c>
      <c r="L60" s="1276"/>
      <c r="M60" s="76" t="s">
        <v>148</v>
      </c>
    </row>
    <row r="61" spans="5:47">
      <c r="J61" s="99">
        <v>2030</v>
      </c>
      <c r="L61">
        <v>4.8411111111111111E-3</v>
      </c>
      <c r="M61" s="76" t="s">
        <v>147</v>
      </c>
    </row>
    <row r="62" spans="5:47" ht="15" thickBot="1">
      <c r="J62" s="98">
        <v>2050</v>
      </c>
      <c r="K62" s="55"/>
      <c r="L62" s="55">
        <v>3.5400000000000002E-3</v>
      </c>
      <c r="M62" s="91"/>
    </row>
    <row r="69" spans="1:19">
      <c r="B69" s="69"/>
      <c r="C69" s="69"/>
      <c r="D69" s="69"/>
      <c r="E69" s="69"/>
      <c r="F69" s="69"/>
      <c r="G69" s="69"/>
      <c r="H69" s="69"/>
      <c r="I69" s="69"/>
      <c r="J69" s="69"/>
      <c r="K69" s="69"/>
      <c r="L69" s="69"/>
      <c r="M69" s="69"/>
      <c r="N69" s="69"/>
      <c r="Q69" s="69"/>
      <c r="R69" s="69"/>
    </row>
    <row r="70" spans="1:19" ht="18" thickBot="1">
      <c r="B70" s="97" t="s">
        <v>146</v>
      </c>
      <c r="C70" s="69"/>
      <c r="D70" s="69"/>
      <c r="E70" s="69"/>
      <c r="F70" s="69"/>
      <c r="G70" s="69"/>
      <c r="H70" s="69"/>
      <c r="I70" s="69"/>
      <c r="J70" s="69"/>
      <c r="K70" s="69"/>
      <c r="L70" s="69"/>
      <c r="M70" s="69"/>
      <c r="N70" s="69"/>
      <c r="O70" s="69"/>
      <c r="P70" s="69"/>
      <c r="Q70" s="7">
        <v>0.52149999999999996</v>
      </c>
      <c r="R70" s="69"/>
    </row>
    <row r="71" spans="1:19" ht="15" thickBot="1">
      <c r="A71" s="96" t="s">
        <v>144</v>
      </c>
      <c r="B71" s="69"/>
      <c r="C71" s="69">
        <v>8.76</v>
      </c>
      <c r="D71" s="69"/>
      <c r="E71" s="69"/>
      <c r="F71" s="69"/>
      <c r="J71" t="s">
        <v>145</v>
      </c>
      <c r="K71">
        <v>3.86</v>
      </c>
      <c r="Q71" s="7">
        <v>0.2235</v>
      </c>
    </row>
    <row r="72" spans="1:19" ht="28.2" thickBot="1">
      <c r="A72" s="92" t="s">
        <v>132</v>
      </c>
      <c r="B72" s="95" t="s">
        <v>143</v>
      </c>
      <c r="C72" s="95">
        <v>1095</v>
      </c>
      <c r="D72" s="95">
        <v>17520</v>
      </c>
      <c r="E72" s="94">
        <v>175200</v>
      </c>
      <c r="J72" t="s">
        <v>142</v>
      </c>
      <c r="K72">
        <v>3860</v>
      </c>
      <c r="M72" s="93"/>
    </row>
    <row r="73" spans="1:19" ht="15" thickBot="1">
      <c r="B73" s="55" t="s">
        <v>141</v>
      </c>
      <c r="C73" s="55">
        <v>1518.2648401826484</v>
      </c>
      <c r="D73" s="55">
        <v>867.57990867579906</v>
      </c>
      <c r="E73" s="91">
        <v>520.54794520547944</v>
      </c>
      <c r="J73" t="s">
        <v>140</v>
      </c>
      <c r="K73">
        <v>3.8600000000000001E-3</v>
      </c>
    </row>
    <row r="74" spans="1:19" ht="15" thickBot="1"/>
    <row r="75" spans="1:19" ht="21.6" thickBot="1">
      <c r="E75" s="90" t="s">
        <v>139</v>
      </c>
      <c r="N75" s="89" t="s">
        <v>138</v>
      </c>
      <c r="O75" s="88">
        <v>7</v>
      </c>
      <c r="P75" s="88">
        <v>6.6666666666666661</v>
      </c>
      <c r="Q75" s="88">
        <v>6.3349753694581281</v>
      </c>
      <c r="R75" s="87">
        <v>6.0549450549450547</v>
      </c>
    </row>
    <row r="76" spans="1:19" ht="15" thickBot="1"/>
    <row r="77" spans="1:19" ht="18.600000000000001" thickBot="1">
      <c r="N77" s="1277" t="s">
        <v>137</v>
      </c>
      <c r="O77" s="1278"/>
      <c r="P77" s="1278"/>
      <c r="Q77" s="1278"/>
      <c r="R77" s="1278"/>
      <c r="S77" s="1279"/>
    </row>
    <row r="78" spans="1:19" ht="15" thickBot="1">
      <c r="N78" s="82"/>
      <c r="O78" s="1" t="s">
        <v>133</v>
      </c>
      <c r="P78" s="1">
        <v>2020</v>
      </c>
      <c r="Q78" s="1">
        <v>2030</v>
      </c>
      <c r="R78" s="1">
        <v>2040</v>
      </c>
      <c r="S78" s="81">
        <v>2050</v>
      </c>
    </row>
    <row r="79" spans="1:19">
      <c r="N79" s="80" t="s">
        <v>132</v>
      </c>
      <c r="O79" t="s">
        <v>131</v>
      </c>
      <c r="P79">
        <v>0.73</v>
      </c>
      <c r="Q79">
        <v>0.33800000000000002</v>
      </c>
      <c r="R79">
        <v>0.23699999999999999</v>
      </c>
      <c r="S79" s="76">
        <v>0.19900000000000001</v>
      </c>
    </row>
    <row r="80" spans="1:19">
      <c r="N80" s="80" t="s">
        <v>130</v>
      </c>
      <c r="O80" t="s">
        <v>129</v>
      </c>
      <c r="P80">
        <v>2.92E-2</v>
      </c>
      <c r="Q80">
        <v>1.3520000000000001E-2</v>
      </c>
      <c r="R80">
        <v>9.4800000000000006E-3</v>
      </c>
      <c r="S80" s="76">
        <v>7.9600000000000001E-3</v>
      </c>
    </row>
    <row r="81" spans="14:19">
      <c r="N81" s="1273" t="s">
        <v>128</v>
      </c>
      <c r="O81" t="s">
        <v>127</v>
      </c>
      <c r="P81">
        <v>250</v>
      </c>
      <c r="Q81">
        <v>225</v>
      </c>
      <c r="R81">
        <v>203</v>
      </c>
      <c r="S81" s="76">
        <v>182</v>
      </c>
    </row>
    <row r="82" spans="14:19">
      <c r="N82" s="1273"/>
      <c r="O82" t="s">
        <v>126</v>
      </c>
      <c r="P82" s="86">
        <v>8.9999999999999998E-4</v>
      </c>
      <c r="Q82" s="86">
        <v>8.0999999999999996E-4</v>
      </c>
      <c r="R82" s="86">
        <v>7.3079999999999998E-4</v>
      </c>
      <c r="S82" s="85">
        <v>6.5519999999999999E-4</v>
      </c>
    </row>
    <row r="83" spans="14:19">
      <c r="N83" s="1273" t="s">
        <v>136</v>
      </c>
      <c r="O83" t="s">
        <v>127</v>
      </c>
      <c r="P83">
        <v>1750</v>
      </c>
      <c r="Q83">
        <v>1500</v>
      </c>
      <c r="R83">
        <v>1286</v>
      </c>
      <c r="S83" s="76">
        <v>1102</v>
      </c>
    </row>
    <row r="84" spans="14:19">
      <c r="N84" s="1273"/>
      <c r="O84" t="s">
        <v>126</v>
      </c>
      <c r="P84" s="75">
        <v>6.3E-3</v>
      </c>
      <c r="Q84" s="75">
        <v>5.3999999999999994E-3</v>
      </c>
      <c r="R84" s="75">
        <v>4.6296000000000002E-3</v>
      </c>
      <c r="S84" s="79">
        <v>3.9671999999999997E-3</v>
      </c>
    </row>
    <row r="85" spans="14:19" ht="15" thickBot="1">
      <c r="N85" s="1274"/>
      <c r="O85" t="s">
        <v>135</v>
      </c>
      <c r="P85" s="84">
        <v>7</v>
      </c>
      <c r="Q85" s="84">
        <v>6.6666666666666661</v>
      </c>
      <c r="R85" s="84">
        <v>6.3349753694581281</v>
      </c>
      <c r="S85" s="83">
        <v>6.0549450549450547</v>
      </c>
    </row>
    <row r="86" spans="14:19" ht="18.600000000000001" thickBot="1">
      <c r="N86" s="1277" t="s">
        <v>134</v>
      </c>
      <c r="O86" s="1278"/>
      <c r="P86" s="1278"/>
      <c r="Q86" s="1278"/>
      <c r="R86" s="1278"/>
      <c r="S86" s="1279"/>
    </row>
    <row r="87" spans="14:19" ht="15" thickBot="1">
      <c r="N87" s="82"/>
      <c r="O87" s="1" t="s">
        <v>133</v>
      </c>
      <c r="P87" s="1">
        <v>2020</v>
      </c>
      <c r="Q87" s="1">
        <v>2030</v>
      </c>
      <c r="R87" s="1">
        <v>2040</v>
      </c>
      <c r="S87" s="81">
        <v>2050</v>
      </c>
    </row>
    <row r="88" spans="14:19">
      <c r="N88" s="80" t="s">
        <v>132</v>
      </c>
      <c r="O88" t="s">
        <v>131</v>
      </c>
      <c r="P88">
        <v>0.81499999999999995</v>
      </c>
      <c r="Q88">
        <v>0.378</v>
      </c>
      <c r="R88">
        <v>0.26500000000000001</v>
      </c>
      <c r="S88" s="76">
        <v>0.222</v>
      </c>
    </row>
    <row r="89" spans="14:19">
      <c r="N89" s="80" t="s">
        <v>130</v>
      </c>
      <c r="O89" t="s">
        <v>129</v>
      </c>
      <c r="P89" s="75">
        <v>3.0154999999999998E-2</v>
      </c>
      <c r="Q89" s="75">
        <v>1.3986E-2</v>
      </c>
      <c r="R89" s="75">
        <v>9.8049999999999995E-3</v>
      </c>
      <c r="S89" s="79">
        <v>8.2139999999999991E-3</v>
      </c>
    </row>
    <row r="90" spans="14:19">
      <c r="N90" s="1273" t="s">
        <v>128</v>
      </c>
      <c r="O90" t="s">
        <v>127</v>
      </c>
      <c r="P90">
        <v>1535</v>
      </c>
      <c r="Q90">
        <v>1458</v>
      </c>
      <c r="R90">
        <v>1385</v>
      </c>
      <c r="S90" s="76">
        <v>1316</v>
      </c>
    </row>
    <row r="91" spans="14:19" ht="15" thickBot="1">
      <c r="N91" s="1274"/>
      <c r="O91" s="55" t="s">
        <v>126</v>
      </c>
      <c r="P91" s="78">
        <v>5.5259999999999997E-3</v>
      </c>
      <c r="Q91" s="78">
        <v>5.2487999999999996E-3</v>
      </c>
      <c r="R91" s="78">
        <v>4.986E-3</v>
      </c>
      <c r="S91" s="77">
        <v>4.7375999999999998E-3</v>
      </c>
    </row>
    <row r="92" spans="14:19">
      <c r="N92" s="1"/>
    </row>
    <row r="94" spans="14:19">
      <c r="O94">
        <v>0.73</v>
      </c>
      <c r="P94">
        <v>2.92E-2</v>
      </c>
    </row>
    <row r="95" spans="14:19">
      <c r="O95">
        <v>0.33800000000000002</v>
      </c>
      <c r="P95">
        <v>1.3520000000000001E-2</v>
      </c>
    </row>
    <row r="96" spans="14:19">
      <c r="O96">
        <v>0.23699999999999999</v>
      </c>
      <c r="P96">
        <v>9.4800000000000006E-3</v>
      </c>
    </row>
    <row r="97" spans="15:16">
      <c r="O97" s="76">
        <v>0.19900000000000001</v>
      </c>
      <c r="P97" s="76">
        <v>7.9600000000000001E-3</v>
      </c>
    </row>
    <row r="98" spans="15:16">
      <c r="O98">
        <v>0.81499999999999995</v>
      </c>
      <c r="P98" s="75">
        <v>3.0154999999999998E-2</v>
      </c>
    </row>
    <row r="99" spans="15:16">
      <c r="O99">
        <v>0.378</v>
      </c>
      <c r="P99" s="75">
        <v>1.3986E-2</v>
      </c>
    </row>
    <row r="100" spans="15:16">
      <c r="O100">
        <v>0.26500000000000001</v>
      </c>
      <c r="P100" s="75">
        <v>9.8049999999999995E-3</v>
      </c>
    </row>
    <row r="101" spans="15:16">
      <c r="O101">
        <v>0.222</v>
      </c>
      <c r="P101" s="75">
        <v>8.2139999999999991E-3</v>
      </c>
    </row>
  </sheetData>
  <mergeCells count="6">
    <mergeCell ref="N90:N91"/>
    <mergeCell ref="K60:L60"/>
    <mergeCell ref="N77:S77"/>
    <mergeCell ref="N81:N82"/>
    <mergeCell ref="N83:N85"/>
    <mergeCell ref="N86:S8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6934B-AC5F-4434-9E13-3A7F32F91445}">
  <sheetPr>
    <tabColor theme="3" tint="0.39997558519241921"/>
  </sheetPr>
  <dimension ref="B1:AF187"/>
  <sheetViews>
    <sheetView zoomScale="65" zoomScaleNormal="40" workbookViewId="0">
      <selection activeCell="J63" sqref="J63"/>
    </sheetView>
  </sheetViews>
  <sheetFormatPr defaultRowHeight="14.4"/>
  <cols>
    <col min="2" max="2" width="18.33203125" customWidth="1"/>
    <col min="3" max="3" width="56" customWidth="1"/>
    <col min="4" max="4" width="24.6640625" bestFit="1" customWidth="1"/>
    <col min="5" max="5" width="14" bestFit="1" customWidth="1"/>
    <col min="6" max="6" width="13.6640625" bestFit="1" customWidth="1"/>
    <col min="7" max="7" width="16.33203125" bestFit="1" customWidth="1"/>
    <col min="8" max="9" width="11" bestFit="1" customWidth="1"/>
    <col min="10" max="10" width="19" customWidth="1"/>
    <col min="11" max="11" width="15.6640625" customWidth="1"/>
    <col min="12" max="12" width="14.33203125" customWidth="1"/>
    <col min="13" max="13" width="10.33203125" customWidth="1"/>
    <col min="15" max="15" width="13" customWidth="1"/>
    <col min="16" max="16" width="16.6640625" bestFit="1" customWidth="1"/>
    <col min="17" max="17" width="12.88671875" customWidth="1"/>
    <col min="18" max="18" width="16.88671875" bestFit="1" customWidth="1"/>
    <col min="19" max="19" width="11.88671875" bestFit="1" customWidth="1"/>
    <col min="20" max="20" width="11.6640625" customWidth="1"/>
    <col min="21" max="21" width="12.6640625" bestFit="1" customWidth="1"/>
    <col min="22" max="22" width="11.88671875" customWidth="1"/>
    <col min="25" max="25" width="28" customWidth="1"/>
    <col min="26" max="26" width="20.33203125" customWidth="1"/>
    <col min="27" max="27" width="23.109375" bestFit="1" customWidth="1"/>
  </cols>
  <sheetData>
    <row r="1" spans="2:25">
      <c r="L1" s="158" t="s">
        <v>190</v>
      </c>
      <c r="M1" s="158">
        <v>7.45</v>
      </c>
    </row>
    <row r="2" spans="2:25">
      <c r="L2" s="158"/>
      <c r="M2" s="158"/>
    </row>
    <row r="3" spans="2:25">
      <c r="B3" s="69"/>
      <c r="C3" s="69"/>
      <c r="D3" s="69"/>
      <c r="E3" s="69"/>
      <c r="F3" s="121"/>
      <c r="G3" s="121"/>
      <c r="H3" s="121"/>
      <c r="I3" s="121" t="s">
        <v>0</v>
      </c>
      <c r="J3" s="121"/>
      <c r="K3" s="121"/>
      <c r="L3" s="69"/>
      <c r="M3" s="69"/>
      <c r="N3" s="69"/>
      <c r="O3" s="69"/>
      <c r="P3" s="69"/>
      <c r="Q3" s="69"/>
      <c r="R3" s="69"/>
      <c r="S3" s="69"/>
      <c r="T3" s="69"/>
      <c r="U3" s="69"/>
      <c r="V3" s="69"/>
      <c r="W3" s="69"/>
      <c r="X3" s="69"/>
    </row>
    <row r="4" spans="2:25">
      <c r="B4" s="157" t="s">
        <v>2</v>
      </c>
      <c r="C4" s="157" t="s">
        <v>11</v>
      </c>
      <c r="D4" s="157" t="s">
        <v>32</v>
      </c>
      <c r="E4" s="157" t="s">
        <v>189</v>
      </c>
      <c r="F4" s="157" t="s">
        <v>3</v>
      </c>
      <c r="G4" s="157" t="s">
        <v>33</v>
      </c>
      <c r="H4" s="157" t="s">
        <v>158</v>
      </c>
      <c r="I4" s="157" t="s">
        <v>1441</v>
      </c>
      <c r="J4" s="157" t="s">
        <v>34</v>
      </c>
      <c r="K4" s="157" t="s">
        <v>187</v>
      </c>
      <c r="L4" s="157" t="s">
        <v>188</v>
      </c>
      <c r="M4" s="155" t="s">
        <v>239</v>
      </c>
      <c r="N4" s="155" t="s">
        <v>186</v>
      </c>
      <c r="O4" s="155" t="s">
        <v>185</v>
      </c>
      <c r="P4" s="156" t="s">
        <v>238</v>
      </c>
      <c r="Q4" s="156" t="s">
        <v>237</v>
      </c>
      <c r="R4" s="156" t="s">
        <v>236</v>
      </c>
      <c r="S4" s="156" t="s">
        <v>235</v>
      </c>
      <c r="T4" s="155" t="s">
        <v>9</v>
      </c>
      <c r="U4" s="155" t="s">
        <v>6</v>
      </c>
      <c r="V4" s="155" t="s">
        <v>7</v>
      </c>
      <c r="W4" s="155" t="s">
        <v>8</v>
      </c>
      <c r="X4" s="117" t="s">
        <v>39</v>
      </c>
      <c r="Y4" s="154" t="s">
        <v>41</v>
      </c>
    </row>
    <row r="5" spans="2:25" ht="40.200000000000003">
      <c r="B5" s="115" t="s">
        <v>184</v>
      </c>
      <c r="C5" s="115" t="s">
        <v>19</v>
      </c>
      <c r="D5" s="115" t="s">
        <v>183</v>
      </c>
      <c r="E5" s="115" t="s">
        <v>182</v>
      </c>
      <c r="F5" s="115" t="s">
        <v>181</v>
      </c>
      <c r="G5" s="115" t="s">
        <v>234</v>
      </c>
      <c r="H5" s="115"/>
      <c r="I5" s="115"/>
      <c r="J5" s="115"/>
      <c r="K5" s="115" t="s">
        <v>233</v>
      </c>
      <c r="L5" s="115" t="s">
        <v>180</v>
      </c>
      <c r="M5" s="115" t="s">
        <v>232</v>
      </c>
      <c r="N5" s="115" t="s">
        <v>178</v>
      </c>
      <c r="O5" s="115" t="s">
        <v>177</v>
      </c>
      <c r="P5" s="115"/>
      <c r="Q5" s="115"/>
      <c r="R5" s="115"/>
      <c r="S5" s="115"/>
      <c r="T5" s="115" t="s">
        <v>176</v>
      </c>
      <c r="U5" s="115" t="s">
        <v>175</v>
      </c>
      <c r="V5" s="115" t="s">
        <v>174</v>
      </c>
      <c r="W5" s="115" t="s">
        <v>173</v>
      </c>
      <c r="X5" s="114" t="s">
        <v>67</v>
      </c>
      <c r="Y5" s="113"/>
    </row>
    <row r="6" spans="2:25" ht="27.6" thickBot="1">
      <c r="B6" s="112" t="s">
        <v>172</v>
      </c>
      <c r="C6" s="111"/>
      <c r="D6" s="111"/>
      <c r="E6" s="111"/>
      <c r="F6" s="111"/>
      <c r="G6" s="111"/>
      <c r="H6" s="111"/>
      <c r="I6" s="111"/>
      <c r="J6" s="111"/>
      <c r="K6" s="111" t="s">
        <v>231</v>
      </c>
      <c r="L6" s="111" t="s">
        <v>230</v>
      </c>
      <c r="M6" s="111" t="s">
        <v>229</v>
      </c>
      <c r="N6" s="111"/>
      <c r="O6" s="111" t="s">
        <v>62</v>
      </c>
      <c r="P6" s="111"/>
      <c r="Q6" s="111"/>
      <c r="R6" s="111"/>
      <c r="S6" s="111"/>
      <c r="T6" s="111" t="s">
        <v>228</v>
      </c>
      <c r="U6" s="110" t="s">
        <v>227</v>
      </c>
      <c r="V6" s="110" t="s">
        <v>226</v>
      </c>
      <c r="W6" s="110" t="s">
        <v>225</v>
      </c>
      <c r="X6" s="110" t="s">
        <v>165</v>
      </c>
      <c r="Y6" s="109"/>
    </row>
    <row r="7" spans="2:25">
      <c r="B7" s="19" t="s">
        <v>302</v>
      </c>
      <c r="C7" s="104" t="s">
        <v>224</v>
      </c>
      <c r="D7" s="104" t="s">
        <v>71</v>
      </c>
      <c r="E7" s="104"/>
      <c r="F7" s="104"/>
      <c r="G7" s="104"/>
      <c r="H7" s="104">
        <v>2015</v>
      </c>
      <c r="I7" s="104">
        <v>2025</v>
      </c>
      <c r="J7" s="104" t="s">
        <v>70</v>
      </c>
      <c r="K7" s="104">
        <v>0.34</v>
      </c>
      <c r="L7" s="104"/>
      <c r="M7" s="104"/>
      <c r="N7" s="104">
        <v>0.9</v>
      </c>
      <c r="O7" s="104">
        <v>20</v>
      </c>
      <c r="Q7" s="69"/>
      <c r="S7" s="69"/>
      <c r="T7" s="104">
        <v>3.1536000000000002E-2</v>
      </c>
      <c r="U7" s="104">
        <v>40.662100000000002</v>
      </c>
      <c r="V7" s="104">
        <v>1.2198629999999999</v>
      </c>
      <c r="W7" s="104">
        <v>0</v>
      </c>
      <c r="X7" s="104">
        <v>2</v>
      </c>
      <c r="Y7" s="104" t="s">
        <v>220</v>
      </c>
    </row>
    <row r="8" spans="2:25">
      <c r="B8" s="7"/>
      <c r="C8" s="69"/>
      <c r="D8" s="69"/>
      <c r="E8" s="69"/>
      <c r="F8" s="69" t="s">
        <v>223</v>
      </c>
      <c r="G8" s="69"/>
      <c r="H8" s="69"/>
      <c r="I8" s="1077"/>
      <c r="J8" s="69"/>
      <c r="K8" s="69"/>
      <c r="L8" s="69"/>
      <c r="M8" s="69"/>
      <c r="N8" s="69"/>
      <c r="O8" s="69"/>
      <c r="P8">
        <v>0</v>
      </c>
      <c r="Q8">
        <v>5</v>
      </c>
      <c r="R8">
        <v>0.40500000000000003</v>
      </c>
      <c r="S8">
        <v>5</v>
      </c>
      <c r="T8" s="69"/>
      <c r="U8" s="69"/>
      <c r="V8" s="69"/>
      <c r="W8" s="69"/>
      <c r="X8" s="69"/>
      <c r="Y8" s="69"/>
    </row>
    <row r="9" spans="2:25">
      <c r="B9" s="7"/>
      <c r="C9" s="69"/>
      <c r="F9" s="69" t="s">
        <v>222</v>
      </c>
      <c r="H9" s="69"/>
      <c r="I9" s="1077"/>
      <c r="J9" s="69"/>
      <c r="K9" s="69"/>
      <c r="M9" s="69"/>
      <c r="N9" s="69"/>
      <c r="O9" s="69"/>
      <c r="P9">
        <v>0</v>
      </c>
      <c r="Q9">
        <v>5</v>
      </c>
      <c r="R9">
        <v>0.40500000000000003</v>
      </c>
      <c r="S9">
        <v>5</v>
      </c>
      <c r="T9" s="69"/>
      <c r="U9" s="69"/>
      <c r="V9" s="69"/>
      <c r="W9" s="69"/>
      <c r="X9" s="69"/>
      <c r="Y9" s="69"/>
    </row>
    <row r="10" spans="2:25">
      <c r="B10" s="7"/>
      <c r="C10" s="69"/>
      <c r="D10" s="69"/>
      <c r="E10" s="69"/>
      <c r="F10" s="69" t="s">
        <v>211</v>
      </c>
      <c r="H10" s="69"/>
      <c r="I10" s="1077"/>
      <c r="J10" s="69"/>
      <c r="K10" s="69"/>
      <c r="L10" s="69"/>
      <c r="M10" s="69"/>
      <c r="N10" s="69"/>
      <c r="O10" s="69"/>
      <c r="P10">
        <v>0.1</v>
      </c>
      <c r="Q10">
        <v>5</v>
      </c>
      <c r="R10">
        <v>0.88</v>
      </c>
      <c r="S10">
        <v>5</v>
      </c>
      <c r="T10" s="69"/>
      <c r="U10" s="69"/>
      <c r="V10" s="69"/>
      <c r="W10" s="69"/>
      <c r="X10" s="69"/>
    </row>
    <row r="11" spans="2:25">
      <c r="B11" s="7"/>
      <c r="C11" s="69"/>
      <c r="D11" s="69"/>
      <c r="E11" s="69"/>
      <c r="G11" s="69" t="s">
        <v>216</v>
      </c>
      <c r="H11" s="69"/>
      <c r="I11" s="1077"/>
      <c r="J11" s="69"/>
      <c r="K11" s="69"/>
      <c r="L11" s="69"/>
      <c r="M11" s="148">
        <v>0.33565217391304347</v>
      </c>
      <c r="N11" s="69"/>
      <c r="O11" s="69"/>
      <c r="T11" s="69"/>
      <c r="U11" s="69"/>
      <c r="V11" s="69"/>
      <c r="W11" s="69"/>
      <c r="X11" s="69"/>
      <c r="Y11" s="153" t="s">
        <v>217</v>
      </c>
    </row>
    <row r="12" spans="2:25">
      <c r="B12" s="7"/>
      <c r="C12" s="69"/>
      <c r="D12" s="69"/>
      <c r="E12" s="69" t="s">
        <v>153</v>
      </c>
      <c r="G12" s="69"/>
      <c r="H12" s="69"/>
      <c r="I12" s="1077"/>
      <c r="J12" s="69"/>
      <c r="K12" s="69"/>
      <c r="L12" s="141">
        <v>76.793856491480682</v>
      </c>
      <c r="M12" s="69"/>
      <c r="N12" s="69"/>
      <c r="O12" s="69"/>
      <c r="T12" s="69"/>
      <c r="U12" s="69"/>
      <c r="V12" s="69"/>
      <c r="W12" s="69"/>
      <c r="X12" s="69"/>
    </row>
    <row r="13" spans="2:25">
      <c r="B13" s="7"/>
      <c r="C13" s="142" t="s">
        <v>224</v>
      </c>
      <c r="D13" s="142" t="s">
        <v>71</v>
      </c>
      <c r="E13" s="142"/>
      <c r="F13" s="142"/>
      <c r="G13" s="142"/>
      <c r="H13" s="142">
        <v>2020</v>
      </c>
      <c r="I13" s="142"/>
      <c r="J13" s="142" t="s">
        <v>70</v>
      </c>
      <c r="K13" s="142">
        <v>0.37</v>
      </c>
      <c r="L13" s="142"/>
      <c r="M13" s="142"/>
      <c r="N13" s="142">
        <v>0.9</v>
      </c>
      <c r="O13" s="142">
        <v>25</v>
      </c>
      <c r="P13" s="143"/>
      <c r="Q13" s="142"/>
      <c r="R13" s="143"/>
      <c r="S13" s="142"/>
      <c r="T13" s="142">
        <v>3.1536000000000002E-2</v>
      </c>
      <c r="U13" s="142">
        <v>33.227000000000004</v>
      </c>
      <c r="V13" s="142">
        <v>0.99681000000000008</v>
      </c>
      <c r="W13" s="142">
        <v>0</v>
      </c>
      <c r="X13" s="142">
        <v>2</v>
      </c>
      <c r="Y13" s="142"/>
    </row>
    <row r="14" spans="2:25">
      <c r="B14" s="7"/>
      <c r="C14" s="69"/>
      <c r="D14" s="69"/>
      <c r="E14" s="69"/>
      <c r="F14" s="69" t="s">
        <v>223</v>
      </c>
      <c r="G14" s="69"/>
      <c r="H14" s="69"/>
      <c r="I14" s="1077"/>
      <c r="J14" s="69"/>
      <c r="K14" s="69"/>
      <c r="L14" s="69"/>
      <c r="M14" s="69"/>
      <c r="N14" s="69"/>
      <c r="O14" s="69"/>
      <c r="P14">
        <v>0</v>
      </c>
      <c r="Q14">
        <v>5</v>
      </c>
      <c r="R14">
        <v>0.40500000000000003</v>
      </c>
      <c r="S14">
        <v>5</v>
      </c>
      <c r="T14" s="69"/>
      <c r="U14" s="69"/>
      <c r="V14" s="69"/>
      <c r="W14" s="69"/>
      <c r="X14" s="69"/>
      <c r="Y14" s="69"/>
    </row>
    <row r="15" spans="2:25">
      <c r="B15" s="7"/>
      <c r="C15" s="69"/>
      <c r="F15" s="69" t="s">
        <v>222</v>
      </c>
      <c r="H15" s="69"/>
      <c r="I15" s="1077"/>
      <c r="J15" s="69"/>
      <c r="K15" s="69"/>
      <c r="M15" s="69"/>
      <c r="N15" s="69"/>
      <c r="O15" s="69"/>
      <c r="P15">
        <v>0</v>
      </c>
      <c r="Q15">
        <v>5</v>
      </c>
      <c r="R15">
        <v>0.40500000000000003</v>
      </c>
      <c r="S15">
        <v>5</v>
      </c>
      <c r="T15" s="69"/>
      <c r="U15" s="69"/>
      <c r="V15" s="69"/>
      <c r="W15" s="69"/>
      <c r="X15" s="69"/>
      <c r="Y15" s="69"/>
    </row>
    <row r="16" spans="2:25">
      <c r="B16" s="7"/>
      <c r="C16" s="69"/>
      <c r="D16" s="69"/>
      <c r="E16" s="69"/>
      <c r="F16" s="69" t="s">
        <v>211</v>
      </c>
      <c r="H16" s="69"/>
      <c r="I16" s="1077"/>
      <c r="J16" s="69"/>
      <c r="K16" s="69"/>
      <c r="L16" s="69"/>
      <c r="M16" s="69"/>
      <c r="N16" s="69"/>
      <c r="O16" s="69"/>
      <c r="P16">
        <v>0.1</v>
      </c>
      <c r="Q16">
        <v>5</v>
      </c>
      <c r="R16">
        <v>0.88</v>
      </c>
      <c r="S16">
        <v>5</v>
      </c>
      <c r="T16" s="69"/>
      <c r="U16" s="69"/>
      <c r="V16" s="69"/>
      <c r="W16" s="69"/>
      <c r="X16" s="69"/>
    </row>
    <row r="17" spans="2:25">
      <c r="B17" s="7"/>
      <c r="C17" s="69"/>
      <c r="D17" s="69"/>
      <c r="E17" s="69"/>
      <c r="G17" s="69" t="s">
        <v>216</v>
      </c>
      <c r="H17" s="69"/>
      <c r="I17" s="1077"/>
      <c r="J17" s="69"/>
      <c r="K17" s="69"/>
      <c r="L17" s="69"/>
      <c r="M17" s="148">
        <v>0.33565217391304347</v>
      </c>
      <c r="N17" s="69"/>
      <c r="O17" s="69"/>
      <c r="T17" s="69"/>
      <c r="U17" s="69"/>
      <c r="V17" s="69"/>
      <c r="W17" s="69"/>
      <c r="X17" s="69"/>
    </row>
    <row r="18" spans="2:25">
      <c r="B18" s="7"/>
      <c r="C18" s="69"/>
      <c r="D18" s="69"/>
      <c r="E18" s="69" t="s">
        <v>153</v>
      </c>
      <c r="G18" s="69"/>
      <c r="H18" s="69"/>
      <c r="I18" s="1077"/>
      <c r="J18" s="69"/>
      <c r="K18" s="69"/>
      <c r="L18" s="141">
        <v>76.543209876543216</v>
      </c>
      <c r="M18" s="69"/>
      <c r="N18" s="69"/>
      <c r="O18" s="69"/>
      <c r="T18" s="69"/>
      <c r="U18" s="69"/>
      <c r="V18" s="69"/>
      <c r="W18" s="69"/>
      <c r="X18" s="69"/>
    </row>
    <row r="19" spans="2:25">
      <c r="B19" s="7"/>
      <c r="C19" s="142" t="s">
        <v>224</v>
      </c>
      <c r="D19" s="142" t="s">
        <v>71</v>
      </c>
      <c r="E19" s="142"/>
      <c r="F19" s="142"/>
      <c r="G19" s="142"/>
      <c r="H19" s="142">
        <v>2030</v>
      </c>
      <c r="I19" s="142"/>
      <c r="J19" s="142" t="s">
        <v>70</v>
      </c>
      <c r="K19" s="142">
        <v>0.38</v>
      </c>
      <c r="L19" s="142"/>
      <c r="M19" s="142"/>
      <c r="N19" s="142">
        <v>0.95</v>
      </c>
      <c r="O19" s="143">
        <v>25</v>
      </c>
      <c r="P19" s="142"/>
      <c r="Q19" s="143"/>
      <c r="R19" s="142"/>
      <c r="S19" s="142"/>
      <c r="T19" s="142">
        <v>3.1536000000000002E-2</v>
      </c>
      <c r="U19" s="142">
        <v>20.561999999999998</v>
      </c>
      <c r="V19" s="142">
        <v>0.61685999999999985</v>
      </c>
      <c r="W19" s="142">
        <v>0</v>
      </c>
      <c r="X19" s="142">
        <v>2</v>
      </c>
      <c r="Y19" s="142"/>
    </row>
    <row r="20" spans="2:25">
      <c r="B20" s="7"/>
      <c r="C20" s="69"/>
      <c r="D20" s="69"/>
      <c r="E20" s="69"/>
      <c r="F20" s="69" t="s">
        <v>223</v>
      </c>
      <c r="G20" s="69"/>
      <c r="H20" s="69"/>
      <c r="I20" s="1077"/>
      <c r="J20" s="69"/>
      <c r="K20" s="69"/>
      <c r="L20" s="69"/>
      <c r="M20" s="69"/>
      <c r="N20" s="69"/>
      <c r="O20" s="69"/>
      <c r="P20">
        <v>0</v>
      </c>
      <c r="Q20">
        <v>5</v>
      </c>
      <c r="R20">
        <v>0.40500000000000003</v>
      </c>
      <c r="S20">
        <v>5</v>
      </c>
      <c r="T20" s="69"/>
      <c r="U20" s="69"/>
      <c r="V20" s="69"/>
      <c r="W20" s="69"/>
      <c r="X20" s="69"/>
      <c r="Y20" s="69"/>
    </row>
    <row r="21" spans="2:25">
      <c r="B21" s="7"/>
      <c r="C21" s="69"/>
      <c r="F21" s="69" t="s">
        <v>222</v>
      </c>
      <c r="H21" s="69"/>
      <c r="I21" s="1077"/>
      <c r="J21" s="69"/>
      <c r="K21" s="69"/>
      <c r="M21" s="69"/>
      <c r="N21" s="69"/>
      <c r="O21" s="69"/>
      <c r="P21">
        <v>0</v>
      </c>
      <c r="Q21">
        <v>5</v>
      </c>
      <c r="R21">
        <v>0.40500000000000003</v>
      </c>
      <c r="S21">
        <v>5</v>
      </c>
      <c r="T21" s="69"/>
      <c r="U21" s="69"/>
      <c r="V21" s="69"/>
      <c r="W21" s="69"/>
      <c r="X21" s="69"/>
      <c r="Y21" s="69"/>
    </row>
    <row r="22" spans="2:25">
      <c r="B22" s="7"/>
      <c r="C22" s="69"/>
      <c r="D22" s="69"/>
      <c r="E22" s="69"/>
      <c r="F22" s="69" t="s">
        <v>211</v>
      </c>
      <c r="H22" s="69"/>
      <c r="I22" s="1077"/>
      <c r="J22" s="69"/>
      <c r="K22" s="69"/>
      <c r="L22" s="69"/>
      <c r="M22" s="69"/>
      <c r="N22" s="69"/>
      <c r="O22" s="69"/>
      <c r="P22">
        <v>0.1</v>
      </c>
      <c r="Q22">
        <v>5</v>
      </c>
      <c r="R22">
        <v>0.88</v>
      </c>
      <c r="S22">
        <v>5</v>
      </c>
      <c r="T22" s="69"/>
      <c r="U22" s="69"/>
      <c r="V22" s="69"/>
      <c r="W22" s="69"/>
      <c r="X22" s="69"/>
    </row>
    <row r="23" spans="2:25">
      <c r="B23" s="7"/>
      <c r="C23" s="69"/>
      <c r="D23" s="69"/>
      <c r="E23" s="69"/>
      <c r="G23" s="69" t="s">
        <v>216</v>
      </c>
      <c r="H23" s="69"/>
      <c r="I23" s="1077"/>
      <c r="J23" s="69"/>
      <c r="K23" s="69"/>
      <c r="L23" s="69"/>
      <c r="M23" s="148">
        <v>0.33565217391304347</v>
      </c>
      <c r="N23" s="69"/>
      <c r="O23" s="69"/>
      <c r="T23" s="69"/>
      <c r="U23" s="69"/>
      <c r="V23" s="69"/>
      <c r="W23" s="69"/>
      <c r="X23" s="69"/>
    </row>
    <row r="24" spans="2:25">
      <c r="B24" s="7"/>
      <c r="C24" s="69"/>
      <c r="D24" s="69"/>
      <c r="E24" s="69" t="s">
        <v>153</v>
      </c>
      <c r="G24" s="69"/>
      <c r="H24" s="69"/>
      <c r="I24" s="1077"/>
      <c r="J24" s="69"/>
      <c r="K24" s="69"/>
      <c r="L24" s="141">
        <v>76.408787010506217</v>
      </c>
      <c r="M24" s="69"/>
      <c r="N24" s="69"/>
      <c r="O24" s="69"/>
      <c r="T24" s="69"/>
      <c r="U24" s="69"/>
      <c r="V24" s="69"/>
      <c r="W24" s="69"/>
      <c r="X24" s="69"/>
    </row>
    <row r="25" spans="2:25">
      <c r="B25" s="7"/>
      <c r="C25" s="142" t="s">
        <v>224</v>
      </c>
      <c r="D25" s="142" t="s">
        <v>71</v>
      </c>
      <c r="E25" s="142"/>
      <c r="F25" s="142"/>
      <c r="G25" s="142"/>
      <c r="H25" s="142">
        <v>2040</v>
      </c>
      <c r="I25" s="142"/>
      <c r="J25" s="142" t="s">
        <v>70</v>
      </c>
      <c r="K25" s="142">
        <v>0.4</v>
      </c>
      <c r="L25" s="142"/>
      <c r="M25" s="142"/>
      <c r="N25" s="142">
        <v>0.95</v>
      </c>
      <c r="O25" s="143">
        <v>25</v>
      </c>
      <c r="P25" s="142"/>
      <c r="Q25" s="143"/>
      <c r="R25" s="142"/>
      <c r="S25" s="142"/>
      <c r="T25" s="142">
        <v>3.1536000000000002E-2</v>
      </c>
      <c r="U25" s="142">
        <v>18.416399999999999</v>
      </c>
      <c r="V25" s="142">
        <v>0.55249199999999998</v>
      </c>
      <c r="W25" s="142">
        <v>0</v>
      </c>
      <c r="X25" s="142">
        <v>2</v>
      </c>
      <c r="Y25" s="142"/>
    </row>
    <row r="26" spans="2:25">
      <c r="B26" s="7"/>
      <c r="C26" s="69"/>
      <c r="D26" s="69"/>
      <c r="E26" s="69"/>
      <c r="F26" s="69" t="s">
        <v>223</v>
      </c>
      <c r="G26" s="69"/>
      <c r="H26" s="69"/>
      <c r="I26" s="1077"/>
      <c r="J26" s="69"/>
      <c r="K26" s="69"/>
      <c r="L26" s="69"/>
      <c r="M26" s="69"/>
      <c r="N26" s="69"/>
      <c r="O26" s="69"/>
      <c r="P26">
        <v>0</v>
      </c>
      <c r="Q26">
        <v>5</v>
      </c>
      <c r="R26">
        <v>0.40500000000000003</v>
      </c>
      <c r="S26">
        <v>5</v>
      </c>
      <c r="T26" s="69"/>
      <c r="U26" s="69"/>
      <c r="V26" s="69"/>
      <c r="W26" s="69"/>
      <c r="X26" s="69"/>
      <c r="Y26" s="69"/>
    </row>
    <row r="27" spans="2:25">
      <c r="B27" s="7"/>
      <c r="C27" s="69"/>
      <c r="F27" s="69" t="s">
        <v>222</v>
      </c>
      <c r="H27" s="69"/>
      <c r="I27" s="1077"/>
      <c r="J27" s="69"/>
      <c r="K27" s="69"/>
      <c r="M27" s="69"/>
      <c r="N27" s="69"/>
      <c r="O27" s="69"/>
      <c r="P27">
        <v>0</v>
      </c>
      <c r="Q27">
        <v>5</v>
      </c>
      <c r="R27">
        <v>0.40500000000000003</v>
      </c>
      <c r="S27">
        <v>5</v>
      </c>
      <c r="T27" s="69"/>
      <c r="U27" s="69"/>
      <c r="V27" s="69"/>
      <c r="W27" s="69"/>
      <c r="X27" s="69"/>
      <c r="Y27" s="69"/>
    </row>
    <row r="28" spans="2:25">
      <c r="B28" s="7"/>
      <c r="C28" s="69"/>
      <c r="D28" s="69"/>
      <c r="E28" s="69"/>
      <c r="F28" s="69" t="s">
        <v>211</v>
      </c>
      <c r="H28" s="69"/>
      <c r="I28" s="1077"/>
      <c r="J28" s="69"/>
      <c r="K28" s="69"/>
      <c r="L28" s="69"/>
      <c r="M28" s="69"/>
      <c r="N28" s="69"/>
      <c r="O28" s="69"/>
      <c r="P28">
        <v>0.1</v>
      </c>
      <c r="Q28">
        <v>5</v>
      </c>
      <c r="R28">
        <v>0.88</v>
      </c>
      <c r="S28">
        <v>5</v>
      </c>
      <c r="T28" s="69"/>
      <c r="U28" s="69"/>
      <c r="V28" s="69"/>
      <c r="W28" s="69"/>
      <c r="X28" s="69"/>
    </row>
    <row r="29" spans="2:25">
      <c r="B29" s="7"/>
      <c r="C29" s="69"/>
      <c r="D29" s="69"/>
      <c r="E29" s="69"/>
      <c r="G29" s="69" t="s">
        <v>216</v>
      </c>
      <c r="H29" s="69"/>
      <c r="I29" s="1077"/>
      <c r="J29" s="69"/>
      <c r="K29" s="69"/>
      <c r="L29" s="69"/>
      <c r="M29" s="148">
        <v>0.33565217391304347</v>
      </c>
      <c r="N29" s="69"/>
      <c r="O29" s="69"/>
      <c r="T29" s="69"/>
      <c r="U29" s="69"/>
      <c r="V29" s="69"/>
      <c r="W29" s="69"/>
      <c r="X29" s="69"/>
    </row>
    <row r="30" spans="2:25">
      <c r="B30" s="7"/>
      <c r="C30" s="69"/>
      <c r="D30" s="69"/>
      <c r="E30" s="69" t="s">
        <v>153</v>
      </c>
      <c r="G30" s="69"/>
      <c r="H30" s="69"/>
      <c r="I30" s="1077"/>
      <c r="J30" s="69"/>
      <c r="K30" s="69"/>
      <c r="L30" s="141">
        <v>76.452599388379213</v>
      </c>
      <c r="M30" s="69"/>
      <c r="N30" s="69"/>
      <c r="O30" s="69"/>
      <c r="T30" s="69"/>
      <c r="U30" s="69"/>
      <c r="V30" s="69"/>
      <c r="W30" s="69"/>
      <c r="X30" s="69"/>
    </row>
    <row r="31" spans="2:25">
      <c r="B31" s="7"/>
      <c r="C31" s="142" t="s">
        <v>224</v>
      </c>
      <c r="D31" s="142" t="s">
        <v>71</v>
      </c>
      <c r="E31" s="142"/>
      <c r="F31" s="142"/>
      <c r="G31" s="142"/>
      <c r="H31" s="142">
        <v>2050</v>
      </c>
      <c r="I31" s="142"/>
      <c r="J31" s="142" t="s">
        <v>70</v>
      </c>
      <c r="K31" s="142">
        <v>0.4</v>
      </c>
      <c r="L31" s="142"/>
      <c r="M31" s="142"/>
      <c r="N31" s="142">
        <v>0.95</v>
      </c>
      <c r="O31" s="143">
        <v>25</v>
      </c>
      <c r="P31" s="142"/>
      <c r="Q31" s="143"/>
      <c r="R31" s="142"/>
      <c r="S31" s="142"/>
      <c r="T31" s="142">
        <v>3.1536000000000002E-2</v>
      </c>
      <c r="U31" s="142">
        <v>18.133300000000002</v>
      </c>
      <c r="V31" s="142">
        <v>0.54399900000000001</v>
      </c>
      <c r="W31" s="142">
        <v>0</v>
      </c>
      <c r="X31" s="142">
        <v>2</v>
      </c>
      <c r="Y31" s="142"/>
    </row>
    <row r="32" spans="2:25">
      <c r="B32" s="7"/>
      <c r="C32" s="69"/>
      <c r="D32" s="69"/>
      <c r="E32" s="69"/>
      <c r="F32" s="69" t="s">
        <v>223</v>
      </c>
      <c r="G32" s="69"/>
      <c r="H32" s="69"/>
      <c r="I32" s="1077"/>
      <c r="J32" s="69"/>
      <c r="K32" s="69"/>
      <c r="L32" s="69"/>
      <c r="M32" s="69"/>
      <c r="N32" s="69"/>
      <c r="O32" s="69"/>
      <c r="P32">
        <v>0</v>
      </c>
      <c r="Q32">
        <v>5</v>
      </c>
      <c r="R32">
        <v>0.40500000000000003</v>
      </c>
      <c r="S32">
        <v>5</v>
      </c>
      <c r="T32" s="69"/>
      <c r="U32" s="69"/>
      <c r="V32" s="69"/>
      <c r="W32" s="69"/>
      <c r="X32" s="69"/>
      <c r="Y32" s="69"/>
    </row>
    <row r="33" spans="2:25">
      <c r="B33" s="7"/>
      <c r="C33" s="69"/>
      <c r="F33" s="69" t="s">
        <v>222</v>
      </c>
      <c r="H33" s="69"/>
      <c r="I33" s="1077"/>
      <c r="J33" s="69"/>
      <c r="K33" s="69"/>
      <c r="M33" s="69"/>
      <c r="N33" s="69"/>
      <c r="O33" s="69"/>
      <c r="P33">
        <v>0</v>
      </c>
      <c r="Q33">
        <v>5</v>
      </c>
      <c r="R33">
        <v>0.40500000000000003</v>
      </c>
      <c r="S33">
        <v>5</v>
      </c>
      <c r="T33" s="69"/>
      <c r="U33" s="69"/>
      <c r="V33" s="69"/>
      <c r="W33" s="69"/>
      <c r="X33" s="69"/>
      <c r="Y33" s="69"/>
    </row>
    <row r="34" spans="2:25">
      <c r="B34" s="7"/>
      <c r="C34" s="69"/>
      <c r="D34" s="69"/>
      <c r="E34" s="69"/>
      <c r="F34" s="69" t="s">
        <v>211</v>
      </c>
      <c r="H34" s="69"/>
      <c r="I34" s="1077"/>
      <c r="J34" s="69"/>
      <c r="K34" s="69"/>
      <c r="L34" s="69"/>
      <c r="M34" s="69"/>
      <c r="N34" s="69"/>
      <c r="O34" s="69"/>
      <c r="P34">
        <v>0.1</v>
      </c>
      <c r="Q34">
        <v>5</v>
      </c>
      <c r="R34">
        <v>0.88</v>
      </c>
      <c r="S34">
        <v>5</v>
      </c>
      <c r="T34" s="69"/>
      <c r="U34" s="69"/>
      <c r="V34" s="69"/>
      <c r="W34" s="69"/>
      <c r="X34" s="69"/>
    </row>
    <row r="35" spans="2:25">
      <c r="B35" s="7"/>
      <c r="C35" s="69"/>
      <c r="D35" s="69"/>
      <c r="E35" s="69"/>
      <c r="G35" s="69" t="s">
        <v>216</v>
      </c>
      <c r="H35" s="69"/>
      <c r="I35" s="1077"/>
      <c r="J35" s="69"/>
      <c r="K35" s="69"/>
      <c r="L35" s="69"/>
      <c r="M35" s="148">
        <v>0.33565217391304347</v>
      </c>
      <c r="N35" s="69"/>
      <c r="O35" s="69"/>
      <c r="T35" s="69"/>
      <c r="U35" s="69"/>
      <c r="V35" s="69"/>
      <c r="W35" s="69"/>
      <c r="X35" s="69"/>
    </row>
    <row r="36" spans="2:25" ht="15" thickBot="1">
      <c r="B36" s="7"/>
      <c r="C36" s="69"/>
      <c r="D36" s="69"/>
      <c r="E36" s="69" t="s">
        <v>153</v>
      </c>
      <c r="G36" s="69"/>
      <c r="H36" s="69"/>
      <c r="I36" s="1077"/>
      <c r="J36" s="69"/>
      <c r="K36" s="69"/>
      <c r="L36" s="141">
        <v>77.060931899641574</v>
      </c>
      <c r="M36" s="69"/>
      <c r="N36" s="69"/>
      <c r="O36" s="69"/>
      <c r="T36" s="69"/>
      <c r="U36" s="69"/>
      <c r="V36" s="69"/>
      <c r="W36" s="69"/>
      <c r="X36" s="69"/>
    </row>
    <row r="37" spans="2:25">
      <c r="B37" s="19" t="s">
        <v>303</v>
      </c>
      <c r="C37" s="104" t="s">
        <v>221</v>
      </c>
      <c r="D37" s="104" t="s">
        <v>71</v>
      </c>
      <c r="E37" s="104"/>
      <c r="F37" s="104"/>
      <c r="G37" s="104"/>
      <c r="H37" s="104">
        <v>2015</v>
      </c>
      <c r="I37" s="104">
        <v>2025</v>
      </c>
      <c r="J37" s="104" t="s">
        <v>70</v>
      </c>
      <c r="K37" s="104">
        <v>0.44</v>
      </c>
      <c r="L37" s="104"/>
      <c r="M37" s="104"/>
      <c r="N37" s="104">
        <v>0.9</v>
      </c>
      <c r="O37" s="152">
        <v>10</v>
      </c>
      <c r="P37" s="104"/>
      <c r="Q37" s="104"/>
      <c r="R37" s="104"/>
      <c r="S37" s="104"/>
      <c r="T37" s="104">
        <v>3.1536000000000002E-2</v>
      </c>
      <c r="U37" s="104">
        <v>41.056950000000001</v>
      </c>
      <c r="V37" s="104">
        <v>1.2317084999999999</v>
      </c>
      <c r="W37" s="104">
        <v>0</v>
      </c>
      <c r="X37" s="104">
        <v>2</v>
      </c>
      <c r="Y37" s="104" t="s">
        <v>220</v>
      </c>
    </row>
    <row r="38" spans="2:25">
      <c r="B38" s="7"/>
      <c r="C38" s="69"/>
      <c r="D38" s="69"/>
      <c r="E38" s="69"/>
      <c r="F38" s="69" t="s">
        <v>223</v>
      </c>
      <c r="G38" s="69"/>
      <c r="H38" s="69"/>
      <c r="I38" s="1077"/>
      <c r="J38" s="69"/>
      <c r="K38" s="69"/>
      <c r="L38" s="69"/>
      <c r="M38" s="69"/>
      <c r="N38" s="69"/>
      <c r="O38" s="69"/>
      <c r="P38" s="69">
        <v>0</v>
      </c>
      <c r="Q38" s="69">
        <v>5</v>
      </c>
      <c r="R38" s="69">
        <v>0.40500000000000003</v>
      </c>
      <c r="S38" s="69">
        <v>5</v>
      </c>
      <c r="T38" s="69"/>
      <c r="U38" s="69"/>
      <c r="V38" s="69"/>
      <c r="W38" s="69"/>
      <c r="X38" s="69"/>
      <c r="Y38" s="69"/>
    </row>
    <row r="39" spans="2:25">
      <c r="B39" s="7"/>
      <c r="C39" s="69"/>
      <c r="F39" s="69" t="s">
        <v>222</v>
      </c>
      <c r="H39" s="69"/>
      <c r="I39" s="1077"/>
      <c r="J39" s="69"/>
      <c r="K39" s="69"/>
      <c r="M39" s="69"/>
      <c r="N39" s="69"/>
      <c r="O39" s="69"/>
      <c r="P39">
        <v>0</v>
      </c>
      <c r="Q39">
        <v>5</v>
      </c>
      <c r="R39">
        <v>0.40500000000000003</v>
      </c>
      <c r="S39">
        <v>5</v>
      </c>
      <c r="T39" s="69"/>
      <c r="U39" s="69"/>
      <c r="V39" s="69"/>
      <c r="W39" s="69"/>
      <c r="X39" s="69"/>
      <c r="Y39" s="69"/>
    </row>
    <row r="40" spans="2:25">
      <c r="B40" s="7"/>
      <c r="C40" s="69"/>
      <c r="D40" s="69"/>
      <c r="E40" s="69"/>
      <c r="F40" s="69" t="s">
        <v>211</v>
      </c>
      <c r="G40" s="69"/>
      <c r="H40" s="69"/>
      <c r="I40" s="1077"/>
      <c r="J40" s="69"/>
      <c r="K40" s="69"/>
      <c r="L40" s="69"/>
      <c r="M40" s="69"/>
      <c r="N40" s="69"/>
      <c r="O40" s="69"/>
      <c r="P40">
        <v>0.1</v>
      </c>
      <c r="Q40">
        <v>5</v>
      </c>
      <c r="R40">
        <v>0.88</v>
      </c>
      <c r="S40">
        <v>5</v>
      </c>
      <c r="T40" s="69"/>
      <c r="U40" s="69"/>
      <c r="V40" s="69"/>
      <c r="W40" s="69"/>
      <c r="X40" s="69"/>
      <c r="Y40" s="69"/>
    </row>
    <row r="41" spans="2:25">
      <c r="B41" s="7"/>
      <c r="C41" s="69"/>
      <c r="D41" s="69"/>
      <c r="E41" s="69" t="s">
        <v>153</v>
      </c>
      <c r="F41" s="69"/>
      <c r="G41" s="69"/>
      <c r="H41" s="69"/>
      <c r="I41" s="1077"/>
      <c r="J41" s="69"/>
      <c r="K41" s="69"/>
      <c r="L41" s="141">
        <v>76.69082125603866</v>
      </c>
      <c r="M41" s="69"/>
      <c r="N41" s="69"/>
      <c r="O41" s="69"/>
      <c r="T41" s="69"/>
      <c r="U41" s="69"/>
      <c r="V41" s="69"/>
      <c r="W41" s="69"/>
      <c r="X41" s="69"/>
      <c r="Y41" s="69"/>
    </row>
    <row r="42" spans="2:25">
      <c r="B42" s="7"/>
      <c r="C42" s="142" t="s">
        <v>221</v>
      </c>
      <c r="D42" s="142" t="s">
        <v>71</v>
      </c>
      <c r="E42" s="142"/>
      <c r="F42" s="142"/>
      <c r="G42" s="142"/>
      <c r="H42" s="142">
        <v>2020</v>
      </c>
      <c r="I42" s="142"/>
      <c r="J42" s="142" t="s">
        <v>70</v>
      </c>
      <c r="K42" s="142">
        <v>0.44</v>
      </c>
      <c r="L42" s="142"/>
      <c r="M42" s="142"/>
      <c r="N42" s="142">
        <v>0.9</v>
      </c>
      <c r="O42" s="143">
        <v>10</v>
      </c>
      <c r="P42" s="142"/>
      <c r="Q42" s="143"/>
      <c r="R42" s="142"/>
      <c r="S42" s="142"/>
      <c r="T42" s="142">
        <v>3.1536000000000002E-2</v>
      </c>
      <c r="U42" s="142">
        <v>26.007950000000001</v>
      </c>
      <c r="V42" s="142">
        <v>0.78023850000000006</v>
      </c>
      <c r="W42" s="142">
        <v>0</v>
      </c>
      <c r="X42" s="142">
        <v>2</v>
      </c>
      <c r="Y42" s="142"/>
    </row>
    <row r="43" spans="2:25">
      <c r="B43" s="7"/>
      <c r="C43" s="69"/>
      <c r="D43" s="69"/>
      <c r="E43" s="69"/>
      <c r="F43" s="69" t="s">
        <v>223</v>
      </c>
      <c r="G43" s="69"/>
      <c r="H43" s="69"/>
      <c r="I43" s="1077"/>
      <c r="J43" s="69"/>
      <c r="K43" s="69"/>
      <c r="L43" s="69"/>
      <c r="M43" s="69"/>
      <c r="N43" s="69"/>
      <c r="O43" s="69"/>
      <c r="P43" s="69">
        <v>0</v>
      </c>
      <c r="Q43" s="69">
        <v>5</v>
      </c>
      <c r="R43" s="69">
        <v>0.40500000000000003</v>
      </c>
      <c r="S43" s="69">
        <v>5</v>
      </c>
      <c r="T43" s="69"/>
      <c r="U43" s="69"/>
      <c r="V43" s="69"/>
      <c r="W43" s="69"/>
      <c r="X43" s="69"/>
      <c r="Y43" s="69"/>
    </row>
    <row r="44" spans="2:25">
      <c r="B44" s="7"/>
      <c r="C44" s="69"/>
      <c r="F44" s="69" t="s">
        <v>222</v>
      </c>
      <c r="H44" s="69"/>
      <c r="I44" s="1077"/>
      <c r="J44" s="69"/>
      <c r="K44" s="69"/>
      <c r="M44" s="69"/>
      <c r="N44" s="69"/>
      <c r="O44" s="69"/>
      <c r="P44">
        <v>0</v>
      </c>
      <c r="Q44">
        <v>5</v>
      </c>
      <c r="R44">
        <v>0.40500000000000003</v>
      </c>
      <c r="S44">
        <v>5</v>
      </c>
      <c r="T44" s="69"/>
      <c r="U44" s="69"/>
      <c r="V44" s="69"/>
      <c r="W44" s="69"/>
      <c r="X44" s="69"/>
      <c r="Y44" s="69"/>
    </row>
    <row r="45" spans="2:25">
      <c r="B45" s="7"/>
      <c r="C45" s="69"/>
      <c r="D45" s="69"/>
      <c r="E45" s="69"/>
      <c r="F45" s="69" t="s">
        <v>211</v>
      </c>
      <c r="G45" s="69"/>
      <c r="H45" s="69"/>
      <c r="I45" s="1077"/>
      <c r="J45" s="69"/>
      <c r="K45" s="69"/>
      <c r="L45" s="69"/>
      <c r="M45" s="69"/>
      <c r="N45" s="69"/>
      <c r="O45" s="69"/>
      <c r="P45">
        <v>0.1</v>
      </c>
      <c r="Q45">
        <v>5</v>
      </c>
      <c r="R45">
        <v>0.88</v>
      </c>
      <c r="S45">
        <v>5</v>
      </c>
      <c r="T45" s="69"/>
      <c r="U45" s="69"/>
      <c r="V45" s="69"/>
      <c r="W45" s="69"/>
      <c r="X45" s="69"/>
      <c r="Y45" s="69"/>
    </row>
    <row r="46" spans="2:25">
      <c r="B46" s="7"/>
      <c r="C46" s="69"/>
      <c r="D46" s="69"/>
      <c r="E46" s="69" t="s">
        <v>153</v>
      </c>
      <c r="F46" s="69"/>
      <c r="G46" s="69"/>
      <c r="H46" s="69"/>
      <c r="I46" s="1077"/>
      <c r="J46" s="69"/>
      <c r="K46" s="69"/>
      <c r="L46" s="141">
        <v>76.435495898583142</v>
      </c>
      <c r="M46" s="69"/>
      <c r="N46" s="69"/>
      <c r="O46" s="69"/>
      <c r="T46" s="69"/>
      <c r="U46" s="69"/>
      <c r="V46" s="69"/>
      <c r="W46" s="69"/>
      <c r="X46" s="69"/>
      <c r="Y46" s="69"/>
    </row>
    <row r="47" spans="2:25">
      <c r="B47" s="7"/>
      <c r="C47" s="142" t="s">
        <v>221</v>
      </c>
      <c r="D47" s="142" t="s">
        <v>71</v>
      </c>
      <c r="E47" s="142"/>
      <c r="F47" s="142"/>
      <c r="G47" s="142"/>
      <c r="H47" s="142">
        <v>2030</v>
      </c>
      <c r="I47" s="142"/>
      <c r="J47" s="142" t="s">
        <v>70</v>
      </c>
      <c r="K47" s="142">
        <v>0.45</v>
      </c>
      <c r="L47" s="142"/>
      <c r="M47" s="142"/>
      <c r="N47" s="142">
        <v>0.95</v>
      </c>
      <c r="O47" s="143">
        <v>15</v>
      </c>
      <c r="P47" s="142"/>
      <c r="Q47" s="143"/>
      <c r="R47" s="142"/>
      <c r="S47" s="142"/>
      <c r="T47" s="142">
        <v>3.1536000000000002E-2</v>
      </c>
      <c r="U47" s="142">
        <v>18.803799999999999</v>
      </c>
      <c r="V47" s="142">
        <v>0.56411399999999989</v>
      </c>
      <c r="W47" s="142">
        <v>0</v>
      </c>
      <c r="X47" s="142">
        <v>2</v>
      </c>
      <c r="Y47" s="142"/>
    </row>
    <row r="48" spans="2:25">
      <c r="B48" s="7"/>
      <c r="C48" s="69"/>
      <c r="D48" s="69"/>
      <c r="E48" s="69"/>
      <c r="F48" s="69" t="s">
        <v>223</v>
      </c>
      <c r="G48" s="69"/>
      <c r="H48" s="69"/>
      <c r="I48" s="1077"/>
      <c r="J48" s="69"/>
      <c r="K48" s="69"/>
      <c r="L48" s="69"/>
      <c r="M48" s="69"/>
      <c r="N48" s="69"/>
      <c r="O48" s="69"/>
      <c r="P48" s="69">
        <v>0</v>
      </c>
      <c r="Q48" s="69">
        <v>5</v>
      </c>
      <c r="R48" s="69">
        <v>0.40500000000000003</v>
      </c>
      <c r="S48" s="69">
        <v>5</v>
      </c>
      <c r="T48" s="69"/>
      <c r="U48" s="69"/>
      <c r="V48" s="69"/>
      <c r="W48" s="69"/>
      <c r="X48" s="69"/>
      <c r="Y48" s="69"/>
    </row>
    <row r="49" spans="2:32">
      <c r="B49" s="7"/>
      <c r="C49" s="69"/>
      <c r="F49" s="69" t="s">
        <v>222</v>
      </c>
      <c r="H49" s="69"/>
      <c r="I49" s="1077"/>
      <c r="J49" s="69"/>
      <c r="K49" s="69"/>
      <c r="M49" s="69"/>
      <c r="N49" s="69"/>
      <c r="O49" s="69"/>
      <c r="P49">
        <v>0</v>
      </c>
      <c r="Q49">
        <v>5</v>
      </c>
      <c r="R49">
        <v>0.40500000000000003</v>
      </c>
      <c r="S49">
        <v>5</v>
      </c>
      <c r="T49" s="69"/>
      <c r="U49" s="69"/>
      <c r="V49" s="69"/>
      <c r="W49" s="69"/>
      <c r="X49" s="69"/>
      <c r="Y49" s="69"/>
    </row>
    <row r="50" spans="2:32">
      <c r="B50" s="7"/>
      <c r="C50" s="69"/>
      <c r="D50" s="69"/>
      <c r="E50" s="69"/>
      <c r="F50" s="69" t="s">
        <v>211</v>
      </c>
      <c r="G50" s="69"/>
      <c r="H50" s="69"/>
      <c r="I50" s="1077"/>
      <c r="J50" s="69"/>
      <c r="K50" s="69"/>
      <c r="L50" s="69"/>
      <c r="M50" s="69"/>
      <c r="N50" s="69"/>
      <c r="O50" s="69"/>
      <c r="P50">
        <v>0.1</v>
      </c>
      <c r="Q50">
        <v>5</v>
      </c>
      <c r="R50">
        <v>0.88</v>
      </c>
      <c r="S50">
        <v>5</v>
      </c>
      <c r="T50" s="69"/>
      <c r="U50" s="69"/>
      <c r="V50" s="69"/>
      <c r="W50" s="69"/>
      <c r="X50" s="69"/>
      <c r="Y50" s="69"/>
    </row>
    <row r="51" spans="2:32">
      <c r="B51" s="7"/>
      <c r="C51" s="69"/>
      <c r="D51" s="69"/>
      <c r="E51" s="69" t="s">
        <v>153</v>
      </c>
      <c r="F51" s="69"/>
      <c r="G51" s="69"/>
      <c r="H51" s="69"/>
      <c r="I51" s="1077"/>
      <c r="J51" s="69"/>
      <c r="K51" s="69"/>
      <c r="L51" s="141">
        <v>76.628352490421449</v>
      </c>
      <c r="M51" s="69"/>
      <c r="N51" s="69"/>
      <c r="O51" s="69"/>
      <c r="T51" s="69"/>
      <c r="U51" s="69"/>
      <c r="V51" s="69"/>
      <c r="W51" s="69"/>
      <c r="X51" s="69"/>
      <c r="Y51" s="69"/>
    </row>
    <row r="52" spans="2:32">
      <c r="B52" s="7"/>
      <c r="C52" s="142" t="s">
        <v>221</v>
      </c>
      <c r="D52" s="142" t="s">
        <v>71</v>
      </c>
      <c r="E52" s="142"/>
      <c r="F52" s="142"/>
      <c r="G52" s="142"/>
      <c r="H52" s="142">
        <v>2040</v>
      </c>
      <c r="I52" s="142"/>
      <c r="J52" s="142" t="s">
        <v>70</v>
      </c>
      <c r="K52" s="142">
        <v>0.45</v>
      </c>
      <c r="L52" s="142"/>
      <c r="M52" s="142"/>
      <c r="N52" s="142">
        <v>0.95</v>
      </c>
      <c r="O52" s="143">
        <v>15</v>
      </c>
      <c r="P52" s="142"/>
      <c r="Q52" s="143"/>
      <c r="R52" s="142"/>
      <c r="S52" s="142"/>
      <c r="T52" s="142">
        <v>3.1536000000000002E-2</v>
      </c>
      <c r="U52" s="142">
        <v>17.187149999999999</v>
      </c>
      <c r="V52" s="142">
        <v>0.51561449999999998</v>
      </c>
      <c r="W52" s="142">
        <v>0</v>
      </c>
      <c r="X52" s="142">
        <v>2</v>
      </c>
      <c r="Y52" s="142"/>
    </row>
    <row r="53" spans="2:32">
      <c r="B53" s="7"/>
      <c r="C53" s="69"/>
      <c r="D53" s="69"/>
      <c r="E53" s="69"/>
      <c r="F53" s="69" t="s">
        <v>223</v>
      </c>
      <c r="G53" s="69"/>
      <c r="H53" s="69"/>
      <c r="I53" s="1077"/>
      <c r="J53" s="69"/>
      <c r="K53" s="69"/>
      <c r="L53" s="69"/>
      <c r="M53" s="69"/>
      <c r="N53" s="69"/>
      <c r="O53" s="69"/>
      <c r="P53" s="69">
        <v>0</v>
      </c>
      <c r="Q53" s="69">
        <v>5</v>
      </c>
      <c r="R53" s="69">
        <v>0.40500000000000003</v>
      </c>
      <c r="S53" s="69">
        <v>5</v>
      </c>
      <c r="T53" s="69"/>
      <c r="U53" s="69"/>
      <c r="V53" s="69"/>
      <c r="W53" s="69"/>
      <c r="X53" s="69"/>
      <c r="Y53" s="69"/>
    </row>
    <row r="54" spans="2:32">
      <c r="B54" s="7"/>
      <c r="C54" s="69"/>
      <c r="F54" s="69" t="s">
        <v>222</v>
      </c>
      <c r="H54" s="69"/>
      <c r="I54" s="1077"/>
      <c r="J54" s="69"/>
      <c r="K54" s="69"/>
      <c r="M54" s="69"/>
      <c r="N54" s="69"/>
      <c r="O54" s="69"/>
      <c r="P54">
        <v>0</v>
      </c>
      <c r="Q54">
        <v>5</v>
      </c>
      <c r="R54">
        <v>0.40500000000000003</v>
      </c>
      <c r="S54">
        <v>5</v>
      </c>
      <c r="T54" s="69"/>
      <c r="U54" s="69"/>
      <c r="V54" s="69"/>
      <c r="W54" s="69"/>
      <c r="X54" s="69"/>
      <c r="Y54" s="69"/>
    </row>
    <row r="55" spans="2:32">
      <c r="B55" s="7"/>
      <c r="C55" s="69"/>
      <c r="D55" s="69"/>
      <c r="E55" s="69"/>
      <c r="F55" s="69" t="s">
        <v>211</v>
      </c>
      <c r="G55" s="69"/>
      <c r="H55" s="69"/>
      <c r="I55" s="1077"/>
      <c r="J55" s="69"/>
      <c r="K55" s="69"/>
      <c r="L55" s="69"/>
      <c r="M55" s="69"/>
      <c r="N55" s="69"/>
      <c r="O55" s="69"/>
      <c r="P55">
        <v>0.1</v>
      </c>
      <c r="Q55">
        <v>5</v>
      </c>
      <c r="R55">
        <v>0.88</v>
      </c>
      <c r="S55">
        <v>5</v>
      </c>
      <c r="T55" s="69"/>
      <c r="U55" s="69"/>
      <c r="V55" s="69"/>
      <c r="W55" s="69"/>
      <c r="X55" s="69"/>
      <c r="Y55" s="69"/>
    </row>
    <row r="56" spans="2:32">
      <c r="B56" s="7"/>
      <c r="C56" s="69"/>
      <c r="D56" s="69"/>
      <c r="E56" s="69" t="s">
        <v>153</v>
      </c>
      <c r="F56" s="69"/>
      <c r="G56" s="69"/>
      <c r="H56" s="69"/>
      <c r="I56" s="1077"/>
      <c r="J56" s="69"/>
      <c r="K56" s="69"/>
      <c r="L56" s="141">
        <v>76.687116564417181</v>
      </c>
      <c r="M56" s="69"/>
      <c r="N56" s="69"/>
      <c r="O56" s="69"/>
      <c r="T56" s="69"/>
      <c r="U56" s="69"/>
      <c r="V56" s="69"/>
      <c r="W56" s="69"/>
      <c r="X56" s="69"/>
      <c r="Y56" s="69"/>
    </row>
    <row r="57" spans="2:32">
      <c r="B57" s="7"/>
      <c r="C57" s="142" t="s">
        <v>221</v>
      </c>
      <c r="D57" s="142" t="s">
        <v>71</v>
      </c>
      <c r="E57" s="142"/>
      <c r="F57" s="142"/>
      <c r="G57" s="142"/>
      <c r="H57" s="142">
        <v>2050</v>
      </c>
      <c r="I57" s="142"/>
      <c r="J57" s="142" t="s">
        <v>70</v>
      </c>
      <c r="K57" s="142">
        <v>0.45</v>
      </c>
      <c r="L57" s="142"/>
      <c r="M57" s="142"/>
      <c r="N57" s="142">
        <v>0.95</v>
      </c>
      <c r="O57" s="143">
        <v>15</v>
      </c>
      <c r="P57" s="142"/>
      <c r="Q57" s="143"/>
      <c r="R57" s="142"/>
      <c r="S57" s="142"/>
      <c r="T57" s="142">
        <v>3.1536000000000002E-2</v>
      </c>
      <c r="U57" s="142">
        <v>16.941300000000002</v>
      </c>
      <c r="V57" s="142">
        <v>0.508239</v>
      </c>
      <c r="W57" s="142">
        <v>0</v>
      </c>
      <c r="X57" s="142">
        <v>2</v>
      </c>
      <c r="Y57" s="142"/>
    </row>
    <row r="58" spans="2:32">
      <c r="B58" s="7"/>
      <c r="C58" s="69"/>
      <c r="D58" s="69"/>
      <c r="E58" s="69"/>
      <c r="F58" s="69" t="s">
        <v>223</v>
      </c>
      <c r="G58" s="69"/>
      <c r="H58" s="69"/>
      <c r="I58" s="1077"/>
      <c r="J58" s="69"/>
      <c r="K58" s="69"/>
      <c r="L58" s="69"/>
      <c r="M58" s="69"/>
      <c r="N58" s="69"/>
      <c r="O58" s="69"/>
      <c r="P58" s="69">
        <v>0</v>
      </c>
      <c r="Q58" s="69">
        <v>5</v>
      </c>
      <c r="R58" s="69">
        <v>0.40500000000000003</v>
      </c>
      <c r="S58" s="69">
        <v>5</v>
      </c>
      <c r="T58" s="69"/>
      <c r="U58" s="69"/>
      <c r="V58" s="69"/>
      <c r="W58" s="69"/>
      <c r="X58" s="69"/>
      <c r="Y58" s="69"/>
    </row>
    <row r="59" spans="2:32">
      <c r="B59" s="7"/>
      <c r="C59" s="69"/>
      <c r="F59" s="69" t="s">
        <v>222</v>
      </c>
      <c r="H59" s="69"/>
      <c r="I59" s="1077"/>
      <c r="J59" s="69"/>
      <c r="K59" s="69"/>
      <c r="M59" s="69"/>
      <c r="N59" s="69"/>
      <c r="O59" s="69"/>
      <c r="P59">
        <v>0</v>
      </c>
      <c r="Q59">
        <v>5</v>
      </c>
      <c r="R59">
        <v>0.40500000000000003</v>
      </c>
      <c r="S59">
        <v>5</v>
      </c>
      <c r="T59" s="69"/>
      <c r="U59" s="69"/>
      <c r="V59" s="69"/>
      <c r="W59" s="69"/>
      <c r="X59" s="69"/>
      <c r="Y59" s="69"/>
    </row>
    <row r="60" spans="2:32">
      <c r="B60" s="7"/>
      <c r="C60" s="69"/>
      <c r="D60" s="69"/>
      <c r="E60" s="69"/>
      <c r="F60" s="69" t="s">
        <v>211</v>
      </c>
      <c r="G60" s="69"/>
      <c r="H60" s="69"/>
      <c r="I60" s="1077"/>
      <c r="J60" s="69"/>
      <c r="K60" s="69"/>
      <c r="L60" s="69"/>
      <c r="M60" s="69"/>
      <c r="N60" s="69"/>
      <c r="O60" s="69"/>
      <c r="P60">
        <v>0.1</v>
      </c>
      <c r="Q60">
        <v>5</v>
      </c>
      <c r="R60">
        <v>0.88</v>
      </c>
      <c r="S60">
        <v>5</v>
      </c>
      <c r="T60" s="69"/>
      <c r="U60" s="69"/>
      <c r="V60" s="69"/>
      <c r="W60" s="69"/>
      <c r="X60" s="69"/>
      <c r="Y60" s="69"/>
    </row>
    <row r="61" spans="2:32" ht="15" thickBot="1">
      <c r="B61" s="28"/>
      <c r="C61" s="107"/>
      <c r="D61" s="107"/>
      <c r="E61" s="107" t="s">
        <v>153</v>
      </c>
      <c r="F61" s="107"/>
      <c r="G61" s="107"/>
      <c r="H61" s="107"/>
      <c r="I61" s="107"/>
      <c r="J61" s="107"/>
      <c r="K61" s="107"/>
      <c r="L61" s="151">
        <v>76.41136281912982</v>
      </c>
      <c r="M61" s="107"/>
      <c r="N61" s="107"/>
      <c r="O61" s="107"/>
      <c r="P61" s="55"/>
      <c r="Q61" s="55"/>
      <c r="R61" s="55"/>
      <c r="S61" s="55"/>
      <c r="T61" s="107"/>
      <c r="U61" s="107"/>
      <c r="V61" s="107"/>
      <c r="W61" s="107"/>
      <c r="X61" s="107"/>
      <c r="Y61" s="107"/>
    </row>
    <row r="62" spans="2:32">
      <c r="B62" s="19" t="s">
        <v>304</v>
      </c>
      <c r="C62" s="69" t="s">
        <v>219</v>
      </c>
      <c r="D62" s="69" t="s">
        <v>71</v>
      </c>
      <c r="E62" s="69"/>
      <c r="F62" s="69"/>
      <c r="G62" s="69"/>
      <c r="H62" s="69">
        <v>2015</v>
      </c>
      <c r="I62" s="104">
        <v>2025</v>
      </c>
      <c r="J62" s="69" t="s">
        <v>70</v>
      </c>
      <c r="K62" s="149">
        <v>0.44000000000000006</v>
      </c>
      <c r="L62" s="69"/>
      <c r="M62" s="69"/>
      <c r="N62" s="69">
        <v>0.9</v>
      </c>
      <c r="O62" s="69">
        <v>20</v>
      </c>
      <c r="Q62" s="69"/>
      <c r="S62" s="69"/>
      <c r="T62" s="69">
        <v>3.1536000000000002E-2</v>
      </c>
      <c r="U62" s="69">
        <v>33.524999999999999</v>
      </c>
      <c r="V62" s="69">
        <v>1.0057499999999999</v>
      </c>
      <c r="W62" s="69">
        <v>0</v>
      </c>
      <c r="X62" s="69">
        <v>2</v>
      </c>
      <c r="Y62" s="69" t="s">
        <v>214</v>
      </c>
    </row>
    <row r="63" spans="2:32">
      <c r="B63" s="7"/>
      <c r="C63" s="69"/>
      <c r="D63" s="69"/>
      <c r="E63" s="69"/>
      <c r="F63" s="69" t="s">
        <v>223</v>
      </c>
      <c r="G63" s="69"/>
      <c r="H63" s="69"/>
      <c r="I63" s="1077"/>
      <c r="J63" s="69"/>
      <c r="K63" s="69"/>
      <c r="L63" s="69"/>
      <c r="M63" s="69"/>
      <c r="N63" s="69"/>
      <c r="O63" s="69"/>
      <c r="P63">
        <v>0</v>
      </c>
      <c r="Q63">
        <v>5</v>
      </c>
      <c r="R63">
        <v>0.40500000000000003</v>
      </c>
      <c r="S63">
        <v>5</v>
      </c>
      <c r="T63" s="69"/>
      <c r="U63" s="69"/>
      <c r="V63" s="69"/>
      <c r="W63" s="69"/>
      <c r="X63" s="69"/>
      <c r="Y63" s="146" t="s">
        <v>218</v>
      </c>
      <c r="Z63" s="124"/>
      <c r="AA63" s="124"/>
      <c r="AB63" s="124"/>
      <c r="AC63" s="124"/>
      <c r="AF63" s="145">
        <v>0.1</v>
      </c>
    </row>
    <row r="64" spans="2:32">
      <c r="B64" s="7"/>
      <c r="C64" s="69"/>
      <c r="F64" s="69" t="s">
        <v>222</v>
      </c>
      <c r="H64" s="69"/>
      <c r="I64" s="1077"/>
      <c r="J64" s="69"/>
      <c r="K64" s="69"/>
      <c r="M64" s="69"/>
      <c r="N64" s="69"/>
      <c r="O64" s="69"/>
      <c r="P64">
        <v>0</v>
      </c>
      <c r="Q64">
        <v>5</v>
      </c>
      <c r="R64">
        <v>0.40500000000000003</v>
      </c>
      <c r="S64">
        <v>5</v>
      </c>
      <c r="T64" s="69"/>
      <c r="U64" s="69"/>
      <c r="V64" s="69"/>
      <c r="W64" s="69"/>
      <c r="X64" s="69"/>
      <c r="Y64" s="69"/>
    </row>
    <row r="65" spans="2:25">
      <c r="B65" s="7"/>
      <c r="C65" s="69"/>
      <c r="D65" s="69"/>
      <c r="E65" s="69"/>
      <c r="F65" s="69" t="s">
        <v>211</v>
      </c>
      <c r="H65" s="69"/>
      <c r="I65" s="1077"/>
      <c r="J65" s="69"/>
      <c r="K65" s="69"/>
      <c r="L65" s="69"/>
      <c r="M65" s="69"/>
      <c r="N65" s="69"/>
      <c r="O65" s="69"/>
      <c r="P65">
        <v>0.1</v>
      </c>
      <c r="Q65">
        <v>5</v>
      </c>
      <c r="R65">
        <v>0.88</v>
      </c>
      <c r="S65">
        <v>5</v>
      </c>
      <c r="T65" s="69"/>
      <c r="U65" s="69"/>
      <c r="V65" s="69"/>
      <c r="W65" s="69"/>
      <c r="X65" s="69"/>
    </row>
    <row r="66" spans="2:25">
      <c r="B66" s="7"/>
      <c r="C66" s="69"/>
      <c r="D66" s="69"/>
      <c r="E66" s="69"/>
      <c r="G66" s="69" t="s">
        <v>216</v>
      </c>
      <c r="H66" s="69"/>
      <c r="I66" s="1077"/>
      <c r="J66" s="69"/>
      <c r="K66" s="69"/>
      <c r="L66" s="69"/>
      <c r="M66" s="148">
        <v>0.33565217391304347</v>
      </c>
      <c r="N66" s="69"/>
      <c r="O66" s="69"/>
      <c r="T66" s="69"/>
      <c r="U66" s="69"/>
      <c r="V66" s="69"/>
      <c r="W66" s="69"/>
      <c r="X66" s="69"/>
      <c r="Y66" s="105" t="s">
        <v>217</v>
      </c>
    </row>
    <row r="67" spans="2:25">
      <c r="B67" s="7"/>
      <c r="C67" s="69"/>
      <c r="D67" s="69"/>
      <c r="E67" s="69" t="s">
        <v>161</v>
      </c>
      <c r="G67" s="69"/>
      <c r="H67" s="69"/>
      <c r="I67" s="1077"/>
      <c r="J67" s="69"/>
      <c r="K67" s="70"/>
      <c r="L67" s="150">
        <v>76.793856491480682</v>
      </c>
      <c r="M67" s="69"/>
      <c r="N67" s="69"/>
      <c r="O67" s="69"/>
      <c r="T67" s="69"/>
      <c r="U67" s="69"/>
      <c r="V67" s="69"/>
      <c r="W67" s="69"/>
      <c r="X67" s="69"/>
    </row>
    <row r="68" spans="2:25">
      <c r="B68" s="7"/>
      <c r="C68" s="142" t="s">
        <v>219</v>
      </c>
      <c r="D68" s="142" t="s">
        <v>71</v>
      </c>
      <c r="E68" s="142"/>
      <c r="F68" s="142"/>
      <c r="G68" s="142"/>
      <c r="H68" s="142">
        <v>2020</v>
      </c>
      <c r="I68" s="142"/>
      <c r="J68" s="142" t="s">
        <v>70</v>
      </c>
      <c r="K68" s="149">
        <v>0.47</v>
      </c>
      <c r="L68" s="141"/>
      <c r="M68" s="142"/>
      <c r="N68" s="142">
        <v>0.9</v>
      </c>
      <c r="O68" s="142">
        <v>25</v>
      </c>
      <c r="P68" s="143"/>
      <c r="Q68" s="142"/>
      <c r="R68" s="143"/>
      <c r="S68" s="142"/>
      <c r="T68" s="142">
        <v>3.1536000000000002E-2</v>
      </c>
      <c r="U68" s="142">
        <v>26.074999999999999</v>
      </c>
      <c r="V68" s="142">
        <v>0.78225</v>
      </c>
      <c r="W68" s="142">
        <v>0</v>
      </c>
      <c r="X68" s="142">
        <v>2</v>
      </c>
      <c r="Y68" s="142"/>
    </row>
    <row r="69" spans="2:25">
      <c r="B69" s="7"/>
      <c r="C69" s="69"/>
      <c r="D69" s="69"/>
      <c r="E69" s="69"/>
      <c r="F69" s="69" t="s">
        <v>223</v>
      </c>
      <c r="G69" s="69"/>
      <c r="H69" s="69"/>
      <c r="I69" s="1077"/>
      <c r="J69" s="69"/>
      <c r="K69" s="69"/>
      <c r="L69" s="141"/>
      <c r="M69" s="69"/>
      <c r="N69" s="69"/>
      <c r="O69" s="69"/>
      <c r="P69">
        <v>0</v>
      </c>
      <c r="Q69">
        <v>5</v>
      </c>
      <c r="R69">
        <v>0.40500000000000003</v>
      </c>
      <c r="S69">
        <v>5</v>
      </c>
      <c r="T69" s="69"/>
      <c r="U69" s="69"/>
      <c r="V69" s="69"/>
      <c r="W69" s="69"/>
      <c r="X69" s="69"/>
      <c r="Y69" s="69"/>
    </row>
    <row r="70" spans="2:25">
      <c r="B70" s="7"/>
      <c r="C70" s="69"/>
      <c r="F70" s="69" t="s">
        <v>222</v>
      </c>
      <c r="H70" s="69"/>
      <c r="I70" s="1077"/>
      <c r="J70" s="69"/>
      <c r="K70" s="69"/>
      <c r="L70" s="141"/>
      <c r="M70" s="69"/>
      <c r="N70" s="69"/>
      <c r="O70" s="69"/>
      <c r="P70">
        <v>0</v>
      </c>
      <c r="Q70">
        <v>5</v>
      </c>
      <c r="R70">
        <v>0.40500000000000003</v>
      </c>
      <c r="S70">
        <v>5</v>
      </c>
      <c r="T70" s="69"/>
      <c r="U70" s="69"/>
      <c r="V70" s="69"/>
      <c r="W70" s="69"/>
      <c r="X70" s="69"/>
      <c r="Y70" s="69"/>
    </row>
    <row r="71" spans="2:25">
      <c r="B71" s="7"/>
      <c r="C71" s="69"/>
      <c r="D71" s="69"/>
      <c r="E71" s="69"/>
      <c r="F71" s="69" t="s">
        <v>211</v>
      </c>
      <c r="H71" s="69"/>
      <c r="I71" s="1077"/>
      <c r="J71" s="69"/>
      <c r="K71" s="69"/>
      <c r="L71" s="141"/>
      <c r="M71" s="69"/>
      <c r="N71" s="69"/>
      <c r="O71" s="69"/>
      <c r="P71">
        <v>0.1</v>
      </c>
      <c r="Q71">
        <v>5</v>
      </c>
      <c r="R71">
        <v>0.88</v>
      </c>
      <c r="S71">
        <v>5</v>
      </c>
      <c r="T71" s="69"/>
      <c r="U71" s="69"/>
      <c r="V71" s="69"/>
      <c r="W71" s="69"/>
      <c r="X71" s="69"/>
    </row>
    <row r="72" spans="2:25">
      <c r="B72" s="7"/>
      <c r="C72" s="69"/>
      <c r="D72" s="69"/>
      <c r="E72" s="69"/>
      <c r="G72" s="69" t="s">
        <v>216</v>
      </c>
      <c r="H72" s="69"/>
      <c r="I72" s="1077"/>
      <c r="J72" s="69"/>
      <c r="K72" s="69"/>
      <c r="L72" s="141"/>
      <c r="M72" s="148">
        <v>0.33565217391304347</v>
      </c>
      <c r="N72" s="69"/>
      <c r="O72" s="69"/>
      <c r="T72" s="69"/>
      <c r="U72" s="69"/>
      <c r="V72" s="69"/>
      <c r="W72" s="69"/>
      <c r="X72" s="69"/>
    </row>
    <row r="73" spans="2:25">
      <c r="B73" s="7"/>
      <c r="C73" s="69"/>
      <c r="D73" s="69"/>
      <c r="E73" s="69" t="s">
        <v>161</v>
      </c>
      <c r="G73" s="69"/>
      <c r="H73" s="69"/>
      <c r="I73" s="1077"/>
      <c r="J73" s="69"/>
      <c r="K73" s="70"/>
      <c r="L73" s="150">
        <v>76.543209876543216</v>
      </c>
      <c r="M73" s="69"/>
      <c r="N73" s="69"/>
      <c r="O73" s="69"/>
      <c r="T73" s="69"/>
      <c r="U73" s="69"/>
      <c r="V73" s="69"/>
      <c r="W73" s="69"/>
      <c r="X73" s="69"/>
    </row>
    <row r="74" spans="2:25">
      <c r="B74" s="7"/>
      <c r="C74" s="142" t="s">
        <v>219</v>
      </c>
      <c r="D74" s="142" t="s">
        <v>71</v>
      </c>
      <c r="E74" s="142"/>
      <c r="F74" s="142"/>
      <c r="G74" s="142"/>
      <c r="H74" s="142">
        <v>2030</v>
      </c>
      <c r="I74" s="142"/>
      <c r="J74" s="142" t="s">
        <v>70</v>
      </c>
      <c r="K74" s="149">
        <v>0.48</v>
      </c>
      <c r="L74" s="141"/>
      <c r="M74" s="142"/>
      <c r="N74" s="142">
        <v>0.95</v>
      </c>
      <c r="O74" s="143">
        <v>25</v>
      </c>
      <c r="P74" s="142"/>
      <c r="Q74" s="143"/>
      <c r="R74" s="142"/>
      <c r="S74" s="142"/>
      <c r="T74" s="142">
        <v>3.1536000000000002E-2</v>
      </c>
      <c r="U74" s="142">
        <v>12.888500000000001</v>
      </c>
      <c r="V74" s="142">
        <v>0.38665500000000003</v>
      </c>
      <c r="W74" s="142">
        <v>0</v>
      </c>
      <c r="X74" s="142">
        <v>2</v>
      </c>
      <c r="Y74" s="142"/>
    </row>
    <row r="75" spans="2:25">
      <c r="B75" s="7"/>
      <c r="C75" s="69"/>
      <c r="D75" s="69"/>
      <c r="E75" s="69"/>
      <c r="F75" s="69" t="s">
        <v>223</v>
      </c>
      <c r="G75" s="69"/>
      <c r="H75" s="69"/>
      <c r="I75" s="1077"/>
      <c r="J75" s="69"/>
      <c r="K75" s="69"/>
      <c r="L75" s="141"/>
      <c r="M75" s="69"/>
      <c r="N75" s="69"/>
      <c r="O75" s="69"/>
      <c r="P75">
        <v>0</v>
      </c>
      <c r="Q75">
        <v>5</v>
      </c>
      <c r="R75">
        <v>0.40500000000000003</v>
      </c>
      <c r="S75">
        <v>5</v>
      </c>
      <c r="T75" s="69"/>
      <c r="U75" s="69"/>
      <c r="V75" s="69"/>
      <c r="W75" s="69"/>
      <c r="X75" s="69"/>
      <c r="Y75" s="69"/>
    </row>
    <row r="76" spans="2:25">
      <c r="B76" s="7"/>
      <c r="C76" s="69"/>
      <c r="F76" s="69" t="s">
        <v>222</v>
      </c>
      <c r="H76" s="69"/>
      <c r="I76" s="1077"/>
      <c r="J76" s="69"/>
      <c r="K76" s="69"/>
      <c r="L76" s="141"/>
      <c r="M76" s="69"/>
      <c r="N76" s="69"/>
      <c r="O76" s="69"/>
      <c r="P76">
        <v>0</v>
      </c>
      <c r="Q76">
        <v>5</v>
      </c>
      <c r="R76">
        <v>0.40500000000000003</v>
      </c>
      <c r="S76">
        <v>5</v>
      </c>
      <c r="T76" s="69"/>
      <c r="U76" s="69"/>
      <c r="V76" s="69"/>
      <c r="W76" s="69"/>
      <c r="X76" s="69"/>
      <c r="Y76" s="69"/>
    </row>
    <row r="77" spans="2:25">
      <c r="B77" s="7"/>
      <c r="C77" s="69"/>
      <c r="D77" s="69"/>
      <c r="E77" s="69"/>
      <c r="F77" s="69" t="s">
        <v>211</v>
      </c>
      <c r="H77" s="69"/>
      <c r="I77" s="1077"/>
      <c r="J77" s="69"/>
      <c r="K77" s="69"/>
      <c r="L77" s="141"/>
      <c r="M77" s="69"/>
      <c r="N77" s="69"/>
      <c r="O77" s="69"/>
      <c r="P77">
        <v>0.1</v>
      </c>
      <c r="Q77">
        <v>5</v>
      </c>
      <c r="R77">
        <v>0.88</v>
      </c>
      <c r="S77">
        <v>5</v>
      </c>
      <c r="T77" s="69"/>
      <c r="U77" s="69"/>
      <c r="V77" s="69"/>
      <c r="W77" s="69"/>
      <c r="X77" s="69"/>
    </row>
    <row r="78" spans="2:25">
      <c r="B78" s="7"/>
      <c r="C78" s="69"/>
      <c r="D78" s="69"/>
      <c r="E78" s="69"/>
      <c r="F78" s="69"/>
      <c r="G78" s="69" t="s">
        <v>216</v>
      </c>
      <c r="H78" s="69"/>
      <c r="I78" s="1077"/>
      <c r="J78" s="69"/>
      <c r="K78" s="69"/>
      <c r="L78" s="141"/>
      <c r="M78" s="148">
        <v>0.33565217391304347</v>
      </c>
      <c r="N78" s="69"/>
      <c r="O78" s="69"/>
      <c r="T78" s="69"/>
      <c r="U78" s="69"/>
      <c r="V78" s="69"/>
      <c r="W78" s="69"/>
      <c r="X78" s="69"/>
    </row>
    <row r="79" spans="2:25">
      <c r="B79" s="7"/>
      <c r="C79" s="69"/>
      <c r="D79" s="69"/>
      <c r="E79" s="69" t="s">
        <v>161</v>
      </c>
      <c r="F79" s="69"/>
      <c r="G79" s="69"/>
      <c r="H79" s="69"/>
      <c r="I79" s="1077"/>
      <c r="J79" s="69"/>
      <c r="K79" s="70"/>
      <c r="L79" s="150">
        <v>76.408787010506217</v>
      </c>
      <c r="M79" s="69"/>
      <c r="N79" s="69"/>
      <c r="O79" s="69"/>
      <c r="T79" s="69"/>
      <c r="U79" s="69"/>
      <c r="V79" s="69"/>
      <c r="W79" s="69"/>
      <c r="X79" s="69"/>
    </row>
    <row r="80" spans="2:25">
      <c r="B80" s="7"/>
      <c r="C80" s="142" t="s">
        <v>219</v>
      </c>
      <c r="D80" s="142" t="s">
        <v>71</v>
      </c>
      <c r="E80" s="142"/>
      <c r="F80" s="142"/>
      <c r="G80" s="142"/>
      <c r="H80" s="142">
        <v>2040</v>
      </c>
      <c r="I80" s="142"/>
      <c r="J80" s="142" t="s">
        <v>70</v>
      </c>
      <c r="K80" s="149">
        <v>0.5</v>
      </c>
      <c r="L80" s="141"/>
      <c r="M80" s="142"/>
      <c r="N80" s="142">
        <v>0.95</v>
      </c>
      <c r="O80" s="143">
        <v>25</v>
      </c>
      <c r="P80" s="142"/>
      <c r="Q80" s="143"/>
      <c r="R80" s="142"/>
      <c r="S80" s="142"/>
      <c r="T80" s="142">
        <v>3.1536000000000002E-2</v>
      </c>
      <c r="U80" s="142">
        <v>10.8025</v>
      </c>
      <c r="V80" s="142">
        <v>0.324075</v>
      </c>
      <c r="W80" s="142">
        <v>0</v>
      </c>
      <c r="X80" s="142">
        <v>2</v>
      </c>
      <c r="Y80" s="142"/>
    </row>
    <row r="81" spans="2:32">
      <c r="B81" s="7"/>
      <c r="C81" s="69"/>
      <c r="D81" s="69"/>
      <c r="E81" s="69"/>
      <c r="F81" s="69" t="s">
        <v>223</v>
      </c>
      <c r="G81" s="69"/>
      <c r="H81" s="69"/>
      <c r="I81" s="1077"/>
      <c r="J81" s="69"/>
      <c r="K81" s="69"/>
      <c r="L81" s="141"/>
      <c r="M81" s="69"/>
      <c r="N81" s="69"/>
      <c r="O81" s="69"/>
      <c r="P81">
        <v>0</v>
      </c>
      <c r="Q81">
        <v>5</v>
      </c>
      <c r="R81">
        <v>0.40500000000000003</v>
      </c>
      <c r="S81">
        <v>5</v>
      </c>
      <c r="T81" s="69"/>
      <c r="U81" s="69"/>
      <c r="V81" s="69"/>
      <c r="W81" s="69"/>
      <c r="X81" s="69"/>
      <c r="Y81" s="69"/>
    </row>
    <row r="82" spans="2:32">
      <c r="B82" s="7"/>
      <c r="C82" s="69"/>
      <c r="F82" s="69" t="s">
        <v>222</v>
      </c>
      <c r="H82" s="69"/>
      <c r="I82" s="1077"/>
      <c r="J82" s="69"/>
      <c r="K82" s="69"/>
      <c r="L82" s="141"/>
      <c r="M82" s="69"/>
      <c r="N82" s="69"/>
      <c r="O82" s="69"/>
      <c r="P82">
        <v>0</v>
      </c>
      <c r="Q82">
        <v>5</v>
      </c>
      <c r="R82">
        <v>0.40500000000000003</v>
      </c>
      <c r="S82">
        <v>5</v>
      </c>
      <c r="T82" s="69"/>
      <c r="U82" s="69"/>
      <c r="V82" s="69"/>
      <c r="W82" s="69"/>
      <c r="X82" s="69"/>
      <c r="Y82" s="69"/>
    </row>
    <row r="83" spans="2:32">
      <c r="B83" s="7"/>
      <c r="C83" s="69"/>
      <c r="D83" s="69"/>
      <c r="E83" s="69"/>
      <c r="F83" s="69" t="s">
        <v>211</v>
      </c>
      <c r="H83" s="69"/>
      <c r="I83" s="1077"/>
      <c r="J83" s="69"/>
      <c r="K83" s="69"/>
      <c r="L83" s="141"/>
      <c r="M83" s="69"/>
      <c r="N83" s="69"/>
      <c r="O83" s="69"/>
      <c r="P83">
        <v>0.1</v>
      </c>
      <c r="Q83">
        <v>5</v>
      </c>
      <c r="R83">
        <v>0.88</v>
      </c>
      <c r="S83">
        <v>5</v>
      </c>
      <c r="T83" s="69"/>
      <c r="U83" s="69"/>
      <c r="V83" s="69"/>
      <c r="W83" s="69"/>
      <c r="X83" s="69"/>
    </row>
    <row r="84" spans="2:32">
      <c r="B84" s="7"/>
      <c r="C84" s="69"/>
      <c r="D84" s="69"/>
      <c r="E84" s="69"/>
      <c r="G84" s="69" t="s">
        <v>216</v>
      </c>
      <c r="H84" s="69"/>
      <c r="I84" s="1077"/>
      <c r="J84" s="69"/>
      <c r="K84" s="69"/>
      <c r="L84" s="141"/>
      <c r="M84" s="148">
        <v>0.33565217391304347</v>
      </c>
      <c r="N84" s="69"/>
      <c r="O84" s="69"/>
      <c r="T84" s="69"/>
      <c r="U84" s="69"/>
      <c r="V84" s="69"/>
      <c r="W84" s="69"/>
      <c r="X84" s="69"/>
    </row>
    <row r="85" spans="2:32">
      <c r="B85" s="7"/>
      <c r="C85" s="69"/>
      <c r="D85" s="69"/>
      <c r="E85" s="69" t="s">
        <v>161</v>
      </c>
      <c r="G85" s="69"/>
      <c r="H85" s="69"/>
      <c r="I85" s="1077"/>
      <c r="J85" s="69"/>
      <c r="K85" s="70"/>
      <c r="L85" s="150">
        <v>76.452599388379213</v>
      </c>
      <c r="M85" s="69"/>
      <c r="N85" s="69"/>
      <c r="O85" s="69"/>
      <c r="T85" s="69"/>
      <c r="U85" s="69"/>
      <c r="V85" s="69"/>
      <c r="W85" s="69"/>
      <c r="X85" s="69"/>
    </row>
    <row r="86" spans="2:32">
      <c r="B86" s="7"/>
      <c r="C86" s="142" t="s">
        <v>219</v>
      </c>
      <c r="D86" s="142" t="s">
        <v>71</v>
      </c>
      <c r="E86" s="142"/>
      <c r="F86" s="142"/>
      <c r="G86" s="142"/>
      <c r="H86" s="142">
        <v>2050</v>
      </c>
      <c r="I86" s="142"/>
      <c r="J86" s="142" t="s">
        <v>70</v>
      </c>
      <c r="K86" s="149">
        <v>0.5</v>
      </c>
      <c r="L86" s="141"/>
      <c r="M86" s="142"/>
      <c r="N86" s="142">
        <v>0.95</v>
      </c>
      <c r="O86" s="143">
        <v>25</v>
      </c>
      <c r="P86" s="142"/>
      <c r="Q86" s="143"/>
      <c r="R86" s="142"/>
      <c r="S86" s="142"/>
      <c r="T86" s="142">
        <v>3.1536000000000002E-2</v>
      </c>
      <c r="U86" s="142">
        <v>10.5045</v>
      </c>
      <c r="V86" s="142">
        <v>0.315135</v>
      </c>
      <c r="W86" s="142">
        <v>0</v>
      </c>
      <c r="X86" s="142">
        <v>2</v>
      </c>
      <c r="Y86" s="142"/>
    </row>
    <row r="87" spans="2:32">
      <c r="B87" s="7"/>
      <c r="C87" s="69"/>
      <c r="D87" s="69"/>
      <c r="E87" s="69"/>
      <c r="F87" s="69" t="s">
        <v>223</v>
      </c>
      <c r="G87" s="69"/>
      <c r="H87" s="69"/>
      <c r="I87" s="1077"/>
      <c r="J87" s="69"/>
      <c r="K87" s="69"/>
      <c r="L87" s="141"/>
      <c r="M87" s="69"/>
      <c r="N87" s="69"/>
      <c r="O87" s="69"/>
      <c r="P87">
        <v>0</v>
      </c>
      <c r="Q87">
        <v>5</v>
      </c>
      <c r="R87">
        <v>0.40500000000000003</v>
      </c>
      <c r="S87">
        <v>5</v>
      </c>
      <c r="T87" s="69"/>
      <c r="U87" s="69"/>
      <c r="V87" s="69"/>
      <c r="W87" s="69"/>
      <c r="X87" s="69"/>
      <c r="Y87" s="69"/>
    </row>
    <row r="88" spans="2:32">
      <c r="B88" s="7"/>
      <c r="C88" s="69"/>
      <c r="F88" s="69" t="s">
        <v>222</v>
      </c>
      <c r="H88" s="69"/>
      <c r="I88" s="1077"/>
      <c r="J88" s="69"/>
      <c r="K88" s="69"/>
      <c r="L88" s="141"/>
      <c r="M88" s="69"/>
      <c r="N88" s="69"/>
      <c r="O88" s="69"/>
      <c r="P88">
        <v>0</v>
      </c>
      <c r="Q88">
        <v>5</v>
      </c>
      <c r="R88">
        <v>0.40500000000000003</v>
      </c>
      <c r="S88">
        <v>5</v>
      </c>
      <c r="T88" s="69"/>
      <c r="U88" s="69"/>
      <c r="V88" s="69"/>
      <c r="W88" s="69"/>
      <c r="X88" s="69"/>
      <c r="Y88" s="69"/>
    </row>
    <row r="89" spans="2:32">
      <c r="B89" s="7"/>
      <c r="C89" s="69"/>
      <c r="D89" s="69"/>
      <c r="E89" s="69"/>
      <c r="F89" s="69" t="s">
        <v>211</v>
      </c>
      <c r="H89" s="69"/>
      <c r="I89" s="1077"/>
      <c r="J89" s="69"/>
      <c r="K89" s="69"/>
      <c r="L89" s="141"/>
      <c r="M89" s="69"/>
      <c r="N89" s="69"/>
      <c r="O89" s="69"/>
      <c r="P89">
        <v>0.1</v>
      </c>
      <c r="Q89">
        <v>5</v>
      </c>
      <c r="R89">
        <v>0.88</v>
      </c>
      <c r="S89">
        <v>5</v>
      </c>
      <c r="T89" s="69"/>
      <c r="U89" s="69"/>
      <c r="V89" s="69"/>
      <c r="W89" s="69"/>
      <c r="X89" s="69"/>
    </row>
    <row r="90" spans="2:32">
      <c r="B90" s="7"/>
      <c r="C90" s="69"/>
      <c r="D90" s="69"/>
      <c r="E90" s="69"/>
      <c r="G90" s="69" t="s">
        <v>216</v>
      </c>
      <c r="H90" s="69"/>
      <c r="I90" s="1077"/>
      <c r="J90" s="69"/>
      <c r="K90" s="69"/>
      <c r="L90" s="141"/>
      <c r="M90" s="148">
        <v>0.33565217391304347</v>
      </c>
      <c r="N90" s="69"/>
      <c r="O90" s="69"/>
      <c r="T90" s="69"/>
      <c r="U90" s="69"/>
      <c r="V90" s="69"/>
      <c r="W90" s="69"/>
      <c r="X90" s="69"/>
    </row>
    <row r="91" spans="2:32" ht="15" thickBot="1">
      <c r="B91" s="7"/>
      <c r="C91" s="69"/>
      <c r="D91" s="69"/>
      <c r="E91" s="69" t="s">
        <v>161</v>
      </c>
      <c r="G91" s="69"/>
      <c r="H91" s="69"/>
      <c r="I91" s="1077"/>
      <c r="J91" s="69"/>
      <c r="K91" s="69"/>
      <c r="L91" s="141">
        <v>77.060931899641574</v>
      </c>
      <c r="M91" s="69"/>
      <c r="N91" s="69"/>
      <c r="O91" s="69"/>
      <c r="T91" s="69"/>
      <c r="U91" s="69"/>
      <c r="V91" s="69"/>
      <c r="W91" s="69"/>
      <c r="X91" s="69"/>
    </row>
    <row r="92" spans="2:32">
      <c r="B92" s="19" t="s">
        <v>305</v>
      </c>
      <c r="C92" s="104" t="s">
        <v>215</v>
      </c>
      <c r="D92" s="104" t="s">
        <v>71</v>
      </c>
      <c r="E92" s="104"/>
      <c r="F92" s="104"/>
      <c r="G92" s="104"/>
      <c r="H92" s="104">
        <v>2015</v>
      </c>
      <c r="I92" s="104">
        <v>2025</v>
      </c>
      <c r="J92" s="104" t="s">
        <v>70</v>
      </c>
      <c r="K92" s="147">
        <v>0.57000000000000006</v>
      </c>
      <c r="L92" s="104"/>
      <c r="M92" s="104"/>
      <c r="N92" s="104">
        <v>0.9</v>
      </c>
      <c r="O92" s="104">
        <v>10</v>
      </c>
      <c r="P92" s="104"/>
      <c r="Q92" s="104"/>
      <c r="R92" s="104"/>
      <c r="S92" s="104"/>
      <c r="T92" s="104">
        <v>3.1536000000000002E-2</v>
      </c>
      <c r="U92" s="104">
        <v>32.665384615384617</v>
      </c>
      <c r="V92" s="104">
        <v>0.97996153846153844</v>
      </c>
      <c r="W92" s="104">
        <v>0</v>
      </c>
      <c r="X92" s="104">
        <v>2</v>
      </c>
      <c r="Y92" s="69" t="s">
        <v>214</v>
      </c>
    </row>
    <row r="93" spans="2:32">
      <c r="B93" s="7"/>
      <c r="C93" s="69"/>
      <c r="D93" s="69"/>
      <c r="E93" s="69"/>
      <c r="F93" s="69" t="s">
        <v>223</v>
      </c>
      <c r="G93" s="69"/>
      <c r="H93" s="69"/>
      <c r="I93" s="1077"/>
      <c r="J93" s="69"/>
      <c r="K93" s="69"/>
      <c r="L93" s="69"/>
      <c r="M93" s="69"/>
      <c r="N93" s="69"/>
      <c r="O93" s="69"/>
      <c r="P93" s="69">
        <v>0</v>
      </c>
      <c r="Q93" s="69">
        <v>5</v>
      </c>
      <c r="R93" s="69">
        <v>0.40500000000000003</v>
      </c>
      <c r="S93" s="69">
        <v>5</v>
      </c>
      <c r="T93" s="69"/>
      <c r="U93" s="69"/>
      <c r="V93" s="69"/>
      <c r="W93" s="69"/>
      <c r="X93" s="69"/>
      <c r="Y93" s="146" t="s">
        <v>213</v>
      </c>
      <c r="Z93" s="124"/>
      <c r="AA93" s="124"/>
      <c r="AB93" s="124"/>
      <c r="AC93" s="124"/>
      <c r="AF93" s="145">
        <v>0.13</v>
      </c>
    </row>
    <row r="94" spans="2:32">
      <c r="B94" s="7"/>
      <c r="C94" s="69"/>
      <c r="F94" s="69" t="s">
        <v>222</v>
      </c>
      <c r="H94" s="69"/>
      <c r="I94" s="1077"/>
      <c r="J94" s="69"/>
      <c r="M94" s="69"/>
      <c r="N94" s="69"/>
      <c r="O94" s="69"/>
      <c r="P94">
        <v>0</v>
      </c>
      <c r="Q94">
        <v>5</v>
      </c>
      <c r="R94">
        <v>0.40500000000000003</v>
      </c>
      <c r="S94">
        <v>5</v>
      </c>
      <c r="T94" s="69"/>
      <c r="U94" s="69"/>
      <c r="V94" s="69"/>
      <c r="W94" s="69"/>
      <c r="X94" s="69"/>
      <c r="Y94" s="69"/>
    </row>
    <row r="95" spans="2:32">
      <c r="B95" s="7"/>
      <c r="C95" s="69"/>
      <c r="D95" s="69"/>
      <c r="E95" s="69"/>
      <c r="F95" s="69" t="s">
        <v>211</v>
      </c>
      <c r="G95" s="69"/>
      <c r="H95" s="69"/>
      <c r="I95" s="1077"/>
      <c r="J95" s="69"/>
      <c r="K95" s="69"/>
      <c r="L95" s="69"/>
      <c r="M95" s="69"/>
      <c r="N95" s="69"/>
      <c r="O95" s="69"/>
      <c r="P95">
        <v>0.1</v>
      </c>
      <c r="Q95">
        <v>5</v>
      </c>
      <c r="R95">
        <v>0.88</v>
      </c>
      <c r="S95">
        <v>5</v>
      </c>
      <c r="T95" s="69"/>
      <c r="U95" s="69"/>
      <c r="V95" s="69"/>
      <c r="W95" s="69"/>
      <c r="X95" s="69"/>
      <c r="Y95" s="69"/>
    </row>
    <row r="96" spans="2:32">
      <c r="B96" s="7"/>
      <c r="C96" s="69"/>
      <c r="D96" s="69"/>
      <c r="E96" s="69" t="s">
        <v>161</v>
      </c>
      <c r="F96" s="69"/>
      <c r="G96" s="69"/>
      <c r="H96" s="69"/>
      <c r="I96" s="1077"/>
      <c r="J96" s="69"/>
      <c r="K96" s="141"/>
      <c r="L96" s="141">
        <v>76.69082125603866</v>
      </c>
      <c r="M96" s="69"/>
      <c r="N96" s="69"/>
      <c r="O96" s="69"/>
      <c r="T96" s="69"/>
      <c r="U96" s="69"/>
      <c r="V96" s="69"/>
      <c r="W96" s="69"/>
      <c r="X96" s="69"/>
      <c r="Y96" s="69"/>
    </row>
    <row r="97" spans="2:25">
      <c r="B97" s="7"/>
      <c r="C97" s="142" t="s">
        <v>215</v>
      </c>
      <c r="D97" s="142" t="s">
        <v>71</v>
      </c>
      <c r="E97" s="142"/>
      <c r="F97" s="142"/>
      <c r="G97" s="142"/>
      <c r="H97" s="142">
        <v>2020</v>
      </c>
      <c r="I97" s="142"/>
      <c r="J97" s="142" t="s">
        <v>70</v>
      </c>
      <c r="K97" s="144">
        <v>0.57000000000000006</v>
      </c>
      <c r="L97" s="142"/>
      <c r="M97" s="142"/>
      <c r="N97" s="142">
        <v>0.9</v>
      </c>
      <c r="O97" s="143">
        <v>10</v>
      </c>
      <c r="P97" s="142"/>
      <c r="Q97" s="143"/>
      <c r="R97" s="142"/>
      <c r="S97" s="142"/>
      <c r="T97" s="142">
        <v>3.1536000000000002E-2</v>
      </c>
      <c r="U97" s="142">
        <v>17.19230769230769</v>
      </c>
      <c r="V97" s="142">
        <v>0.51576923076923065</v>
      </c>
      <c r="W97" s="142">
        <v>0</v>
      </c>
      <c r="X97" s="142">
        <v>2</v>
      </c>
      <c r="Y97" s="142"/>
    </row>
    <row r="98" spans="2:25">
      <c r="B98" s="7"/>
      <c r="C98" s="69"/>
      <c r="D98" s="69"/>
      <c r="E98" s="69"/>
      <c r="F98" s="69" t="s">
        <v>223</v>
      </c>
      <c r="G98" s="69"/>
      <c r="H98" s="69"/>
      <c r="I98" s="1077"/>
      <c r="J98" s="69"/>
      <c r="K98" s="69"/>
      <c r="L98" s="69"/>
      <c r="M98" s="69"/>
      <c r="N98" s="69"/>
      <c r="O98" s="69"/>
      <c r="P98" s="69">
        <v>0</v>
      </c>
      <c r="Q98" s="69">
        <v>5</v>
      </c>
      <c r="R98" s="69">
        <v>0.40500000000000003</v>
      </c>
      <c r="S98" s="69">
        <v>5</v>
      </c>
      <c r="T98" s="69"/>
      <c r="U98" s="69"/>
      <c r="V98" s="69"/>
      <c r="W98" s="69"/>
      <c r="X98" s="69"/>
      <c r="Y98" s="69"/>
    </row>
    <row r="99" spans="2:25">
      <c r="B99" s="7"/>
      <c r="C99" s="69"/>
      <c r="F99" s="69" t="s">
        <v>222</v>
      </c>
      <c r="H99" s="69"/>
      <c r="I99" s="1077"/>
      <c r="J99" s="69"/>
      <c r="M99" s="69"/>
      <c r="N99" s="69"/>
      <c r="O99" s="69"/>
      <c r="P99">
        <v>0</v>
      </c>
      <c r="Q99">
        <v>5</v>
      </c>
      <c r="R99">
        <v>0.40500000000000003</v>
      </c>
      <c r="S99">
        <v>5</v>
      </c>
      <c r="T99" s="69"/>
      <c r="U99" s="69"/>
      <c r="V99" s="69"/>
      <c r="W99" s="69"/>
      <c r="X99" s="69"/>
      <c r="Y99" s="69"/>
    </row>
    <row r="100" spans="2:25">
      <c r="B100" s="7"/>
      <c r="C100" s="69"/>
      <c r="D100" s="69"/>
      <c r="E100" s="69"/>
      <c r="F100" s="69" t="s">
        <v>211</v>
      </c>
      <c r="G100" s="69"/>
      <c r="H100" s="69"/>
      <c r="I100" s="1077"/>
      <c r="J100" s="69"/>
      <c r="K100" s="69"/>
      <c r="L100" s="69"/>
      <c r="M100" s="69"/>
      <c r="N100" s="69"/>
      <c r="O100" s="69"/>
      <c r="P100">
        <v>0.1</v>
      </c>
      <c r="Q100">
        <v>5</v>
      </c>
      <c r="R100">
        <v>0.88</v>
      </c>
      <c r="S100">
        <v>5</v>
      </c>
      <c r="T100" s="69"/>
      <c r="U100" s="69"/>
      <c r="V100" s="69"/>
      <c r="W100" s="69"/>
      <c r="X100" s="69"/>
      <c r="Y100" s="69"/>
    </row>
    <row r="101" spans="2:25">
      <c r="B101" s="7"/>
      <c r="C101" s="69"/>
      <c r="D101" s="69"/>
      <c r="E101" s="69" t="s">
        <v>161</v>
      </c>
      <c r="F101" s="69"/>
      <c r="G101" s="69"/>
      <c r="H101" s="69"/>
      <c r="I101" s="1077"/>
      <c r="J101" s="69"/>
      <c r="K101" s="141"/>
      <c r="L101" s="141">
        <v>76.435495898583142</v>
      </c>
      <c r="M101" s="69"/>
      <c r="N101" s="69"/>
      <c r="O101" s="69"/>
      <c r="T101" s="69"/>
      <c r="U101" s="69"/>
      <c r="V101" s="69"/>
      <c r="W101" s="69"/>
      <c r="X101" s="69"/>
      <c r="Y101" s="69"/>
    </row>
    <row r="102" spans="2:25">
      <c r="B102" s="7"/>
      <c r="C102" s="142" t="s">
        <v>215</v>
      </c>
      <c r="D102" s="142" t="s">
        <v>71</v>
      </c>
      <c r="E102" s="142"/>
      <c r="F102" s="142"/>
      <c r="G102" s="142"/>
      <c r="H102" s="142">
        <v>2030</v>
      </c>
      <c r="I102" s="142"/>
      <c r="J102" s="142" t="s">
        <v>70</v>
      </c>
      <c r="K102" s="144">
        <v>0.58000000000000007</v>
      </c>
      <c r="L102" s="142"/>
      <c r="M102" s="142"/>
      <c r="N102" s="142">
        <v>0.95</v>
      </c>
      <c r="O102" s="143">
        <v>15</v>
      </c>
      <c r="P102" s="142"/>
      <c r="Q102" s="143"/>
      <c r="R102" s="142"/>
      <c r="S102" s="142"/>
      <c r="T102" s="142">
        <v>3.1536000000000002E-2</v>
      </c>
      <c r="U102" s="142">
        <v>11.060384615384615</v>
      </c>
      <c r="V102" s="142">
        <v>0.33181153846153844</v>
      </c>
      <c r="W102" s="142">
        <v>0</v>
      </c>
      <c r="X102" s="142">
        <v>2</v>
      </c>
      <c r="Y102" s="142"/>
    </row>
    <row r="103" spans="2:25">
      <c r="B103" s="7"/>
      <c r="C103" s="69"/>
      <c r="D103" s="69"/>
      <c r="E103" s="69"/>
      <c r="F103" s="69" t="s">
        <v>223</v>
      </c>
      <c r="G103" s="69"/>
      <c r="H103" s="69"/>
      <c r="I103" s="1077"/>
      <c r="J103" s="69"/>
      <c r="K103" s="69"/>
      <c r="L103" s="69"/>
      <c r="M103" s="69"/>
      <c r="N103" s="69"/>
      <c r="O103" s="69"/>
      <c r="P103" s="69">
        <v>0</v>
      </c>
      <c r="Q103" s="69">
        <v>5</v>
      </c>
      <c r="R103" s="69">
        <v>0.40500000000000003</v>
      </c>
      <c r="S103" s="69">
        <v>5</v>
      </c>
      <c r="T103" s="69"/>
      <c r="U103" s="69"/>
      <c r="V103" s="69"/>
      <c r="W103" s="69"/>
      <c r="X103" s="69"/>
      <c r="Y103" s="69"/>
    </row>
    <row r="104" spans="2:25">
      <c r="B104" s="7"/>
      <c r="C104" s="69"/>
      <c r="F104" s="69" t="s">
        <v>222</v>
      </c>
      <c r="H104" s="69"/>
      <c r="I104" s="1077"/>
      <c r="J104" s="69"/>
      <c r="M104" s="69"/>
      <c r="N104" s="69"/>
      <c r="O104" s="69"/>
      <c r="P104">
        <v>0</v>
      </c>
      <c r="Q104">
        <v>5</v>
      </c>
      <c r="R104">
        <v>0.40500000000000003</v>
      </c>
      <c r="S104">
        <v>5</v>
      </c>
      <c r="T104" s="69"/>
      <c r="U104" s="69"/>
      <c r="V104" s="69"/>
      <c r="W104" s="69"/>
      <c r="X104" s="69"/>
      <c r="Y104" s="69"/>
    </row>
    <row r="105" spans="2:25">
      <c r="B105" s="7"/>
      <c r="C105" s="69"/>
      <c r="D105" s="69"/>
      <c r="E105" s="69"/>
      <c r="F105" s="69" t="s">
        <v>211</v>
      </c>
      <c r="G105" s="69"/>
      <c r="H105" s="69"/>
      <c r="I105" s="1077"/>
      <c r="J105" s="69"/>
      <c r="K105" s="69"/>
      <c r="L105" s="69"/>
      <c r="M105" s="69"/>
      <c r="N105" s="69"/>
      <c r="O105" s="69"/>
      <c r="P105">
        <v>0.1</v>
      </c>
      <c r="Q105">
        <v>5</v>
      </c>
      <c r="R105">
        <v>0.88</v>
      </c>
      <c r="S105">
        <v>5</v>
      </c>
      <c r="T105" s="69"/>
      <c r="U105" s="69"/>
      <c r="V105" s="69"/>
      <c r="W105" s="69"/>
      <c r="X105" s="69"/>
      <c r="Y105" s="69"/>
    </row>
    <row r="106" spans="2:25">
      <c r="B106" s="7"/>
      <c r="C106" s="69"/>
      <c r="D106" s="69"/>
      <c r="E106" s="69" t="s">
        <v>161</v>
      </c>
      <c r="F106" s="69" t="s">
        <v>1315</v>
      </c>
      <c r="G106" s="69"/>
      <c r="H106" s="69"/>
      <c r="I106" s="1077"/>
      <c r="J106" s="69"/>
      <c r="K106" s="141"/>
      <c r="L106" s="141">
        <v>76.628352490421449</v>
      </c>
      <c r="M106" s="69"/>
      <c r="N106" s="69"/>
      <c r="O106" s="69"/>
      <c r="T106" s="69"/>
      <c r="U106" s="69"/>
      <c r="V106" s="69"/>
      <c r="W106" s="69"/>
      <c r="X106" s="69"/>
      <c r="Y106" s="69"/>
    </row>
    <row r="107" spans="2:25">
      <c r="B107" s="7"/>
      <c r="C107" s="142" t="s">
        <v>215</v>
      </c>
      <c r="D107" s="142" t="s">
        <v>71</v>
      </c>
      <c r="E107" s="142"/>
      <c r="F107" s="142"/>
      <c r="G107" s="142"/>
      <c r="H107" s="142">
        <v>2040</v>
      </c>
      <c r="I107" s="142"/>
      <c r="J107" s="142" t="s">
        <v>70</v>
      </c>
      <c r="K107" s="144">
        <v>0.58000000000000007</v>
      </c>
      <c r="L107" s="142"/>
      <c r="M107" s="142"/>
      <c r="N107" s="142">
        <v>0.95</v>
      </c>
      <c r="O107" s="143">
        <v>15</v>
      </c>
      <c r="P107" s="142"/>
      <c r="Q107" s="143"/>
      <c r="R107" s="142"/>
      <c r="S107" s="142"/>
      <c r="T107" s="142">
        <v>3.1536000000000002E-2</v>
      </c>
      <c r="U107" s="142">
        <v>9.4557692307692314</v>
      </c>
      <c r="V107" s="142">
        <v>0.28367307692307692</v>
      </c>
      <c r="W107" s="142">
        <v>0</v>
      </c>
      <c r="X107" s="142">
        <v>2</v>
      </c>
      <c r="Y107" s="142"/>
    </row>
    <row r="108" spans="2:25">
      <c r="B108" s="7"/>
      <c r="C108" s="69"/>
      <c r="D108" s="69"/>
      <c r="E108" s="69"/>
      <c r="F108" s="69" t="s">
        <v>223</v>
      </c>
      <c r="G108" s="69"/>
      <c r="H108" s="69"/>
      <c r="I108" s="1077"/>
      <c r="J108" s="69"/>
      <c r="K108" s="69"/>
      <c r="L108" s="69"/>
      <c r="M108" s="69"/>
      <c r="N108" s="69"/>
      <c r="O108" s="69"/>
      <c r="P108" s="69">
        <v>0</v>
      </c>
      <c r="Q108" s="69">
        <v>5</v>
      </c>
      <c r="R108" s="69">
        <v>0.40500000000000003</v>
      </c>
      <c r="S108" s="69">
        <v>5</v>
      </c>
      <c r="T108" s="69"/>
      <c r="U108" s="69"/>
      <c r="V108" s="69"/>
      <c r="W108" s="69"/>
      <c r="X108" s="69"/>
      <c r="Y108" s="69"/>
    </row>
    <row r="109" spans="2:25">
      <c r="B109" s="7"/>
      <c r="C109" s="69"/>
      <c r="F109" s="69" t="s">
        <v>222</v>
      </c>
      <c r="H109" s="69"/>
      <c r="I109" s="1077"/>
      <c r="J109" s="69"/>
      <c r="M109" s="69"/>
      <c r="N109" s="69"/>
      <c r="O109" s="69"/>
      <c r="P109">
        <v>0</v>
      </c>
      <c r="Q109">
        <v>5</v>
      </c>
      <c r="R109">
        <v>0.40500000000000003</v>
      </c>
      <c r="S109">
        <v>5</v>
      </c>
      <c r="T109" s="69"/>
      <c r="U109" s="69"/>
      <c r="V109" s="69"/>
      <c r="W109" s="69"/>
      <c r="X109" s="69"/>
      <c r="Y109" s="69"/>
    </row>
    <row r="110" spans="2:25">
      <c r="B110" s="7"/>
      <c r="C110" s="69"/>
      <c r="D110" s="69"/>
      <c r="E110" s="69"/>
      <c r="F110" s="69" t="s">
        <v>211</v>
      </c>
      <c r="G110" s="69"/>
      <c r="H110" s="69"/>
      <c r="I110" s="1077"/>
      <c r="J110" s="69"/>
      <c r="K110" s="69"/>
      <c r="L110" s="69"/>
      <c r="M110" s="69"/>
      <c r="N110" s="69"/>
      <c r="O110" s="69"/>
      <c r="P110">
        <v>0.1</v>
      </c>
      <c r="Q110">
        <v>5</v>
      </c>
      <c r="R110">
        <v>0.88</v>
      </c>
      <c r="S110">
        <v>5</v>
      </c>
      <c r="T110" s="69"/>
      <c r="U110" s="69"/>
      <c r="V110" s="69"/>
      <c r="W110" s="69"/>
      <c r="X110" s="69"/>
      <c r="Y110" s="69"/>
    </row>
    <row r="111" spans="2:25">
      <c r="B111" s="7"/>
      <c r="C111" s="69"/>
      <c r="D111" s="69"/>
      <c r="E111" s="69" t="s">
        <v>161</v>
      </c>
      <c r="F111" s="69"/>
      <c r="G111" s="69"/>
      <c r="H111" s="69"/>
      <c r="I111" s="1077"/>
      <c r="J111" s="69"/>
      <c r="K111" s="141"/>
      <c r="L111" s="141">
        <v>76.687116564417181</v>
      </c>
      <c r="M111" s="69"/>
      <c r="N111" s="69"/>
      <c r="O111" s="69"/>
      <c r="T111" s="69"/>
      <c r="U111" s="69"/>
      <c r="V111" s="69"/>
      <c r="W111" s="69"/>
      <c r="X111" s="69"/>
      <c r="Y111" s="69"/>
    </row>
    <row r="112" spans="2:25">
      <c r="B112" s="7"/>
      <c r="C112" s="142" t="s">
        <v>215</v>
      </c>
      <c r="D112" s="142" t="s">
        <v>71</v>
      </c>
      <c r="E112" s="142"/>
      <c r="F112" s="142"/>
      <c r="G112" s="142"/>
      <c r="H112" s="142">
        <v>2050</v>
      </c>
      <c r="I112" s="142"/>
      <c r="J112" s="142" t="s">
        <v>70</v>
      </c>
      <c r="K112" s="144">
        <v>0.58000000000000007</v>
      </c>
      <c r="L112" s="142"/>
      <c r="M112" s="142"/>
      <c r="N112" s="142">
        <v>0.95</v>
      </c>
      <c r="O112" s="143">
        <v>15</v>
      </c>
      <c r="P112" s="142"/>
      <c r="Q112" s="143"/>
      <c r="R112" s="142"/>
      <c r="S112" s="142"/>
      <c r="T112" s="142">
        <v>3.1536000000000002E-2</v>
      </c>
      <c r="U112" s="142">
        <v>9.2265384615384622</v>
      </c>
      <c r="V112" s="142">
        <v>0.27679615384615386</v>
      </c>
      <c r="W112" s="142">
        <v>0</v>
      </c>
      <c r="X112" s="142">
        <v>2</v>
      </c>
      <c r="Y112" s="142"/>
    </row>
    <row r="113" spans="2:27">
      <c r="B113" s="7"/>
      <c r="C113" s="69"/>
      <c r="D113" s="69"/>
      <c r="E113" s="69"/>
      <c r="F113" s="69" t="s">
        <v>223</v>
      </c>
      <c r="G113" s="69"/>
      <c r="H113" s="69"/>
      <c r="I113" s="1077"/>
      <c r="J113" s="69"/>
      <c r="K113" s="69"/>
      <c r="L113" s="69"/>
      <c r="M113" s="69"/>
      <c r="N113" s="69"/>
      <c r="O113" s="69"/>
      <c r="P113" s="69">
        <v>0</v>
      </c>
      <c r="Q113" s="69">
        <v>5</v>
      </c>
      <c r="R113" s="69">
        <v>0.40500000000000003</v>
      </c>
      <c r="S113" s="69">
        <v>5</v>
      </c>
      <c r="T113" s="69"/>
      <c r="U113" s="69"/>
      <c r="V113" s="69"/>
      <c r="W113" s="69"/>
      <c r="X113" s="69"/>
      <c r="Y113" s="69"/>
    </row>
    <row r="114" spans="2:27">
      <c r="B114" s="7"/>
      <c r="C114" s="69"/>
      <c r="F114" s="69" t="s">
        <v>222</v>
      </c>
      <c r="H114" s="69"/>
      <c r="I114" s="1077"/>
      <c r="J114" s="69"/>
      <c r="K114" s="69"/>
      <c r="M114" s="69"/>
      <c r="N114" s="69"/>
      <c r="O114" s="69"/>
      <c r="P114">
        <v>0</v>
      </c>
      <c r="Q114">
        <v>5</v>
      </c>
      <c r="R114">
        <v>0.40500000000000003</v>
      </c>
      <c r="S114">
        <v>5</v>
      </c>
      <c r="T114" s="69"/>
      <c r="U114" s="69"/>
      <c r="V114" s="69"/>
      <c r="W114" s="69"/>
      <c r="X114" s="69"/>
      <c r="Y114" s="69"/>
    </row>
    <row r="115" spans="2:27">
      <c r="B115" s="7"/>
      <c r="C115" s="69"/>
      <c r="D115" s="69"/>
      <c r="E115" s="69"/>
      <c r="F115" s="69" t="s">
        <v>211</v>
      </c>
      <c r="G115" s="69"/>
      <c r="H115" s="69"/>
      <c r="I115" s="1077"/>
      <c r="J115" s="69"/>
      <c r="K115" s="69"/>
      <c r="L115" s="69"/>
      <c r="M115" s="69"/>
      <c r="N115" s="69"/>
      <c r="O115" s="69"/>
      <c r="P115">
        <v>0.1</v>
      </c>
      <c r="Q115">
        <v>5</v>
      </c>
      <c r="R115">
        <v>0.88</v>
      </c>
      <c r="S115">
        <v>5</v>
      </c>
      <c r="T115" s="69"/>
      <c r="U115" s="69"/>
      <c r="V115" s="69"/>
      <c r="W115" s="69"/>
      <c r="X115" s="69"/>
      <c r="Y115" s="69"/>
    </row>
    <row r="116" spans="2:27" ht="15.6" customHeight="1" thickBot="1">
      <c r="B116" s="7"/>
      <c r="C116" s="69"/>
      <c r="D116" s="69"/>
      <c r="E116" s="69" t="s">
        <v>161</v>
      </c>
      <c r="F116" s="69"/>
      <c r="G116" s="69"/>
      <c r="H116" s="69"/>
      <c r="I116" s="1077"/>
      <c r="J116" s="69"/>
      <c r="K116" s="69"/>
      <c r="L116" s="141">
        <v>76.41136281912982</v>
      </c>
      <c r="M116" s="69"/>
      <c r="N116" s="69"/>
      <c r="O116" s="69"/>
      <c r="T116" s="69"/>
      <c r="U116" s="69"/>
      <c r="V116" s="69"/>
      <c r="W116" s="69"/>
      <c r="X116" s="69"/>
      <c r="Y116" s="69"/>
    </row>
    <row r="117" spans="2:27" ht="15" thickBot="1">
      <c r="B117" s="19" t="s">
        <v>306</v>
      </c>
      <c r="C117" s="139" t="s">
        <v>212</v>
      </c>
      <c r="D117" s="139" t="s">
        <v>1419</v>
      </c>
      <c r="E117" s="139"/>
      <c r="F117" s="139" t="s">
        <v>211</v>
      </c>
      <c r="G117" s="139"/>
      <c r="H117" s="139">
        <v>2020</v>
      </c>
      <c r="I117" s="104">
        <v>2025</v>
      </c>
      <c r="J117" s="139" t="s">
        <v>210</v>
      </c>
      <c r="K117" s="139">
        <v>0.8</v>
      </c>
      <c r="L117" s="139"/>
      <c r="M117" s="139"/>
      <c r="N117" s="139"/>
      <c r="O117" s="139">
        <v>15</v>
      </c>
      <c r="P117" s="139"/>
      <c r="Q117" s="139"/>
      <c r="R117" s="139"/>
      <c r="S117" s="139"/>
      <c r="T117" s="139">
        <v>3.1536000000000002E-2</v>
      </c>
      <c r="U117" s="140">
        <v>4.2791499138426188</v>
      </c>
      <c r="V117" s="101">
        <v>0.21395749569213096</v>
      </c>
      <c r="W117" s="139">
        <v>0.12837449741527857</v>
      </c>
      <c r="X117" s="101">
        <v>1</v>
      </c>
      <c r="Y117" s="101" t="s">
        <v>205</v>
      </c>
    </row>
    <row r="118" spans="2:27" ht="15" thickBot="1">
      <c r="B118" s="7"/>
      <c r="C118" s="69"/>
      <c r="D118" s="69"/>
      <c r="E118" s="69"/>
      <c r="F118" s="69"/>
      <c r="G118" s="69"/>
      <c r="H118" s="69"/>
      <c r="I118" s="69"/>
      <c r="J118" s="69"/>
      <c r="K118" s="69"/>
      <c r="L118" s="69"/>
      <c r="M118" s="69"/>
      <c r="N118" s="69"/>
      <c r="O118" s="69"/>
      <c r="P118" s="69"/>
      <c r="Q118" s="69"/>
      <c r="R118" s="69"/>
      <c r="S118" s="69"/>
      <c r="V118" s="69"/>
    </row>
    <row r="119" spans="2:27">
      <c r="Y119" s="96" t="s">
        <v>209</v>
      </c>
      <c r="Z119" s="95">
        <v>174.1</v>
      </c>
      <c r="AA119" s="94">
        <v>199.5</v>
      </c>
    </row>
    <row r="120" spans="2:27">
      <c r="Y120" s="132" t="s">
        <v>208</v>
      </c>
      <c r="Z120">
        <v>100</v>
      </c>
      <c r="AA120" s="76">
        <v>90</v>
      </c>
    </row>
    <row r="121" spans="2:27" ht="21.6" thickBot="1">
      <c r="O121" s="138" t="s">
        <v>207</v>
      </c>
      <c r="P121" s="138"/>
      <c r="Y121" s="92" t="s">
        <v>206</v>
      </c>
      <c r="Z121" s="55">
        <v>0.57438253877082135</v>
      </c>
      <c r="AA121" s="91">
        <v>0.45112781954887216</v>
      </c>
    </row>
    <row r="122" spans="2:27" ht="15" thickBot="1"/>
    <row r="123" spans="2:27">
      <c r="C123" s="1280" t="s">
        <v>204</v>
      </c>
      <c r="D123" s="95">
        <v>147</v>
      </c>
      <c r="E123" s="95">
        <v>133</v>
      </c>
      <c r="F123" s="95">
        <v>95</v>
      </c>
      <c r="G123" s="95">
        <v>83</v>
      </c>
      <c r="H123" s="94">
        <v>78</v>
      </c>
    </row>
    <row r="124" spans="2:27">
      <c r="C124" s="1281"/>
      <c r="D124">
        <v>550</v>
      </c>
      <c r="E124">
        <v>479</v>
      </c>
      <c r="F124">
        <v>340</v>
      </c>
      <c r="G124">
        <v>299</v>
      </c>
      <c r="H124" s="76">
        <v>281</v>
      </c>
    </row>
    <row r="125" spans="2:27">
      <c r="C125" s="1281" t="s">
        <v>202</v>
      </c>
      <c r="D125" s="136">
        <v>128</v>
      </c>
      <c r="E125" s="136">
        <v>124</v>
      </c>
      <c r="F125" s="136">
        <v>96</v>
      </c>
      <c r="G125" s="136">
        <v>90</v>
      </c>
      <c r="H125" s="135">
        <v>86</v>
      </c>
    </row>
    <row r="126" spans="2:27">
      <c r="C126" s="1282"/>
      <c r="D126" s="134">
        <v>463</v>
      </c>
      <c r="E126" s="134">
        <v>450</v>
      </c>
      <c r="F126" s="134">
        <v>349</v>
      </c>
      <c r="G126" s="134">
        <v>327</v>
      </c>
      <c r="H126" s="133">
        <v>310</v>
      </c>
    </row>
    <row r="127" spans="2:27">
      <c r="C127" s="132" t="s">
        <v>201</v>
      </c>
      <c r="D127" s="84">
        <v>0.27645788336933047</v>
      </c>
      <c r="E127" s="84">
        <v>0.27555555555555555</v>
      </c>
      <c r="F127" s="84">
        <v>0.27507163323782235</v>
      </c>
      <c r="G127" s="84">
        <v>0.27522935779816515</v>
      </c>
      <c r="H127" s="83">
        <v>0.27741935483870966</v>
      </c>
    </row>
    <row r="128" spans="2:27">
      <c r="C128" s="132" t="s">
        <v>200</v>
      </c>
      <c r="D128" s="84">
        <v>7.6793856491480683E-2</v>
      </c>
      <c r="E128" s="84">
        <v>7.6543209876543214E-2</v>
      </c>
      <c r="F128" s="84">
        <v>7.6408787010506213E-2</v>
      </c>
      <c r="G128" s="84">
        <v>7.6452599388379214E-2</v>
      </c>
      <c r="H128" s="83">
        <v>7.7060931899641569E-2</v>
      </c>
    </row>
    <row r="129" spans="3:18" ht="15" thickBot="1">
      <c r="C129" s="131" t="s">
        <v>199</v>
      </c>
      <c r="D129" s="130">
        <v>76.793856491480682</v>
      </c>
      <c r="E129" s="130">
        <v>76.543209876543216</v>
      </c>
      <c r="F129" s="130">
        <v>76.408787010506217</v>
      </c>
      <c r="G129" s="130">
        <v>76.452599388379213</v>
      </c>
      <c r="H129" s="129">
        <v>77.060931899641574</v>
      </c>
    </row>
    <row r="140" spans="3:18" ht="18">
      <c r="Q140" s="128" t="s">
        <v>205</v>
      </c>
      <c r="R140" s="128"/>
    </row>
    <row r="165" spans="3:12" ht="15" thickBot="1"/>
    <row r="166" spans="3:12" ht="21">
      <c r="C166" s="1280" t="s">
        <v>204</v>
      </c>
      <c r="D166" s="95">
        <v>147</v>
      </c>
      <c r="E166" s="95">
        <v>133</v>
      </c>
      <c r="F166" s="95">
        <v>95</v>
      </c>
      <c r="G166" s="95">
        <v>83</v>
      </c>
      <c r="H166" s="94">
        <v>78</v>
      </c>
      <c r="L166" s="137" t="s">
        <v>203</v>
      </c>
    </row>
    <row r="167" spans="3:12">
      <c r="C167" s="1281"/>
      <c r="D167">
        <v>550</v>
      </c>
      <c r="E167">
        <v>479</v>
      </c>
      <c r="F167">
        <v>340</v>
      </c>
      <c r="G167">
        <v>299</v>
      </c>
      <c r="H167" s="76">
        <v>281</v>
      </c>
    </row>
    <row r="168" spans="3:12">
      <c r="C168" s="1281" t="s">
        <v>202</v>
      </c>
      <c r="D168" s="136">
        <v>127</v>
      </c>
      <c r="E168" s="136">
        <v>123</v>
      </c>
      <c r="F168" s="136">
        <v>96</v>
      </c>
      <c r="G168" s="136">
        <v>90</v>
      </c>
      <c r="H168" s="135">
        <v>85</v>
      </c>
    </row>
    <row r="169" spans="3:12">
      <c r="C169" s="1282"/>
      <c r="D169" s="134">
        <v>460</v>
      </c>
      <c r="E169" s="134">
        <v>447</v>
      </c>
      <c r="F169" s="134">
        <v>348</v>
      </c>
      <c r="G169" s="134">
        <v>326</v>
      </c>
      <c r="H169" s="133">
        <v>309</v>
      </c>
    </row>
    <row r="170" spans="3:12">
      <c r="C170" s="132" t="s">
        <v>201</v>
      </c>
      <c r="D170" s="84">
        <v>0.27608695652173915</v>
      </c>
      <c r="E170" s="84">
        <v>0.27516778523489932</v>
      </c>
      <c r="F170" s="84">
        <v>0.27586206896551724</v>
      </c>
      <c r="G170" s="84">
        <v>0.27607361963190186</v>
      </c>
      <c r="H170" s="83">
        <v>0.27508090614886732</v>
      </c>
    </row>
    <row r="171" spans="3:12">
      <c r="C171" s="132" t="s">
        <v>200</v>
      </c>
      <c r="D171" s="84">
        <v>7.6690821256038655E-2</v>
      </c>
      <c r="E171" s="84">
        <v>7.6435495898583145E-2</v>
      </c>
      <c r="F171" s="84">
        <v>7.662835249042145E-2</v>
      </c>
      <c r="G171" s="84">
        <v>7.6687116564417179E-2</v>
      </c>
      <c r="H171" s="83">
        <v>7.6411362819129816E-2</v>
      </c>
    </row>
    <row r="172" spans="3:12" ht="15" thickBot="1">
      <c r="C172" s="131" t="s">
        <v>199</v>
      </c>
      <c r="D172" s="130">
        <v>76.69082125603866</v>
      </c>
      <c r="E172" s="130">
        <v>76.435495898583142</v>
      </c>
      <c r="F172" s="130">
        <v>76.628352490421449</v>
      </c>
      <c r="G172" s="130">
        <v>76.687116564417181</v>
      </c>
      <c r="H172" s="129">
        <v>76.41136281912982</v>
      </c>
    </row>
    <row r="174" spans="3:12" ht="18">
      <c r="C174" s="128" t="s">
        <v>198</v>
      </c>
      <c r="D174" s="128"/>
      <c r="E174" s="128"/>
      <c r="F174" s="128"/>
      <c r="G174" s="90"/>
      <c r="H174" s="90"/>
      <c r="I174" s="90"/>
    </row>
    <row r="175" spans="3:12">
      <c r="D175" t="s">
        <v>196</v>
      </c>
      <c r="E175">
        <v>14</v>
      </c>
      <c r="G175">
        <v>70</v>
      </c>
    </row>
    <row r="176" spans="3:12">
      <c r="C176" s="127">
        <v>0.25</v>
      </c>
      <c r="D176" s="125" t="s">
        <v>195</v>
      </c>
      <c r="E176">
        <v>10.5</v>
      </c>
      <c r="G176">
        <v>52.5</v>
      </c>
    </row>
    <row r="177" spans="4:12">
      <c r="D177" t="s">
        <v>194</v>
      </c>
      <c r="E177">
        <v>51</v>
      </c>
      <c r="F177">
        <v>42</v>
      </c>
      <c r="G177">
        <v>139</v>
      </c>
      <c r="H177">
        <v>125</v>
      </c>
      <c r="I177">
        <v>123</v>
      </c>
    </row>
    <row r="178" spans="4:12">
      <c r="D178" t="s">
        <v>193</v>
      </c>
      <c r="E178">
        <v>40.5</v>
      </c>
      <c r="F178">
        <v>31.5</v>
      </c>
      <c r="G178">
        <v>86.5</v>
      </c>
      <c r="H178">
        <v>72.5</v>
      </c>
      <c r="I178">
        <v>70.5</v>
      </c>
    </row>
    <row r="179" spans="4:12" ht="23.4">
      <c r="D179" t="s">
        <v>192</v>
      </c>
      <c r="E179">
        <v>9</v>
      </c>
      <c r="F179">
        <v>9</v>
      </c>
      <c r="G179">
        <v>50</v>
      </c>
      <c r="H179">
        <v>50</v>
      </c>
      <c r="I179">
        <v>50</v>
      </c>
      <c r="L179" s="126" t="s">
        <v>197</v>
      </c>
    </row>
    <row r="180" spans="4:12">
      <c r="D180" s="124" t="s">
        <v>191</v>
      </c>
      <c r="E180" s="124">
        <v>4.5</v>
      </c>
      <c r="F180" s="124">
        <v>3.5</v>
      </c>
      <c r="G180" s="124">
        <v>1.73</v>
      </c>
      <c r="H180" s="124">
        <v>1.45</v>
      </c>
      <c r="I180" s="124">
        <v>1.41</v>
      </c>
    </row>
    <row r="182" spans="4:12">
      <c r="D182" t="s">
        <v>196</v>
      </c>
      <c r="E182">
        <v>20</v>
      </c>
      <c r="G182">
        <v>90</v>
      </c>
    </row>
    <row r="183" spans="4:12">
      <c r="D183" s="125" t="s">
        <v>195</v>
      </c>
      <c r="E183">
        <v>15</v>
      </c>
      <c r="G183">
        <v>67.5</v>
      </c>
    </row>
    <row r="184" spans="4:12">
      <c r="D184" t="s">
        <v>194</v>
      </c>
      <c r="E184">
        <v>72</v>
      </c>
      <c r="F184">
        <v>45</v>
      </c>
      <c r="G184">
        <v>164</v>
      </c>
      <c r="H184">
        <v>150</v>
      </c>
      <c r="I184">
        <v>148</v>
      </c>
    </row>
    <row r="185" spans="4:12">
      <c r="D185" t="s">
        <v>193</v>
      </c>
      <c r="E185">
        <v>57</v>
      </c>
      <c r="F185">
        <v>30</v>
      </c>
      <c r="G185">
        <v>96.5</v>
      </c>
      <c r="H185">
        <v>82.5</v>
      </c>
      <c r="I185">
        <v>80.5</v>
      </c>
    </row>
    <row r="186" spans="4:12">
      <c r="D186" t="s">
        <v>192</v>
      </c>
      <c r="E186">
        <v>13</v>
      </c>
      <c r="F186">
        <v>13</v>
      </c>
      <c r="G186">
        <v>65</v>
      </c>
      <c r="H186">
        <v>65</v>
      </c>
      <c r="I186">
        <v>65</v>
      </c>
    </row>
    <row r="187" spans="4:12">
      <c r="D187" s="124" t="s">
        <v>191</v>
      </c>
      <c r="E187" s="124">
        <v>4.384615384615385</v>
      </c>
      <c r="F187" s="124">
        <v>2.3076923076923075</v>
      </c>
      <c r="G187" s="124">
        <v>1.4846153846153847</v>
      </c>
      <c r="H187" s="124">
        <v>1.2692307692307692</v>
      </c>
      <c r="I187" s="124">
        <v>1.2384615384615385</v>
      </c>
    </row>
  </sheetData>
  <mergeCells count="4">
    <mergeCell ref="C123:C124"/>
    <mergeCell ref="C125:C126"/>
    <mergeCell ref="C166:C167"/>
    <mergeCell ref="C168:C169"/>
  </mergeCells>
  <pageMargins left="0.7" right="0.7" top="0.75" bottom="0.75" header="0.3" footer="0.3"/>
  <pageSetup paperSize="9" orientation="portrait"/>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0E226-CD1D-401F-BE08-0A18F7D248ED}">
  <sheetPr>
    <tabColor theme="3" tint="0.39997558519241921"/>
  </sheetPr>
  <dimension ref="B1:AH44"/>
  <sheetViews>
    <sheetView zoomScale="70" zoomScaleNormal="70" workbookViewId="0">
      <selection activeCell="E26" sqref="E26"/>
    </sheetView>
  </sheetViews>
  <sheetFormatPr defaultColWidth="9.109375" defaultRowHeight="13.8"/>
  <cols>
    <col min="1" max="1" width="9.109375" style="7"/>
    <col min="2" max="2" width="31.88671875" style="7" customWidth="1"/>
    <col min="3" max="3" width="35.109375" style="7" customWidth="1"/>
    <col min="4" max="5" width="18.6640625" style="7" customWidth="1"/>
    <col min="6" max="6" width="13.44140625" style="7" bestFit="1" customWidth="1"/>
    <col min="7" max="7" width="13.88671875" style="7" bestFit="1" customWidth="1"/>
    <col min="8" max="8" width="14.109375" style="7" customWidth="1"/>
    <col min="9" max="9" width="14.109375" style="7" bestFit="1" customWidth="1"/>
    <col min="10" max="10" width="16.44140625" style="7" bestFit="1" customWidth="1"/>
    <col min="11" max="11" width="14.109375" style="7" bestFit="1" customWidth="1"/>
    <col min="12" max="12" width="12" style="7" customWidth="1"/>
    <col min="13" max="14" width="16.33203125" style="7" bestFit="1" customWidth="1"/>
    <col min="15" max="15" width="14.5546875" style="7" bestFit="1" customWidth="1"/>
    <col min="16" max="16" width="10" style="7" customWidth="1"/>
    <col min="17" max="17" width="13.88671875" style="7" customWidth="1"/>
    <col min="18" max="18" width="18" style="7" customWidth="1"/>
    <col min="19" max="19" width="6.109375" style="7" customWidth="1"/>
    <col min="20" max="20" width="43.88671875" style="7" customWidth="1"/>
    <col min="21" max="22" width="9.109375" style="7"/>
    <col min="23" max="23" width="38.33203125" style="7" bestFit="1" customWidth="1"/>
    <col min="24" max="16384" width="9.109375" style="7"/>
  </cols>
  <sheetData>
    <row r="1" spans="2:34" ht="18">
      <c r="B1" s="221" t="s">
        <v>300</v>
      </c>
      <c r="H1"/>
      <c r="I1"/>
      <c r="J1" s="158" t="s">
        <v>190</v>
      </c>
      <c r="K1" s="158">
        <v>7.45</v>
      </c>
    </row>
    <row r="2" spans="2:34" ht="18">
      <c r="B2" s="221"/>
      <c r="H2"/>
      <c r="I2"/>
      <c r="J2" s="158"/>
      <c r="K2" s="158"/>
    </row>
    <row r="3" spans="2:34">
      <c r="F3" s="8"/>
      <c r="H3" s="8" t="s">
        <v>0</v>
      </c>
    </row>
    <row r="4" spans="2:34" ht="14.4">
      <c r="B4" s="10" t="s">
        <v>2</v>
      </c>
      <c r="C4" s="11" t="s">
        <v>31</v>
      </c>
      <c r="D4" s="11" t="s">
        <v>32</v>
      </c>
      <c r="E4" s="11" t="s">
        <v>3</v>
      </c>
      <c r="F4" s="11" t="s">
        <v>33</v>
      </c>
      <c r="G4" s="11" t="s">
        <v>34</v>
      </c>
      <c r="H4" s="11" t="s">
        <v>158</v>
      </c>
      <c r="I4" s="11" t="s">
        <v>4</v>
      </c>
      <c r="J4" s="11" t="s">
        <v>36</v>
      </c>
      <c r="K4" s="11" t="s">
        <v>37</v>
      </c>
      <c r="L4" s="11" t="s">
        <v>5</v>
      </c>
      <c r="M4" s="11" t="s">
        <v>6</v>
      </c>
      <c r="N4" s="11" t="s">
        <v>7</v>
      </c>
      <c r="O4" s="11" t="s">
        <v>8</v>
      </c>
      <c r="P4" s="11" t="s">
        <v>38</v>
      </c>
      <c r="Q4" s="11" t="s">
        <v>9</v>
      </c>
      <c r="R4" s="220" t="s">
        <v>39</v>
      </c>
      <c r="S4" s="11" t="s">
        <v>40</v>
      </c>
      <c r="T4" s="11" t="s">
        <v>41</v>
      </c>
    </row>
    <row r="5" spans="2:34" ht="34.5" customHeight="1" thickBot="1">
      <c r="B5" s="13" t="s">
        <v>42</v>
      </c>
      <c r="C5" s="13"/>
      <c r="D5" s="13" t="s">
        <v>43</v>
      </c>
      <c r="E5" s="13" t="s">
        <v>44</v>
      </c>
      <c r="F5" s="13" t="s">
        <v>45</v>
      </c>
      <c r="G5" s="13" t="s">
        <v>46</v>
      </c>
      <c r="H5" s="13"/>
      <c r="I5" s="13"/>
      <c r="J5" s="13" t="s">
        <v>47</v>
      </c>
      <c r="K5" s="13" t="s">
        <v>48</v>
      </c>
      <c r="L5" s="13" t="s">
        <v>49</v>
      </c>
      <c r="M5" s="13" t="s">
        <v>50</v>
      </c>
      <c r="N5" s="13" t="s">
        <v>299</v>
      </c>
      <c r="O5" s="13" t="s">
        <v>298</v>
      </c>
      <c r="P5" s="13" t="s">
        <v>52</v>
      </c>
      <c r="Q5" s="13" t="s">
        <v>297</v>
      </c>
      <c r="R5" s="14" t="s">
        <v>54</v>
      </c>
      <c r="S5" s="13" t="s">
        <v>55</v>
      </c>
      <c r="T5" s="13" t="s">
        <v>56</v>
      </c>
      <c r="W5" s="219" t="s">
        <v>296</v>
      </c>
      <c r="X5" s="1283" t="s">
        <v>295</v>
      </c>
      <c r="Y5" s="1284"/>
      <c r="Z5" s="1284"/>
      <c r="AA5" s="1284"/>
      <c r="AB5" s="1284"/>
      <c r="AC5" s="1284"/>
      <c r="AD5" s="1284"/>
      <c r="AE5" s="1284"/>
      <c r="AF5" s="1284"/>
      <c r="AG5" s="1284"/>
      <c r="AH5" s="1285"/>
    </row>
    <row r="6" spans="2:34" ht="15" thickBot="1">
      <c r="B6" s="15" t="s">
        <v>42</v>
      </c>
      <c r="C6" s="15"/>
      <c r="D6" s="15"/>
      <c r="E6" s="15"/>
      <c r="F6" s="15"/>
      <c r="G6" s="15"/>
      <c r="H6" s="15"/>
      <c r="I6" s="15"/>
      <c r="J6" s="15" t="s">
        <v>294</v>
      </c>
      <c r="K6" s="15" t="s">
        <v>294</v>
      </c>
      <c r="L6" s="15" t="s">
        <v>62</v>
      </c>
      <c r="M6" s="15" t="s">
        <v>293</v>
      </c>
      <c r="N6" s="15" t="s">
        <v>292</v>
      </c>
      <c r="O6" s="15" t="s">
        <v>291</v>
      </c>
      <c r="P6" s="15" t="s">
        <v>66</v>
      </c>
      <c r="Q6" s="15"/>
      <c r="R6" s="16" t="s">
        <v>67</v>
      </c>
      <c r="S6" s="15"/>
      <c r="T6" s="15"/>
      <c r="W6" s="162"/>
      <c r="X6" s="162">
        <v>2015</v>
      </c>
      <c r="Y6" s="162">
        <v>2020</v>
      </c>
      <c r="Z6" s="162">
        <v>2030</v>
      </c>
      <c r="AA6" s="162">
        <v>2040</v>
      </c>
      <c r="AB6" s="162">
        <v>2050</v>
      </c>
      <c r="AC6" s="1286" t="s">
        <v>290</v>
      </c>
      <c r="AD6" s="1287"/>
      <c r="AE6" s="1286" t="s">
        <v>289</v>
      </c>
      <c r="AF6" s="1287"/>
      <c r="AG6" s="161" t="s">
        <v>288</v>
      </c>
      <c r="AH6" s="161" t="s">
        <v>287</v>
      </c>
    </row>
    <row r="7" spans="2:34" ht="14.4" customHeight="1">
      <c r="B7" s="19" t="s">
        <v>307</v>
      </c>
      <c r="C7" s="18" t="s">
        <v>286</v>
      </c>
      <c r="D7" s="19" t="s">
        <v>71</v>
      </c>
      <c r="E7" s="211" t="s">
        <v>268</v>
      </c>
      <c r="G7" s="19" t="s">
        <v>70</v>
      </c>
      <c r="H7" s="7">
        <v>2015</v>
      </c>
      <c r="I7" s="7">
        <v>2025</v>
      </c>
      <c r="J7" s="22">
        <v>1.7241379310344829</v>
      </c>
      <c r="L7" s="19">
        <v>20</v>
      </c>
      <c r="M7" s="22">
        <v>33.625074626865668</v>
      </c>
      <c r="N7" s="22">
        <v>0.39229253731343283</v>
      </c>
      <c r="O7" s="22">
        <v>12.972636815920399</v>
      </c>
      <c r="P7" s="20">
        <v>0.92153846153846153</v>
      </c>
      <c r="Q7" s="104">
        <v>3.1536000000000002E-2</v>
      </c>
      <c r="R7" s="210">
        <v>2</v>
      </c>
      <c r="T7" s="7" t="s">
        <v>267</v>
      </c>
      <c r="W7" s="190" t="s">
        <v>285</v>
      </c>
      <c r="X7" s="190"/>
      <c r="Y7" s="190"/>
      <c r="Z7" s="190"/>
      <c r="AA7" s="190"/>
      <c r="AB7" s="190"/>
      <c r="AC7" s="188" t="s">
        <v>284</v>
      </c>
      <c r="AD7" s="188" t="s">
        <v>283</v>
      </c>
      <c r="AE7" s="188" t="s">
        <v>284</v>
      </c>
      <c r="AF7" s="188" t="s">
        <v>283</v>
      </c>
      <c r="AG7" s="188"/>
      <c r="AH7" s="188"/>
    </row>
    <row r="8" spans="2:34">
      <c r="D8" s="7" t="s">
        <v>161</v>
      </c>
      <c r="J8" s="22">
        <v>68.159203980099505</v>
      </c>
      <c r="P8" s="203"/>
      <c r="W8" s="186" t="s">
        <v>282</v>
      </c>
      <c r="X8" s="185"/>
      <c r="Y8" s="185"/>
      <c r="Z8" s="185"/>
      <c r="AA8" s="185"/>
      <c r="AB8" s="185"/>
      <c r="AC8" s="185"/>
      <c r="AD8" s="185"/>
      <c r="AE8" s="185"/>
      <c r="AF8" s="185"/>
      <c r="AG8" s="183"/>
      <c r="AH8" s="182"/>
    </row>
    <row r="9" spans="2:34">
      <c r="F9" s="7" t="s">
        <v>216</v>
      </c>
      <c r="J9" s="22"/>
      <c r="K9" s="22">
        <v>0.43103448275862072</v>
      </c>
      <c r="P9" s="203"/>
      <c r="W9" s="180" t="s">
        <v>281</v>
      </c>
      <c r="X9" s="180">
        <v>5</v>
      </c>
      <c r="Y9" s="180">
        <v>50</v>
      </c>
      <c r="Z9" s="180">
        <v>100</v>
      </c>
      <c r="AA9" s="180">
        <v>125</v>
      </c>
      <c r="AB9" s="180">
        <v>150</v>
      </c>
      <c r="AC9" s="206">
        <v>0.5</v>
      </c>
      <c r="AD9" s="179">
        <v>1.5</v>
      </c>
      <c r="AE9" s="179">
        <v>0.5</v>
      </c>
      <c r="AF9" s="179">
        <v>1.5</v>
      </c>
      <c r="AG9" s="218" t="s">
        <v>280</v>
      </c>
      <c r="AH9" s="178" t="s">
        <v>279</v>
      </c>
    </row>
    <row r="10" spans="2:34" ht="15.6">
      <c r="C10" s="215" t="s">
        <v>286</v>
      </c>
      <c r="D10" s="177" t="s">
        <v>71</v>
      </c>
      <c r="E10" s="196" t="s">
        <v>268</v>
      </c>
      <c r="F10" s="177"/>
      <c r="G10" s="177" t="s">
        <v>70</v>
      </c>
      <c r="H10" s="177">
        <v>2020</v>
      </c>
      <c r="I10" s="177"/>
      <c r="J10" s="195">
        <v>1.7241379310344829</v>
      </c>
      <c r="K10" s="177"/>
      <c r="L10" s="177">
        <v>20</v>
      </c>
      <c r="M10" s="195">
        <v>33.625074626865668</v>
      </c>
      <c r="N10" s="195">
        <v>0.39229253731343283</v>
      </c>
      <c r="O10" s="195">
        <v>12.972636815920399</v>
      </c>
      <c r="P10" s="194">
        <v>0.92153846153846153</v>
      </c>
      <c r="Q10" s="142">
        <v>3.1536000000000002E-2</v>
      </c>
      <c r="R10" s="193">
        <v>2</v>
      </c>
      <c r="S10" s="177"/>
      <c r="T10" s="177"/>
      <c r="W10" s="190" t="s">
        <v>278</v>
      </c>
      <c r="X10" s="190">
        <v>3</v>
      </c>
      <c r="Y10" s="190">
        <v>33</v>
      </c>
      <c r="Z10" s="190">
        <v>65</v>
      </c>
      <c r="AA10" s="190">
        <v>83</v>
      </c>
      <c r="AB10" s="190">
        <v>100</v>
      </c>
      <c r="AC10" s="208">
        <v>0.5</v>
      </c>
      <c r="AD10" s="189">
        <v>1.5</v>
      </c>
      <c r="AE10" s="189">
        <v>0.5</v>
      </c>
      <c r="AF10" s="189">
        <v>1.5</v>
      </c>
      <c r="AG10" s="217" t="s">
        <v>277</v>
      </c>
      <c r="AH10" s="188" t="s">
        <v>276</v>
      </c>
    </row>
    <row r="11" spans="2:34">
      <c r="D11" s="7" t="s">
        <v>161</v>
      </c>
      <c r="J11" s="22">
        <v>68.159203980099505</v>
      </c>
      <c r="P11" s="203"/>
      <c r="W11" s="186" t="s">
        <v>275</v>
      </c>
      <c r="X11" s="185"/>
      <c r="Y11" s="185"/>
      <c r="Z11" s="185"/>
      <c r="AA11" s="185"/>
      <c r="AB11" s="185"/>
      <c r="AC11" s="185"/>
      <c r="AD11" s="185"/>
      <c r="AE11" s="185"/>
      <c r="AF11" s="185"/>
      <c r="AG11" s="183"/>
      <c r="AH11" s="182"/>
    </row>
    <row r="12" spans="2:34">
      <c r="F12" s="7" t="s">
        <v>216</v>
      </c>
      <c r="J12" s="22"/>
      <c r="K12" s="22">
        <v>0.43103448275862072</v>
      </c>
      <c r="P12" s="203"/>
      <c r="W12" s="180" t="s">
        <v>274</v>
      </c>
      <c r="X12" s="180">
        <v>1.37</v>
      </c>
      <c r="Y12" s="212">
        <v>1.37</v>
      </c>
      <c r="Z12" s="180">
        <v>1.37</v>
      </c>
      <c r="AA12" s="180">
        <v>1.37</v>
      </c>
      <c r="AB12" s="180">
        <v>1.37</v>
      </c>
      <c r="AC12" s="206">
        <v>1</v>
      </c>
      <c r="AD12" s="206">
        <v>1.1000000000000001</v>
      </c>
      <c r="AE12" s="206">
        <v>1</v>
      </c>
      <c r="AF12" s="206">
        <v>1.1000000000000001</v>
      </c>
      <c r="AG12" s="178"/>
      <c r="AH12" s="178">
        <v>5</v>
      </c>
    </row>
    <row r="13" spans="2:34" ht="15.6">
      <c r="C13" s="215" t="s">
        <v>286</v>
      </c>
      <c r="D13" s="177" t="s">
        <v>71</v>
      </c>
      <c r="E13" s="196" t="s">
        <v>268</v>
      </c>
      <c r="F13" s="177"/>
      <c r="G13" s="177" t="s">
        <v>70</v>
      </c>
      <c r="H13" s="177">
        <v>2030</v>
      </c>
      <c r="I13" s="177"/>
      <c r="J13" s="195">
        <v>1.639344262295082</v>
      </c>
      <c r="K13" s="177"/>
      <c r="L13" s="177">
        <v>25</v>
      </c>
      <c r="M13" s="195">
        <v>22.416716417910443</v>
      </c>
      <c r="N13" s="195">
        <v>0.39229253731343283</v>
      </c>
      <c r="O13" s="195">
        <v>12.972636815920399</v>
      </c>
      <c r="P13" s="194">
        <v>0.96150000000000002</v>
      </c>
      <c r="Q13" s="142">
        <v>3.1536000000000002E-2</v>
      </c>
      <c r="R13" s="193">
        <v>2</v>
      </c>
      <c r="S13" s="177"/>
      <c r="T13" s="177"/>
      <c r="W13" s="180"/>
      <c r="X13" s="180"/>
      <c r="Y13" s="212"/>
      <c r="Z13" s="180"/>
      <c r="AA13" s="180"/>
      <c r="AB13" s="180"/>
      <c r="AC13" s="206"/>
      <c r="AD13" s="206"/>
      <c r="AE13" s="206"/>
      <c r="AF13" s="206"/>
      <c r="AG13" s="178"/>
      <c r="AH13" s="178"/>
    </row>
    <row r="14" spans="2:34" ht="15.6">
      <c r="C14" s="21"/>
      <c r="D14" s="21" t="s">
        <v>161</v>
      </c>
      <c r="E14" s="21"/>
      <c r="F14" s="21"/>
      <c r="G14" s="21"/>
      <c r="H14" s="21"/>
      <c r="I14" s="21"/>
      <c r="J14" s="187">
        <v>68.159203980099505</v>
      </c>
      <c r="K14" s="21"/>
      <c r="L14" s="21"/>
      <c r="M14" s="21"/>
      <c r="N14" s="21"/>
      <c r="O14" s="21"/>
      <c r="P14" s="21"/>
      <c r="Q14" s="21"/>
      <c r="R14" s="21"/>
      <c r="S14" s="21"/>
      <c r="W14" s="180"/>
      <c r="X14" s="180"/>
      <c r="Y14" s="212"/>
      <c r="Z14" s="180"/>
      <c r="AA14" s="180"/>
      <c r="AB14" s="180"/>
      <c r="AC14" s="206"/>
      <c r="AD14" s="206"/>
      <c r="AE14" s="206"/>
      <c r="AF14" s="206"/>
      <c r="AG14" s="178"/>
      <c r="AH14" s="178"/>
    </row>
    <row r="15" spans="2:34">
      <c r="C15" s="31"/>
      <c r="D15" s="31"/>
      <c r="E15" s="31"/>
      <c r="F15" s="31" t="s">
        <v>216</v>
      </c>
      <c r="G15" s="31"/>
      <c r="H15" s="31"/>
      <c r="I15" s="31"/>
      <c r="J15" s="199"/>
      <c r="K15" s="199">
        <v>0.4098360655737705</v>
      </c>
      <c r="L15" s="31"/>
      <c r="M15" s="31"/>
      <c r="N15" s="31"/>
      <c r="O15" s="31"/>
      <c r="P15" s="31"/>
      <c r="Q15" s="31"/>
      <c r="R15" s="31"/>
      <c r="S15" s="31"/>
      <c r="W15" s="180"/>
      <c r="X15" s="180"/>
      <c r="Y15" s="212"/>
      <c r="Z15" s="180"/>
      <c r="AA15" s="180"/>
      <c r="AB15" s="180"/>
      <c r="AC15" s="206"/>
      <c r="AD15" s="206"/>
      <c r="AE15" s="206"/>
      <c r="AF15" s="206"/>
      <c r="AG15" s="178"/>
      <c r="AH15" s="178"/>
    </row>
    <row r="16" spans="2:34" ht="15.6">
      <c r="C16" s="215" t="s">
        <v>286</v>
      </c>
      <c r="D16" s="177" t="s">
        <v>71</v>
      </c>
      <c r="E16" s="196" t="s">
        <v>268</v>
      </c>
      <c r="F16" s="177"/>
      <c r="G16" s="177" t="s">
        <v>70</v>
      </c>
      <c r="H16" s="177">
        <v>2040</v>
      </c>
      <c r="I16" s="177"/>
      <c r="J16" s="195">
        <v>1.5873015873015872</v>
      </c>
      <c r="K16" s="177"/>
      <c r="L16" s="177">
        <v>25</v>
      </c>
      <c r="M16" s="195">
        <v>16.812537313432838</v>
      </c>
      <c r="N16" s="195">
        <v>0.39229253731343283</v>
      </c>
      <c r="O16" s="195">
        <v>12.972636815920399</v>
      </c>
      <c r="P16" s="194">
        <v>0.96150000000000002</v>
      </c>
      <c r="Q16" s="142">
        <v>3.1536000000000002E-2</v>
      </c>
      <c r="R16" s="193">
        <v>2</v>
      </c>
      <c r="S16" s="177"/>
      <c r="T16" s="177"/>
      <c r="W16" s="180"/>
      <c r="X16" s="180"/>
      <c r="Y16" s="212"/>
      <c r="Z16" s="180"/>
      <c r="AA16" s="180"/>
      <c r="AB16" s="180"/>
      <c r="AC16" s="206"/>
      <c r="AD16" s="206"/>
      <c r="AE16" s="206"/>
      <c r="AF16" s="206"/>
      <c r="AG16" s="178"/>
      <c r="AH16" s="178"/>
    </row>
    <row r="17" spans="2:34" ht="15.6">
      <c r="C17" s="21"/>
      <c r="D17" s="21" t="s">
        <v>161</v>
      </c>
      <c r="E17" s="21"/>
      <c r="F17" s="21"/>
      <c r="G17" s="21"/>
      <c r="H17" s="21"/>
      <c r="I17" s="21"/>
      <c r="J17" s="187">
        <v>68.159203980099505</v>
      </c>
      <c r="K17" s="21"/>
      <c r="L17" s="21"/>
      <c r="M17" s="21"/>
      <c r="N17" s="21"/>
      <c r="O17" s="21"/>
      <c r="P17" s="21"/>
      <c r="Q17" s="21"/>
      <c r="R17" s="21"/>
      <c r="S17" s="21"/>
      <c r="W17" s="180"/>
      <c r="X17" s="180"/>
      <c r="Y17" s="212"/>
      <c r="Z17" s="180"/>
      <c r="AA17" s="180"/>
      <c r="AB17" s="180"/>
      <c r="AC17" s="206"/>
      <c r="AD17" s="206"/>
      <c r="AE17" s="206"/>
      <c r="AF17" s="206"/>
      <c r="AG17" s="178"/>
      <c r="AH17" s="178"/>
    </row>
    <row r="18" spans="2:34">
      <c r="C18" s="31"/>
      <c r="D18" s="31"/>
      <c r="E18" s="31"/>
      <c r="F18" s="31" t="s">
        <v>216</v>
      </c>
      <c r="G18" s="31"/>
      <c r="H18" s="31"/>
      <c r="I18" s="31"/>
      <c r="J18" s="199"/>
      <c r="K18" s="199">
        <v>0.3968253968253968</v>
      </c>
      <c r="L18" s="31"/>
      <c r="M18" s="31"/>
      <c r="N18" s="31"/>
      <c r="O18" s="31"/>
      <c r="P18" s="31"/>
      <c r="Q18" s="31"/>
      <c r="R18" s="31"/>
      <c r="S18" s="31"/>
      <c r="W18" s="162" t="s">
        <v>273</v>
      </c>
      <c r="X18" s="162">
        <v>0.192</v>
      </c>
      <c r="Y18" s="216">
        <v>0.192</v>
      </c>
      <c r="Z18" s="162">
        <v>0.192</v>
      </c>
      <c r="AA18" s="162">
        <v>0.192</v>
      </c>
      <c r="AB18" s="162">
        <v>0.192</v>
      </c>
      <c r="AC18" s="205">
        <v>1</v>
      </c>
      <c r="AD18" s="205">
        <v>1.1000000000000001</v>
      </c>
      <c r="AE18" s="205">
        <v>1</v>
      </c>
      <c r="AF18" s="205">
        <v>1.1000000000000001</v>
      </c>
      <c r="AG18" s="161"/>
      <c r="AH18" s="161">
        <v>5</v>
      </c>
    </row>
    <row r="19" spans="2:34" ht="15.6">
      <c r="C19" s="215" t="s">
        <v>286</v>
      </c>
      <c r="D19" s="177" t="s">
        <v>71</v>
      </c>
      <c r="E19" s="196" t="s">
        <v>268</v>
      </c>
      <c r="F19" s="177"/>
      <c r="G19" s="177" t="s">
        <v>70</v>
      </c>
      <c r="H19" s="177">
        <v>2050</v>
      </c>
      <c r="I19" s="177"/>
      <c r="J19" s="195">
        <v>1.5384615384615383</v>
      </c>
      <c r="K19" s="177"/>
      <c r="L19" s="177">
        <v>25</v>
      </c>
      <c r="M19" s="195">
        <v>11.208358208955223</v>
      </c>
      <c r="N19" s="195">
        <v>0.39229253731343283</v>
      </c>
      <c r="O19" s="195">
        <v>12.972636815920399</v>
      </c>
      <c r="P19" s="194">
        <v>0.96150000000000002</v>
      </c>
      <c r="Q19" s="142">
        <v>3.1536000000000002E-2</v>
      </c>
      <c r="R19" s="193">
        <v>2</v>
      </c>
      <c r="S19" s="177"/>
      <c r="T19" s="177"/>
      <c r="W19" s="190" t="s">
        <v>104</v>
      </c>
      <c r="X19" s="190">
        <v>1</v>
      </c>
      <c r="Y19" s="209">
        <v>1</v>
      </c>
      <c r="Z19" s="190">
        <v>1</v>
      </c>
      <c r="AA19" s="190">
        <v>1</v>
      </c>
      <c r="AB19" s="190">
        <v>1</v>
      </c>
      <c r="AC19" s="208">
        <v>0.9</v>
      </c>
      <c r="AD19" s="208">
        <v>1.2</v>
      </c>
      <c r="AE19" s="208">
        <v>0.95</v>
      </c>
      <c r="AF19" s="208">
        <v>1.1000000000000001</v>
      </c>
      <c r="AG19" s="188" t="s">
        <v>272</v>
      </c>
      <c r="AH19" s="188" t="s">
        <v>265</v>
      </c>
    </row>
    <row r="20" spans="2:34" ht="15.6">
      <c r="C20" s="21"/>
      <c r="D20" s="21" t="s">
        <v>161</v>
      </c>
      <c r="E20" s="21"/>
      <c r="F20" s="21"/>
      <c r="G20" s="21"/>
      <c r="H20" s="21"/>
      <c r="I20" s="21"/>
      <c r="J20" s="187">
        <v>68.159203980099505</v>
      </c>
      <c r="K20" s="21"/>
      <c r="L20" s="21"/>
      <c r="M20" s="21"/>
      <c r="N20" s="21"/>
      <c r="O20" s="21"/>
      <c r="P20" s="21"/>
      <c r="Q20" s="21"/>
      <c r="R20" s="21"/>
      <c r="S20" s="21"/>
      <c r="W20" s="186" t="s">
        <v>271</v>
      </c>
      <c r="X20" s="185"/>
      <c r="Y20" s="214"/>
      <c r="Z20" s="185"/>
      <c r="AA20" s="185"/>
      <c r="AB20" s="185"/>
      <c r="AC20" s="213"/>
      <c r="AD20" s="213"/>
      <c r="AE20" s="213"/>
      <c r="AF20" s="213"/>
      <c r="AG20" s="183"/>
      <c r="AH20" s="182"/>
    </row>
    <row r="21" spans="2:34" ht="14.4" thickBot="1">
      <c r="B21" s="28"/>
      <c r="C21" s="28"/>
      <c r="D21" s="28"/>
      <c r="E21" s="28"/>
      <c r="F21" s="28" t="s">
        <v>216</v>
      </c>
      <c r="G21" s="28"/>
      <c r="H21" s="28"/>
      <c r="I21" s="28"/>
      <c r="J21" s="29"/>
      <c r="K21" s="29">
        <v>0.38461538461538458</v>
      </c>
      <c r="L21" s="28"/>
      <c r="M21" s="28"/>
      <c r="N21" s="28"/>
      <c r="O21" s="28"/>
      <c r="P21" s="28"/>
      <c r="Q21" s="28"/>
      <c r="R21" s="28"/>
      <c r="S21" s="28"/>
      <c r="T21" s="28"/>
      <c r="W21" s="180" t="s">
        <v>270</v>
      </c>
      <c r="X21" s="180">
        <v>0.57999999999999996</v>
      </c>
      <c r="Y21" s="212">
        <v>0.57999999999999996</v>
      </c>
      <c r="Z21" s="180">
        <v>0.61</v>
      </c>
      <c r="AA21" s="180">
        <v>0.63</v>
      </c>
      <c r="AB21" s="180">
        <v>0.65</v>
      </c>
      <c r="AC21" s="206">
        <v>1</v>
      </c>
      <c r="AD21" s="206">
        <v>1.33</v>
      </c>
      <c r="AE21" s="206">
        <v>1</v>
      </c>
      <c r="AF21" s="206">
        <v>1.33</v>
      </c>
      <c r="AG21" s="178" t="s">
        <v>269</v>
      </c>
      <c r="AH21" s="178" t="s">
        <v>265</v>
      </c>
    </row>
    <row r="22" spans="2:34">
      <c r="B22" s="19" t="s">
        <v>308</v>
      </c>
      <c r="C22" s="7" t="s">
        <v>261</v>
      </c>
      <c r="D22" s="19" t="s">
        <v>71</v>
      </c>
      <c r="E22" s="211" t="s">
        <v>268</v>
      </c>
      <c r="G22" s="19" t="s">
        <v>70</v>
      </c>
      <c r="H22" s="7">
        <v>2015</v>
      </c>
      <c r="I22" s="7">
        <v>2025</v>
      </c>
      <c r="J22" s="22">
        <v>1.7241379310344829</v>
      </c>
      <c r="L22" s="19">
        <v>20</v>
      </c>
      <c r="M22" s="22">
        <v>33.625074626865668</v>
      </c>
      <c r="N22" s="22">
        <v>0.39229253731343283</v>
      </c>
      <c r="O22" s="22">
        <v>12.972636815920399</v>
      </c>
      <c r="P22" s="20">
        <v>0.92153846153846153</v>
      </c>
      <c r="Q22" s="104">
        <v>3.1536000000000002E-2</v>
      </c>
      <c r="R22" s="210">
        <v>2</v>
      </c>
      <c r="T22" s="7" t="s">
        <v>267</v>
      </c>
      <c r="W22" s="190" t="s">
        <v>109</v>
      </c>
      <c r="X22" s="190">
        <v>0.25</v>
      </c>
      <c r="Y22" s="209">
        <v>0.25</v>
      </c>
      <c r="Z22" s="190">
        <v>0.25</v>
      </c>
      <c r="AA22" s="190">
        <v>0.25</v>
      </c>
      <c r="AB22" s="190">
        <v>0.25</v>
      </c>
      <c r="AC22" s="208">
        <v>0</v>
      </c>
      <c r="AD22" s="208">
        <v>1</v>
      </c>
      <c r="AE22" s="208">
        <v>0</v>
      </c>
      <c r="AF22" s="208">
        <v>1</v>
      </c>
      <c r="AG22" s="188" t="s">
        <v>266</v>
      </c>
      <c r="AH22" s="188" t="s">
        <v>265</v>
      </c>
    </row>
    <row r="23" spans="2:34">
      <c r="D23" s="7" t="s">
        <v>161</v>
      </c>
      <c r="J23" s="22">
        <v>68.159203980099505</v>
      </c>
      <c r="P23" s="203"/>
      <c r="W23" s="207"/>
      <c r="X23" s="185"/>
      <c r="Y23" s="185"/>
      <c r="Z23" s="185"/>
      <c r="AA23" s="185"/>
      <c r="AB23" s="185"/>
      <c r="AC23" s="185"/>
      <c r="AD23" s="185"/>
      <c r="AE23" s="185"/>
      <c r="AF23" s="185"/>
      <c r="AG23" s="183"/>
      <c r="AH23" s="182"/>
    </row>
    <row r="24" spans="2:34">
      <c r="F24" s="7" t="s">
        <v>259</v>
      </c>
      <c r="J24" s="22"/>
      <c r="K24" s="22">
        <v>0.43103448275862072</v>
      </c>
      <c r="P24" s="203"/>
      <c r="W24" s="180" t="s">
        <v>59</v>
      </c>
      <c r="X24" s="180">
        <v>4</v>
      </c>
      <c r="Y24" s="180">
        <v>4</v>
      </c>
      <c r="Z24" s="180">
        <v>0</v>
      </c>
      <c r="AA24" s="180">
        <v>0</v>
      </c>
      <c r="AB24" s="180">
        <v>0</v>
      </c>
      <c r="AC24" s="206"/>
      <c r="AD24" s="206"/>
      <c r="AE24" s="206"/>
      <c r="AF24" s="206"/>
      <c r="AG24" s="178"/>
      <c r="AH24" s="178"/>
    </row>
    <row r="25" spans="2:34">
      <c r="C25" s="177" t="s">
        <v>261</v>
      </c>
      <c r="D25" s="177" t="s">
        <v>71</v>
      </c>
      <c r="E25" s="196" t="s">
        <v>268</v>
      </c>
      <c r="F25" s="177"/>
      <c r="G25" s="177" t="s">
        <v>70</v>
      </c>
      <c r="H25" s="177">
        <v>2020</v>
      </c>
      <c r="I25" s="177"/>
      <c r="J25" s="195">
        <v>1.7241379310344829</v>
      </c>
      <c r="K25" s="177"/>
      <c r="L25" s="177">
        <v>20</v>
      </c>
      <c r="M25" s="195">
        <v>33.625074626865668</v>
      </c>
      <c r="N25" s="195">
        <v>0.39229253731343283</v>
      </c>
      <c r="O25" s="195">
        <v>12.972636815920399</v>
      </c>
      <c r="P25" s="194">
        <v>0.92153846153846153</v>
      </c>
      <c r="Q25" s="142">
        <v>3.1536000000000002E-2</v>
      </c>
      <c r="R25" s="193">
        <v>2</v>
      </c>
      <c r="W25" s="162" t="s">
        <v>92</v>
      </c>
      <c r="X25" s="162">
        <v>2</v>
      </c>
      <c r="Y25" s="162">
        <v>2</v>
      </c>
      <c r="Z25" s="162">
        <v>2</v>
      </c>
      <c r="AA25" s="162">
        <v>2</v>
      </c>
      <c r="AB25" s="162">
        <v>2</v>
      </c>
      <c r="AC25" s="205"/>
      <c r="AD25" s="205"/>
      <c r="AE25" s="205"/>
      <c r="AF25" s="205"/>
      <c r="AG25" s="161"/>
      <c r="AH25" s="161"/>
    </row>
    <row r="26" spans="2:34">
      <c r="D26" s="7" t="s">
        <v>161</v>
      </c>
      <c r="J26" s="22">
        <v>68.159203980099505</v>
      </c>
      <c r="P26" s="203"/>
      <c r="W26" s="162" t="s">
        <v>58</v>
      </c>
      <c r="X26" s="162">
        <v>25</v>
      </c>
      <c r="Y26" s="204">
        <v>20</v>
      </c>
      <c r="Z26" s="162">
        <v>20</v>
      </c>
      <c r="AA26" s="162">
        <v>20</v>
      </c>
      <c r="AB26" s="162">
        <v>20</v>
      </c>
      <c r="AC26" s="162"/>
      <c r="AD26" s="162"/>
      <c r="AE26" s="162"/>
      <c r="AF26" s="162"/>
      <c r="AG26" s="161"/>
      <c r="AH26" s="161"/>
    </row>
    <row r="27" spans="2:34">
      <c r="F27" s="7" t="s">
        <v>259</v>
      </c>
      <c r="J27" s="22"/>
      <c r="K27" s="22">
        <v>0.43103448275862072</v>
      </c>
      <c r="P27" s="203"/>
      <c r="W27" s="190" t="s">
        <v>60</v>
      </c>
      <c r="X27" s="190">
        <v>2</v>
      </c>
      <c r="Y27" s="191">
        <v>2</v>
      </c>
      <c r="Z27" s="190">
        <v>2</v>
      </c>
      <c r="AA27" s="190">
        <v>2</v>
      </c>
      <c r="AB27" s="190">
        <v>2</v>
      </c>
      <c r="AC27" s="190"/>
      <c r="AD27" s="190"/>
      <c r="AE27" s="190"/>
      <c r="AF27" s="190"/>
      <c r="AG27" s="188"/>
      <c r="AH27" s="188"/>
    </row>
    <row r="28" spans="2:34">
      <c r="C28" s="177" t="s">
        <v>261</v>
      </c>
      <c r="D28" s="177" t="s">
        <v>71</v>
      </c>
      <c r="E28" s="196" t="s">
        <v>268</v>
      </c>
      <c r="F28" s="177"/>
      <c r="G28" s="177" t="s">
        <v>70</v>
      </c>
      <c r="H28" s="177">
        <v>2030</v>
      </c>
      <c r="I28" s="177"/>
      <c r="J28" s="195">
        <v>1.639344262295082</v>
      </c>
      <c r="K28" s="177"/>
      <c r="L28" s="177">
        <v>25</v>
      </c>
      <c r="M28" s="195">
        <v>22.416716417910443</v>
      </c>
      <c r="N28" s="195">
        <v>0.39229253731343283</v>
      </c>
      <c r="O28" s="195">
        <v>12.972636815920399</v>
      </c>
      <c r="P28" s="194">
        <v>0.96150000000000002</v>
      </c>
      <c r="Q28" s="142">
        <v>3.1536000000000002E-2</v>
      </c>
      <c r="R28" s="193">
        <v>2</v>
      </c>
      <c r="W28" s="186" t="s">
        <v>264</v>
      </c>
      <c r="X28" s="185"/>
      <c r="Y28" s="185"/>
      <c r="Z28" s="185"/>
      <c r="AA28" s="185"/>
      <c r="AB28" s="185"/>
      <c r="AC28" s="185"/>
      <c r="AD28" s="185"/>
      <c r="AE28" s="185"/>
      <c r="AF28" s="185"/>
      <c r="AG28" s="183"/>
      <c r="AH28" s="182"/>
    </row>
    <row r="29" spans="2:34" ht="15.6">
      <c r="D29" s="21" t="s">
        <v>161</v>
      </c>
      <c r="E29" s="21"/>
      <c r="G29" s="21"/>
      <c r="H29" s="21"/>
      <c r="I29" s="21"/>
      <c r="J29" s="187">
        <v>68.159203980099505</v>
      </c>
      <c r="K29" s="21"/>
      <c r="L29" s="21"/>
      <c r="M29" s="21"/>
      <c r="N29" s="21"/>
      <c r="O29" s="21"/>
      <c r="P29" s="21"/>
      <c r="Q29" s="21"/>
      <c r="R29" s="21"/>
      <c r="W29" s="180" t="s">
        <v>263</v>
      </c>
      <c r="X29" s="201">
        <v>4.5134328358208959</v>
      </c>
      <c r="Y29" s="202">
        <v>4.5134328358208951</v>
      </c>
      <c r="Z29" s="201">
        <v>3.0089552238805966</v>
      </c>
      <c r="AA29" s="201">
        <v>2.256716417910448</v>
      </c>
      <c r="AB29" s="201">
        <v>1.5044776119402985</v>
      </c>
      <c r="AC29" s="179">
        <v>0.5</v>
      </c>
      <c r="AD29" s="179">
        <v>1</v>
      </c>
      <c r="AE29" s="179">
        <v>0.8</v>
      </c>
      <c r="AF29" s="179">
        <v>1.2</v>
      </c>
      <c r="AG29" s="178" t="s">
        <v>255</v>
      </c>
      <c r="AH29" s="178" t="s">
        <v>254</v>
      </c>
    </row>
    <row r="30" spans="2:34">
      <c r="D30" s="31"/>
      <c r="E30" s="31"/>
      <c r="F30" s="7" t="s">
        <v>259</v>
      </c>
      <c r="G30" s="31"/>
      <c r="H30" s="31"/>
      <c r="I30" s="31"/>
      <c r="J30" s="199"/>
      <c r="K30" s="199">
        <v>0.4098360655737705</v>
      </c>
      <c r="L30" s="31"/>
      <c r="M30" s="31"/>
      <c r="N30" s="31"/>
      <c r="O30" s="31"/>
      <c r="P30" s="31"/>
      <c r="Q30" s="31"/>
      <c r="R30" s="31"/>
      <c r="W30" s="162" t="s">
        <v>252</v>
      </c>
      <c r="X30" s="163">
        <v>75</v>
      </c>
      <c r="Y30" s="163">
        <v>75</v>
      </c>
      <c r="Z30" s="163">
        <v>75</v>
      </c>
      <c r="AA30" s="163">
        <v>75</v>
      </c>
      <c r="AB30" s="163">
        <v>75</v>
      </c>
      <c r="AC30" s="167"/>
      <c r="AD30" s="167"/>
      <c r="AE30" s="167"/>
      <c r="AF30" s="167"/>
      <c r="AG30" s="161"/>
      <c r="AH30" s="161"/>
    </row>
    <row r="31" spans="2:34">
      <c r="C31" s="177" t="s">
        <v>261</v>
      </c>
      <c r="D31" s="177" t="s">
        <v>71</v>
      </c>
      <c r="E31" s="196" t="s">
        <v>268</v>
      </c>
      <c r="F31" s="177"/>
      <c r="G31" s="177" t="s">
        <v>70</v>
      </c>
      <c r="H31" s="177">
        <v>2040</v>
      </c>
      <c r="I31" s="177"/>
      <c r="J31" s="195">
        <v>1.5873015873015872</v>
      </c>
      <c r="K31" s="177"/>
      <c r="L31" s="177">
        <v>25</v>
      </c>
      <c r="M31" s="195">
        <v>16.812537313432838</v>
      </c>
      <c r="N31" s="195">
        <v>0.39229253731343283</v>
      </c>
      <c r="O31" s="195">
        <v>12.972636815920399</v>
      </c>
      <c r="P31" s="194">
        <v>0.96150000000000002</v>
      </c>
      <c r="Q31" s="142">
        <v>3.1536000000000002E-2</v>
      </c>
      <c r="R31" s="193">
        <v>2</v>
      </c>
      <c r="W31" s="162" t="s">
        <v>251</v>
      </c>
      <c r="X31" s="163">
        <v>25</v>
      </c>
      <c r="Y31" s="163">
        <v>25</v>
      </c>
      <c r="Z31" s="163">
        <v>25</v>
      </c>
      <c r="AA31" s="163">
        <v>25</v>
      </c>
      <c r="AB31" s="163">
        <v>25</v>
      </c>
      <c r="AC31" s="167"/>
      <c r="AD31" s="167"/>
      <c r="AE31" s="167"/>
      <c r="AF31" s="167"/>
      <c r="AG31" s="161"/>
      <c r="AH31" s="161"/>
    </row>
    <row r="32" spans="2:34" ht="15.6">
      <c r="D32" s="21" t="s">
        <v>161</v>
      </c>
      <c r="E32" s="21"/>
      <c r="G32" s="21"/>
      <c r="H32" s="21"/>
      <c r="I32" s="21"/>
      <c r="J32" s="187">
        <v>68.159203980099505</v>
      </c>
      <c r="K32" s="21"/>
      <c r="L32" s="21"/>
      <c r="M32" s="21"/>
      <c r="N32" s="21"/>
      <c r="O32" s="21"/>
      <c r="P32" s="21"/>
      <c r="Q32" s="21"/>
      <c r="R32" s="21"/>
      <c r="W32" s="162" t="s">
        <v>262</v>
      </c>
      <c r="X32" s="168">
        <v>5.2656716417910455E-2</v>
      </c>
      <c r="Y32" s="200">
        <v>5.2656716417910449E-2</v>
      </c>
      <c r="Z32" s="168">
        <v>5.2656716417910449E-2</v>
      </c>
      <c r="AA32" s="168">
        <v>5.2656716417910449E-2</v>
      </c>
      <c r="AB32" s="168">
        <v>5.2656716417910455E-2</v>
      </c>
      <c r="AC32" s="167">
        <v>0.9</v>
      </c>
      <c r="AD32" s="167">
        <v>1.1000000000000001</v>
      </c>
      <c r="AE32" s="167">
        <v>0.9</v>
      </c>
      <c r="AF32" s="167">
        <v>1.1000000000000001</v>
      </c>
      <c r="AG32" s="161" t="s">
        <v>243</v>
      </c>
      <c r="AH32" s="161">
        <v>1</v>
      </c>
    </row>
    <row r="33" spans="3:34">
      <c r="D33" s="31"/>
      <c r="E33" s="31"/>
      <c r="F33" s="7" t="s">
        <v>259</v>
      </c>
      <c r="G33" s="31"/>
      <c r="H33" s="31"/>
      <c r="I33" s="31"/>
      <c r="J33" s="199"/>
      <c r="K33" s="199">
        <v>0.3968253968253968</v>
      </c>
      <c r="L33" s="31"/>
      <c r="M33" s="31"/>
      <c r="N33" s="31"/>
      <c r="O33" s="31"/>
      <c r="P33" s="31"/>
      <c r="Q33" s="31"/>
      <c r="R33" s="31"/>
      <c r="W33" s="162" t="s">
        <v>247</v>
      </c>
      <c r="X33" s="197">
        <v>6.2686567164179117</v>
      </c>
      <c r="Y33" s="198">
        <v>6.2686567164179108</v>
      </c>
      <c r="Z33" s="197">
        <v>6.2686567164179108</v>
      </c>
      <c r="AA33" s="197">
        <v>6.2686567164179108</v>
      </c>
      <c r="AB33" s="197">
        <v>6.2686567164179117</v>
      </c>
      <c r="AC33" s="167">
        <v>0.9</v>
      </c>
      <c r="AD33" s="167">
        <v>1.1000000000000001</v>
      </c>
      <c r="AE33" s="167">
        <v>0.9</v>
      </c>
      <c r="AF33" s="167">
        <v>1.1000000000000001</v>
      </c>
      <c r="AG33" s="161" t="s">
        <v>243</v>
      </c>
      <c r="AH33" s="161">
        <v>1</v>
      </c>
    </row>
    <row r="34" spans="3:34">
      <c r="C34" s="177" t="s">
        <v>261</v>
      </c>
      <c r="D34" s="177" t="s">
        <v>71</v>
      </c>
      <c r="E34" s="196" t="s">
        <v>268</v>
      </c>
      <c r="F34" s="177"/>
      <c r="G34" s="177" t="s">
        <v>70</v>
      </c>
      <c r="H34" s="177">
        <v>2050</v>
      </c>
      <c r="I34" s="177"/>
      <c r="J34" s="195">
        <v>1.5384615384615401</v>
      </c>
      <c r="K34" s="177"/>
      <c r="L34" s="177">
        <v>25</v>
      </c>
      <c r="M34" s="195">
        <v>11.208358208955223</v>
      </c>
      <c r="N34" s="195">
        <v>0.39229253731343283</v>
      </c>
      <c r="O34" s="195">
        <v>12.972636815920399</v>
      </c>
      <c r="P34" s="194">
        <v>0.96150000000000002</v>
      </c>
      <c r="Q34" s="142">
        <v>3.1536000000000002E-2</v>
      </c>
      <c r="R34" s="193">
        <v>2</v>
      </c>
      <c r="W34" s="190" t="s">
        <v>240</v>
      </c>
      <c r="X34" s="192">
        <v>0</v>
      </c>
      <c r="Y34" s="191">
        <v>0</v>
      </c>
      <c r="Z34" s="190">
        <v>0</v>
      </c>
      <c r="AA34" s="190">
        <v>0</v>
      </c>
      <c r="AB34" s="190">
        <v>0</v>
      </c>
      <c r="AC34" s="189"/>
      <c r="AD34" s="189"/>
      <c r="AE34" s="189"/>
      <c r="AF34" s="189"/>
      <c r="AG34" s="188"/>
      <c r="AH34" s="188"/>
    </row>
    <row r="35" spans="3:34" ht="15.6">
      <c r="D35" s="7" t="s">
        <v>161</v>
      </c>
      <c r="G35" s="21"/>
      <c r="H35" s="21"/>
      <c r="I35" s="21"/>
      <c r="J35" s="187">
        <v>68.159203980099505</v>
      </c>
      <c r="K35" s="21"/>
      <c r="L35" s="21"/>
      <c r="M35" s="21"/>
      <c r="N35" s="21"/>
      <c r="O35" s="21"/>
      <c r="P35" s="21"/>
      <c r="Q35" s="21"/>
      <c r="R35" s="21"/>
      <c r="W35" s="186" t="s">
        <v>260</v>
      </c>
      <c r="X35" s="185"/>
      <c r="Y35" s="185"/>
      <c r="Z35" s="185"/>
      <c r="AA35" s="185"/>
      <c r="AB35" s="185"/>
      <c r="AC35" s="184"/>
      <c r="AD35" s="184"/>
      <c r="AE35" s="184"/>
      <c r="AF35" s="184"/>
      <c r="AG35" s="183"/>
      <c r="AH35" s="182"/>
    </row>
    <row r="36" spans="3:34">
      <c r="F36" s="7" t="s">
        <v>259</v>
      </c>
      <c r="K36" s="22">
        <v>0.38461538461538458</v>
      </c>
      <c r="W36" s="180" t="s">
        <v>258</v>
      </c>
      <c r="X36" s="180">
        <v>20.100000000000001</v>
      </c>
      <c r="Y36" s="181">
        <v>20.100000000000001</v>
      </c>
      <c r="Z36" s="180">
        <v>20.100000000000001</v>
      </c>
      <c r="AA36" s="180">
        <v>20.100000000000001</v>
      </c>
      <c r="AB36" s="180">
        <v>20.100000000000001</v>
      </c>
      <c r="AC36" s="179"/>
      <c r="AD36" s="179"/>
      <c r="AE36" s="179"/>
      <c r="AF36" s="179"/>
      <c r="AG36" s="178"/>
      <c r="AH36" s="178"/>
    </row>
    <row r="37" spans="3:34">
      <c r="C37" s="177"/>
      <c r="D37" s="177"/>
      <c r="E37" s="177"/>
      <c r="F37" s="177"/>
      <c r="G37" s="177"/>
      <c r="H37" s="177"/>
      <c r="I37" s="177"/>
      <c r="J37" s="177"/>
      <c r="K37" s="177"/>
      <c r="L37" s="177"/>
      <c r="M37" s="177"/>
      <c r="N37" s="177"/>
      <c r="O37" s="177"/>
      <c r="P37" s="177"/>
      <c r="Q37" s="177"/>
      <c r="R37" s="177"/>
      <c r="S37" s="177"/>
      <c r="T37" s="177"/>
      <c r="W37" s="162" t="s">
        <v>257</v>
      </c>
      <c r="X37" s="162">
        <v>0.79</v>
      </c>
      <c r="Y37" s="162">
        <v>0.79</v>
      </c>
      <c r="Z37" s="162">
        <v>0.79</v>
      </c>
      <c r="AA37" s="162">
        <v>0.79</v>
      </c>
      <c r="AB37" s="162">
        <v>0.79</v>
      </c>
      <c r="AC37" s="167"/>
      <c r="AD37" s="167"/>
      <c r="AE37" s="167"/>
      <c r="AF37" s="167"/>
      <c r="AG37" s="161"/>
      <c r="AH37" s="161"/>
    </row>
    <row r="38" spans="3:34">
      <c r="W38" s="162" t="s">
        <v>256</v>
      </c>
      <c r="X38" s="176">
        <v>3</v>
      </c>
      <c r="Y38" s="176">
        <v>3</v>
      </c>
      <c r="Z38" s="176">
        <v>2</v>
      </c>
      <c r="AA38" s="176">
        <v>1.5</v>
      </c>
      <c r="AB38" s="176">
        <v>1</v>
      </c>
      <c r="AC38" s="167">
        <v>0.5</v>
      </c>
      <c r="AD38" s="167">
        <v>1</v>
      </c>
      <c r="AE38" s="167">
        <v>0.8</v>
      </c>
      <c r="AF38" s="167">
        <v>1.2</v>
      </c>
      <c r="AG38" s="161" t="s">
        <v>255</v>
      </c>
      <c r="AH38" s="161" t="s">
        <v>254</v>
      </c>
    </row>
    <row r="39" spans="3:34" ht="20.399999999999999">
      <c r="M39" s="175" t="s">
        <v>253</v>
      </c>
      <c r="N39" s="174"/>
      <c r="O39" s="174"/>
      <c r="P39" s="174"/>
      <c r="Q39" s="174"/>
      <c r="W39" s="162" t="s">
        <v>252</v>
      </c>
      <c r="X39" s="163">
        <v>75</v>
      </c>
      <c r="Y39" s="163">
        <v>75</v>
      </c>
      <c r="Z39" s="163">
        <v>75</v>
      </c>
      <c r="AA39" s="163">
        <v>75</v>
      </c>
      <c r="AB39" s="163">
        <v>75</v>
      </c>
      <c r="AC39" s="167"/>
      <c r="AD39" s="167"/>
      <c r="AE39" s="167"/>
      <c r="AF39" s="167"/>
      <c r="AG39" s="161"/>
      <c r="AH39" s="161"/>
    </row>
    <row r="40" spans="3:34" ht="14.4" thickBot="1">
      <c r="J40" s="7">
        <v>355.41470728549035</v>
      </c>
      <c r="W40" s="162" t="s">
        <v>251</v>
      </c>
      <c r="X40" s="163">
        <v>25</v>
      </c>
      <c r="Y40" s="163">
        <v>25</v>
      </c>
      <c r="Z40" s="163">
        <v>25</v>
      </c>
      <c r="AA40" s="163">
        <v>25</v>
      </c>
      <c r="AB40" s="163">
        <v>25</v>
      </c>
      <c r="AC40" s="167"/>
      <c r="AD40" s="167"/>
      <c r="AE40" s="167"/>
      <c r="AF40" s="167"/>
      <c r="AG40" s="161"/>
      <c r="AH40" s="161"/>
    </row>
    <row r="41" spans="3:34">
      <c r="L41" s="173" t="s">
        <v>250</v>
      </c>
      <c r="M41" s="19" t="s">
        <v>249</v>
      </c>
      <c r="N41" s="172" t="s">
        <v>248</v>
      </c>
      <c r="R41" s="171" t="s">
        <v>247</v>
      </c>
      <c r="S41" s="170">
        <v>6.2686567164179108</v>
      </c>
      <c r="W41" s="162" t="s">
        <v>246</v>
      </c>
      <c r="X41" s="168">
        <v>3.5000000000000003E-2</v>
      </c>
      <c r="Y41" s="168">
        <v>3.5000000000000003E-2</v>
      </c>
      <c r="Z41" s="168">
        <v>3.5000000000000003E-2</v>
      </c>
      <c r="AA41" s="168">
        <v>3.5000000000000003E-2</v>
      </c>
      <c r="AB41" s="168">
        <v>3.5000000000000003E-2</v>
      </c>
      <c r="AC41" s="167">
        <v>0.9</v>
      </c>
      <c r="AD41" s="167">
        <v>1.1000000000000001</v>
      </c>
      <c r="AE41" s="167">
        <v>0.9</v>
      </c>
      <c r="AF41" s="167">
        <v>1.1000000000000001</v>
      </c>
      <c r="AG41" s="161" t="s">
        <v>243</v>
      </c>
      <c r="AH41" s="161">
        <v>1</v>
      </c>
    </row>
    <row r="42" spans="3:34">
      <c r="J42" s="7">
        <v>0.64999999999999936</v>
      </c>
      <c r="L42" s="166">
        <v>20.100000000000001</v>
      </c>
      <c r="M42" s="7">
        <v>1.37</v>
      </c>
      <c r="N42" s="169">
        <v>6.8159203980099503E-2</v>
      </c>
      <c r="R42" s="166" t="s">
        <v>245</v>
      </c>
      <c r="S42" s="165">
        <v>1.7412935323383085</v>
      </c>
      <c r="W42" s="162" t="s">
        <v>244</v>
      </c>
      <c r="X42" s="168">
        <v>3.5000000000000003E-2</v>
      </c>
      <c r="Y42" s="168">
        <v>3.5000000000000003E-2</v>
      </c>
      <c r="Z42" s="168">
        <v>3.5000000000000003E-2</v>
      </c>
      <c r="AA42" s="168">
        <v>3.5000000000000003E-2</v>
      </c>
      <c r="AB42" s="168">
        <v>3.5000000000000003E-2</v>
      </c>
      <c r="AC42" s="167">
        <v>0.9</v>
      </c>
      <c r="AD42" s="167">
        <v>1.1000000000000001</v>
      </c>
      <c r="AE42" s="167">
        <v>0.9</v>
      </c>
      <c r="AF42" s="167">
        <v>1.1000000000000001</v>
      </c>
      <c r="AG42" s="161" t="s">
        <v>243</v>
      </c>
      <c r="AH42" s="161">
        <v>1</v>
      </c>
    </row>
    <row r="43" spans="3:34" ht="14.4" thickBot="1">
      <c r="L43" s="166"/>
      <c r="N43" s="165" t="s">
        <v>242</v>
      </c>
      <c r="R43" s="160" t="s">
        <v>241</v>
      </c>
      <c r="S43" s="164">
        <v>1.7412935323383085</v>
      </c>
      <c r="W43" s="162" t="s">
        <v>240</v>
      </c>
      <c r="X43" s="163">
        <v>0</v>
      </c>
      <c r="Y43" s="162">
        <v>0</v>
      </c>
      <c r="Z43" s="162">
        <v>0</v>
      </c>
      <c r="AA43" s="162"/>
      <c r="AB43" s="162">
        <v>0</v>
      </c>
      <c r="AC43" s="162"/>
      <c r="AD43" s="162"/>
      <c r="AE43" s="162"/>
      <c r="AF43" s="162"/>
      <c r="AG43" s="161"/>
      <c r="AH43" s="161"/>
    </row>
    <row r="44" spans="3:34" ht="14.4" thickBot="1">
      <c r="L44" s="160"/>
      <c r="M44" s="28"/>
      <c r="N44" s="159">
        <v>68.159203980099505</v>
      </c>
    </row>
  </sheetData>
  <mergeCells count="3">
    <mergeCell ref="X5:AH5"/>
    <mergeCell ref="AE6:AF6"/>
    <mergeCell ref="AC6:AD6"/>
  </mergeCells>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894BF-53AF-4A25-8EDE-3C185A93DE94}">
  <sheetPr>
    <tabColor theme="6" tint="0.39997558519241921"/>
  </sheetPr>
  <dimension ref="B2:W58"/>
  <sheetViews>
    <sheetView topLeftCell="J1" workbookViewId="0">
      <selection activeCell="D34" sqref="D34"/>
    </sheetView>
  </sheetViews>
  <sheetFormatPr defaultRowHeight="14.4"/>
  <cols>
    <col min="2" max="2" width="17.88671875" customWidth="1"/>
    <col min="3" max="3" width="31.6640625" customWidth="1"/>
    <col min="4" max="4" width="9" bestFit="1" customWidth="1"/>
    <col min="5" max="5" width="11.109375" bestFit="1" customWidth="1"/>
    <col min="6" max="6" width="13.109375" bestFit="1" customWidth="1"/>
    <col min="7" max="7" width="5" bestFit="1" customWidth="1"/>
    <col min="8" max="8" width="6.33203125" bestFit="1" customWidth="1"/>
    <col min="9" max="9" width="7" bestFit="1" customWidth="1"/>
    <col min="10" max="10" width="9.44140625" customWidth="1"/>
    <col min="12" max="12" width="8.77734375" bestFit="1" customWidth="1"/>
    <col min="13" max="13" width="8.44140625" bestFit="1" customWidth="1"/>
    <col min="14" max="14" width="7.6640625" bestFit="1" customWidth="1"/>
    <col min="15" max="15" width="9" bestFit="1" customWidth="1"/>
    <col min="16" max="16" width="11.21875" bestFit="1" customWidth="1"/>
    <col min="17" max="17" width="15.5546875" bestFit="1" customWidth="1"/>
    <col min="18" max="18" width="10.6640625" bestFit="1" customWidth="1"/>
    <col min="19" max="19" width="8.6640625" bestFit="1" customWidth="1"/>
    <col min="20" max="20" width="40.6640625" bestFit="1" customWidth="1"/>
  </cols>
  <sheetData>
    <row r="2" spans="2:23" ht="21">
      <c r="B2" s="137" t="s">
        <v>1754</v>
      </c>
    </row>
    <row r="5" spans="2:23">
      <c r="B5" s="7"/>
      <c r="C5" s="7"/>
      <c r="D5" s="7"/>
      <c r="E5" s="7"/>
      <c r="F5" s="8"/>
      <c r="G5" s="7"/>
      <c r="H5" s="9" t="s">
        <v>0</v>
      </c>
      <c r="I5" s="7"/>
      <c r="J5" s="7"/>
      <c r="K5" s="7"/>
      <c r="L5" s="7"/>
      <c r="M5" s="7"/>
      <c r="N5" s="7"/>
      <c r="O5" s="7"/>
      <c r="P5" s="7"/>
      <c r="Q5" s="7"/>
      <c r="R5" s="7"/>
      <c r="S5" s="7"/>
      <c r="T5" s="7"/>
      <c r="U5" s="7"/>
      <c r="V5" s="7"/>
      <c r="W5" s="8"/>
    </row>
    <row r="6" spans="2:23">
      <c r="B6" s="10" t="s">
        <v>2</v>
      </c>
      <c r="C6" s="11" t="s">
        <v>31</v>
      </c>
      <c r="D6" s="11" t="s">
        <v>32</v>
      </c>
      <c r="E6" s="11" t="s">
        <v>3</v>
      </c>
      <c r="F6" s="11" t="s">
        <v>33</v>
      </c>
      <c r="G6" s="11" t="s">
        <v>34</v>
      </c>
      <c r="H6" s="11" t="s">
        <v>35</v>
      </c>
      <c r="I6" s="11" t="s">
        <v>4</v>
      </c>
      <c r="J6" s="11" t="s">
        <v>36</v>
      </c>
      <c r="K6" s="11" t="s">
        <v>37</v>
      </c>
      <c r="L6" s="11" t="s">
        <v>5</v>
      </c>
      <c r="M6" s="11" t="s">
        <v>6</v>
      </c>
      <c r="N6" s="11" t="s">
        <v>7</v>
      </c>
      <c r="O6" s="11" t="s">
        <v>8</v>
      </c>
      <c r="P6" s="11" t="s">
        <v>38</v>
      </c>
      <c r="Q6" s="11" t="s">
        <v>9</v>
      </c>
      <c r="R6" s="12" t="s">
        <v>39</v>
      </c>
      <c r="S6" s="11" t="s">
        <v>40</v>
      </c>
      <c r="T6" s="11" t="s">
        <v>41</v>
      </c>
      <c r="U6" s="11" t="str">
        <f>"*"&amp;D6</f>
        <v>*Comm-IN</v>
      </c>
      <c r="V6" s="11" t="str">
        <f>"*"&amp;E6</f>
        <v>*Comm-OUT</v>
      </c>
      <c r="W6" s="11" t="str">
        <f>"*"&amp;F6</f>
        <v>*Comm-OUT-A</v>
      </c>
    </row>
    <row r="7" spans="2:23" ht="144.6" thickBot="1">
      <c r="B7" s="13" t="s">
        <v>42</v>
      </c>
      <c r="C7" s="13"/>
      <c r="D7" s="13" t="s">
        <v>43</v>
      </c>
      <c r="E7" s="13" t="s">
        <v>44</v>
      </c>
      <c r="F7" s="13" t="s">
        <v>45</v>
      </c>
      <c r="G7" s="13" t="s">
        <v>46</v>
      </c>
      <c r="H7" s="13"/>
      <c r="I7" s="13"/>
      <c r="J7" s="13" t="s">
        <v>47</v>
      </c>
      <c r="K7" s="13" t="s">
        <v>48</v>
      </c>
      <c r="L7" s="13" t="s">
        <v>49</v>
      </c>
      <c r="M7" s="13" t="s">
        <v>50</v>
      </c>
      <c r="N7" s="13" t="s">
        <v>51</v>
      </c>
      <c r="O7" s="13"/>
      <c r="P7" s="13" t="s">
        <v>52</v>
      </c>
      <c r="Q7" s="13" t="s">
        <v>53</v>
      </c>
      <c r="R7" s="14" t="s">
        <v>54</v>
      </c>
      <c r="S7" s="13" t="s">
        <v>55</v>
      </c>
      <c r="T7" s="13" t="s">
        <v>56</v>
      </c>
      <c r="U7" s="13"/>
      <c r="V7" s="13"/>
      <c r="W7" s="13"/>
    </row>
    <row r="8" spans="2:23" ht="15" hidden="1" thickBot="1">
      <c r="B8" s="13" t="s">
        <v>42</v>
      </c>
      <c r="C8" s="13"/>
      <c r="D8" s="13"/>
      <c r="E8" s="13"/>
      <c r="F8" s="13"/>
      <c r="G8" s="13"/>
      <c r="H8" s="13"/>
      <c r="I8" s="13"/>
      <c r="J8" s="13"/>
      <c r="K8" s="13"/>
      <c r="L8" s="13"/>
      <c r="M8" s="13"/>
      <c r="N8" s="13"/>
      <c r="O8" s="13"/>
      <c r="P8" s="13">
        <f>'95 Cellulosic ethanol'!B60</f>
        <v>0</v>
      </c>
      <c r="Q8" s="13"/>
      <c r="R8" s="14"/>
      <c r="S8" s="13"/>
      <c r="T8" s="13"/>
      <c r="U8" s="13"/>
      <c r="V8" s="13"/>
      <c r="W8" s="13"/>
    </row>
    <row r="9" spans="2:23" ht="42" hidden="1" thickBot="1">
      <c r="B9" s="13" t="s">
        <v>57</v>
      </c>
      <c r="C9" s="13"/>
      <c r="D9" s="13"/>
      <c r="E9" s="13"/>
      <c r="F9" s="13"/>
      <c r="G9" s="13"/>
      <c r="H9" s="13"/>
      <c r="I9" s="13"/>
      <c r="J9" s="13"/>
      <c r="K9" s="13"/>
      <c r="L9" s="13" t="s">
        <v>58</v>
      </c>
      <c r="M9" s="13" t="str">
        <f>LEFT('95 Cellulosic ethanol'!B64,27)</f>
        <v/>
      </c>
      <c r="N9" s="13" t="str">
        <f>LEFT('95 Cellulosic ethanol'!B67,17)</f>
        <v/>
      </c>
      <c r="O9" s="13" t="str">
        <f>LEFT('95 Cellulosic ethanol'!B68,19)</f>
        <v/>
      </c>
      <c r="P9" s="13" t="s">
        <v>59</v>
      </c>
      <c r="Q9" s="13"/>
      <c r="R9" s="13" t="s">
        <v>60</v>
      </c>
      <c r="S9" s="13"/>
      <c r="T9" s="13"/>
      <c r="U9" s="13"/>
      <c r="V9" s="13"/>
      <c r="W9" s="13"/>
    </row>
    <row r="10" spans="2:23" ht="15" thickBot="1">
      <c r="B10" s="15" t="s">
        <v>42</v>
      </c>
      <c r="C10" s="15"/>
      <c r="D10" s="15"/>
      <c r="E10" s="15"/>
      <c r="F10" s="15"/>
      <c r="G10" s="15"/>
      <c r="H10" s="15"/>
      <c r="I10" s="15"/>
      <c r="J10" s="15" t="s">
        <v>61</v>
      </c>
      <c r="K10" s="15" t="s">
        <v>61</v>
      </c>
      <c r="L10" s="15" t="s">
        <v>62</v>
      </c>
      <c r="M10" s="15" t="s">
        <v>63</v>
      </c>
      <c r="N10" s="15" t="s">
        <v>64</v>
      </c>
      <c r="O10" s="15" t="s">
        <v>65</v>
      </c>
      <c r="P10" s="15" t="s">
        <v>66</v>
      </c>
      <c r="Q10" s="15"/>
      <c r="R10" s="16" t="s">
        <v>67</v>
      </c>
      <c r="S10" s="15"/>
      <c r="T10" s="15"/>
      <c r="U10" s="15"/>
      <c r="V10" s="15"/>
      <c r="W10" s="15"/>
    </row>
    <row r="11" spans="2:23" ht="15.6">
      <c r="B11" s="17" t="str">
        <f>"SUP"&amp;E11&amp;RIGHT(D11,3)&amp;IF(RIGHT(C11,7)="Central","C1","D1")</f>
        <v>SUPMOECO2C1</v>
      </c>
      <c r="C11" s="32" t="str">
        <f>'98 Methanol from power'!D2&amp;" Central"</f>
        <v>Power to Methanol Central</v>
      </c>
      <c r="D11" s="17" t="s">
        <v>161</v>
      </c>
      <c r="E11" s="17" t="s">
        <v>268</v>
      </c>
      <c r="F11" s="17"/>
      <c r="G11" s="17" t="s">
        <v>70</v>
      </c>
      <c r="H11" s="17">
        <f>'93 1st generation ethanol'!$D$3</f>
        <v>2015</v>
      </c>
      <c r="I11" s="17"/>
      <c r="J11" s="33">
        <f>(INDEX('98 Methanol from power'!$D$4:$H$59,MATCH(SUP_DEA_ELECTRO!U11,'98 Methanol from power'!$B$4:$B$59,0),MATCH(SUP_DEA_ELECTRO!$H11,'98 Methanol from power'!$D$3:$H$3,0)))/INDEX('98 Methanol from power'!$D$4:$H$59,MATCH(SUP_DEA_ELECTRO!V11,'98 Methanol from power'!$B$4:$B$59,0),MATCH(SUP_DEA_ELECTRO!$H11,'98 Methanol from power'!$D$3:$H$3,0))*10</f>
        <v>23.620689655172416</v>
      </c>
      <c r="K11" s="33"/>
      <c r="L11" s="34">
        <f>INDEX('98 Methanol from power'!$D$4:$H$59,MATCH(SUP_Biofuels!M$8,'98 Methanol from power'!$B$4:$B$59,0),MATCH(SUP_DEA_ELECTRO!$H11,'98 Methanol from power'!$D$3:$H$3,0))</f>
        <v>25</v>
      </c>
      <c r="M11" s="35">
        <f>INDEX('98 Methanol from power'!$D$4:$H$59,MATCH(SUP_Biofuels!N$8,'98 Methanol from power'!$B$4:$B$59,0),MATCH(SUP_DEA_ELECTRO!$H11,'98 Methanol from power'!$D$3:$H$3,0))*7.45</f>
        <v>33.625074626865675</v>
      </c>
      <c r="N11" s="35">
        <f>INDEX('98 Methanol from power'!$D$4:$H$59,MATCH(SUP_Biofuels!O$8,'98 Methanol from power'!$B$4:$B$59,0),MATCH(SUP_DEA_ELECTRO!$H11,'98 Methanol from power'!$D$3:$H$3,0))*7.45</f>
        <v>0.39229253731343289</v>
      </c>
      <c r="O11" s="35">
        <f>INDEX('98 Methanol from power'!$D$4:$H$59,MATCH(SUP_Biofuels!P$8,'98 Methanol from power'!$B$4:$B$59,0),MATCH(SUP_DEA_ELECTRO!$H11,'98 Methanol from power'!$D$3:$H$3,0))*7.45/3.6</f>
        <v>12.972636815920399</v>
      </c>
      <c r="P11" s="33">
        <f>1-INDEX('98 Methanol from power'!$D$4:$H$59,MATCH(SUP_Biofuels!Q$7,'98 Methanol from power'!$B$4:$B$59,0),MATCH(SUP_DEA_ELECTRO!$H11,'98 Methanol from power'!$D$3:$H$3,0))/52-INDEX('98 Methanol from power'!$D$4:$H$59,MATCH(SUP_Biofuels!Q$8,'98 Methanol from power'!$B$4:$B$59,0),MATCH(SUP_DEA_ELECTRO!$H11,'98 Methanol from power'!$D$3:$H$3,0))/100</f>
        <v>0.92153846153846153</v>
      </c>
      <c r="Q11" s="36">
        <f>SUP_Biofuels!$R$39</f>
        <v>3.1536000000000002E-2</v>
      </c>
      <c r="R11" s="34">
        <f>INDEX('98 Methanol from power'!$D$4:$H$59,MATCH(SUP_Biofuels!S$8,'98 Methanol from power'!$B$4:$B$59,0),MATCH(SUP_DEA_ELECTRO!$H11,'98 Methanol from power'!$D$3:$H$3,0))</f>
        <v>2</v>
      </c>
      <c r="S11" s="37"/>
      <c r="T11" s="38" t="s">
        <v>74</v>
      </c>
      <c r="U11" s="17" t="str">
        <f>'98 Methanol from power'!B9</f>
        <v>CO2 Consumption, t/t Methanol</v>
      </c>
      <c r="V11" s="17" t="str">
        <f>'98 Methanol from power'!B13</f>
        <v>Methanol Output, MWh/MWh Input</v>
      </c>
      <c r="W11" s="17"/>
    </row>
    <row r="12" spans="2:23">
      <c r="B12" s="17"/>
      <c r="C12" s="17"/>
      <c r="D12" s="17" t="s">
        <v>1386</v>
      </c>
      <c r="E12" s="17"/>
      <c r="F12" s="17"/>
      <c r="G12" s="17"/>
      <c r="H12" s="17"/>
      <c r="I12" s="17"/>
      <c r="J12" s="33">
        <f>(INDEX('98 Methanol from power'!$D$4:$H$59,MATCH(SUP_DEA_ELECTRO!U12,'98 Methanol from power'!$B$4:$B$59,0),MATCH(SUP_DEA_ELECTRO!$H11,'98 Methanol from power'!$D$3:$H$3,0)))/INDEX('98 Methanol from power'!$D$4:$H$59,MATCH(SUP_DEA_ELECTRO!V11,'98 Methanol from power'!$B$4:$B$59,0),MATCH(SUP_DEA_ELECTRO!$H11,'98 Methanol from power'!$D$3:$H$3,0))</f>
        <v>0.33103448275862074</v>
      </c>
      <c r="K12" s="33"/>
      <c r="L12" s="39"/>
      <c r="M12" s="40"/>
      <c r="N12" s="40"/>
      <c r="O12" s="40"/>
      <c r="P12" s="41"/>
      <c r="Q12" s="42"/>
      <c r="R12" s="39"/>
      <c r="S12" s="43"/>
      <c r="T12" s="43"/>
      <c r="U12" s="17" t="str">
        <f>'98 Methanol from power'!B10</f>
        <v>Hydrogen Consumption, t/t Methanol</v>
      </c>
      <c r="V12" s="17"/>
      <c r="W12" s="17"/>
    </row>
    <row r="13" spans="2:23">
      <c r="B13" s="43"/>
      <c r="C13" s="43"/>
      <c r="D13" s="43" t="s">
        <v>71</v>
      </c>
      <c r="E13" s="43"/>
      <c r="F13" s="43"/>
      <c r="G13" s="43"/>
      <c r="H13" s="43"/>
      <c r="I13" s="43"/>
      <c r="J13" s="33">
        <f>(INDEX('98 Methanol from power'!$D$4:$H$59,MATCH(SUP_DEA_ELECTRO!U13,'98 Methanol from power'!$B$4:$B$59,0),MATCH(SUP_DEA_ELECTRO!$H11,'98 Methanol from power'!$D$3:$H$3,0)))/INDEX('98 Methanol from power'!$D$4:$H$59,MATCH(SUP_DEA_ELECTRO!V11,'98 Methanol from power'!$B$4:$B$59,0),MATCH(SUP_DEA_ELECTRO!$H11,'98 Methanol from power'!$D$3:$H$3,0))</f>
        <v>1.7241379310344829</v>
      </c>
      <c r="K13" s="43"/>
      <c r="L13" s="43"/>
      <c r="M13" s="43"/>
      <c r="N13" s="43"/>
      <c r="O13" s="40"/>
      <c r="P13" s="43"/>
      <c r="Q13" s="43"/>
      <c r="R13" s="43"/>
      <c r="S13" s="43"/>
      <c r="T13" s="43"/>
      <c r="U13" s="17" t="str">
        <f>'98 Methanol from power'!B11</f>
        <v>Electricity Consumption, MWh/MWh Total Inputs</v>
      </c>
      <c r="V13" s="43"/>
      <c r="W13" s="43"/>
    </row>
    <row r="14" spans="2:23" ht="15" thickBot="1">
      <c r="B14" s="43"/>
      <c r="C14" s="43"/>
      <c r="D14" s="43"/>
      <c r="E14" s="43"/>
      <c r="F14" s="43" t="s">
        <v>216</v>
      </c>
      <c r="G14" s="43"/>
      <c r="H14" s="43"/>
      <c r="I14" s="43"/>
      <c r="J14" s="43"/>
      <c r="K14" s="48">
        <f>INDEX('98 Methanol from power'!$D$4:$H$59,MATCH(SUP_DEA_ELECTRO!W14,'98 Methanol from power'!$B$4:$B$59,0),MATCH(SUP_DEA_ELECTRO!$H11,'98 Methanol from power'!$D$3:$H$3,0))*(SUM(J12:J13))</f>
        <v>0.51379310344827589</v>
      </c>
      <c r="L14" s="43"/>
      <c r="M14" s="43"/>
      <c r="N14" s="43"/>
      <c r="O14" s="40"/>
      <c r="P14" s="43"/>
      <c r="Q14" s="43"/>
      <c r="R14" s="43"/>
      <c r="S14" s="43"/>
      <c r="T14" s="43"/>
      <c r="U14" s="43"/>
      <c r="V14" s="43"/>
      <c r="W14" s="43" t="str">
        <f>'98 Methanol from power'!B14</f>
        <v>District Heating Output, MWh/MWh Total input</v>
      </c>
    </row>
    <row r="15" spans="2:23" ht="15.6">
      <c r="B15" s="17"/>
      <c r="C15" s="32"/>
      <c r="D15" s="17" t="str">
        <f>D11</f>
        <v>CCXCO2</v>
      </c>
      <c r="E15" s="17" t="str">
        <f>E11</f>
        <v>MOE</v>
      </c>
      <c r="F15" s="17"/>
      <c r="G15" s="17" t="s">
        <v>70</v>
      </c>
      <c r="H15" s="17">
        <v>2020</v>
      </c>
      <c r="I15" s="17"/>
      <c r="J15" s="33">
        <f>(INDEX('98 Methanol from power'!$D$4:$H$59,MATCH(SUP_DEA_ELECTRO!U15,'98 Methanol from power'!$B$4:$B$59,0),MATCH(SUP_DEA_ELECTRO!$H15,'98 Methanol from power'!$D$3:$H$3,0)))/INDEX('98 Methanol from power'!$D$4:$H$59,MATCH(SUP_DEA_ELECTRO!V15,'98 Methanol from power'!$B$4:$B$59,0),MATCH(SUP_DEA_ELECTRO!$H15,'98 Methanol from power'!$D$3:$H$3,0))*10</f>
        <v>23.620689655172416</v>
      </c>
      <c r="K15" s="33"/>
      <c r="L15" s="34">
        <f>INDEX('98 Methanol from power'!$D$4:$H$59,MATCH(SUP_Biofuels!M$8,'98 Methanol from power'!$B$4:$B$59,0),MATCH(SUP_DEA_ELECTRO!$H15,'98 Methanol from power'!$D$3:$H$3,0))</f>
        <v>20</v>
      </c>
      <c r="M15" s="35">
        <f>INDEX('98 Methanol from power'!$D$4:$H$59,MATCH(SUP_Biofuels!N$8,'98 Methanol from power'!$B$4:$B$59,0),MATCH(SUP_DEA_ELECTRO!$H15,'98 Methanol from power'!$D$3:$H$3,0))*7.45</f>
        <v>33.625074626865668</v>
      </c>
      <c r="N15" s="35">
        <f>INDEX('98 Methanol from power'!$D$4:$H$59,MATCH(SUP_Biofuels!O$8,'98 Methanol from power'!$B$4:$B$59,0),MATCH(SUP_DEA_ELECTRO!$H15,'98 Methanol from power'!$D$3:$H$3,0))*7.45</f>
        <v>0.39229253731343283</v>
      </c>
      <c r="O15" s="35">
        <f>INDEX('98 Methanol from power'!$D$4:$H$59,MATCH(SUP_Biofuels!P$8,'98 Methanol from power'!$B$4:$B$59,0),MATCH(SUP_DEA_ELECTRO!$H15,'98 Methanol from power'!$D$3:$H$3,0))*7.45/3.6</f>
        <v>12.972636815920398</v>
      </c>
      <c r="P15" s="33">
        <f>1-INDEX('98 Methanol from power'!$D$4:$H$59,MATCH(SUP_Biofuels!Q$7,'98 Methanol from power'!$B$4:$B$59,0),MATCH(SUP_DEA_ELECTRO!$H15,'98 Methanol from power'!$D$3:$H$3,0))/52-INDEX('98 Methanol from power'!$D$4:$H$59,MATCH(SUP_Biofuels!Q$8,'98 Methanol from power'!$B$4:$B$59,0),MATCH(SUP_DEA_ELECTRO!$H15,'98 Methanol from power'!$D$3:$H$3,0))/100</f>
        <v>0.92153846153846153</v>
      </c>
      <c r="Q15" s="36">
        <f>SUP_Biofuels!$R$39</f>
        <v>3.1536000000000002E-2</v>
      </c>
      <c r="R15" s="34">
        <f>INDEX('98 Methanol from power'!$D$4:$H$59,MATCH(SUP_Biofuels!S$8,'98 Methanol from power'!$B$4:$B$59,0),MATCH(SUP_DEA_ELECTRO!$H15,'98 Methanol from power'!$D$3:$H$3,0))</f>
        <v>2</v>
      </c>
      <c r="S15" s="44"/>
      <c r="T15" s="45"/>
      <c r="U15" s="17" t="str">
        <f>U11</f>
        <v>CO2 Consumption, t/t Methanol</v>
      </c>
      <c r="V15" s="17" t="str">
        <f>V11</f>
        <v>Methanol Output, MWh/MWh Input</v>
      </c>
      <c r="W15" s="17"/>
    </row>
    <row r="16" spans="2:23">
      <c r="B16" s="17"/>
      <c r="C16" s="17"/>
      <c r="D16" s="17" t="str">
        <f>D12</f>
        <v>SUPH2</v>
      </c>
      <c r="E16" s="17"/>
      <c r="F16" s="17"/>
      <c r="G16" s="17"/>
      <c r="H16" s="17"/>
      <c r="I16" s="17"/>
      <c r="J16" s="33">
        <f>(INDEX('98 Methanol from power'!$D$4:$H$59,MATCH(SUP_DEA_ELECTRO!U16,'98 Methanol from power'!$B$4:$B$59,0),MATCH(SUP_DEA_ELECTRO!$H15,'98 Methanol from power'!$D$3:$H$3,0)))/INDEX('98 Methanol from power'!$D$4:$H$59,MATCH(SUP_DEA_ELECTRO!V15,'98 Methanol from power'!$B$4:$B$59,0),MATCH(SUP_DEA_ELECTRO!$H15,'98 Methanol from power'!$D$3:$H$3,0))</f>
        <v>0.33103448275862074</v>
      </c>
      <c r="K16" s="33"/>
      <c r="L16" s="39"/>
      <c r="M16" s="40"/>
      <c r="N16" s="40"/>
      <c r="O16" s="40"/>
      <c r="P16" s="41"/>
      <c r="Q16" s="42"/>
      <c r="R16" s="39"/>
      <c r="S16" s="43"/>
      <c r="T16" s="43"/>
      <c r="U16" s="17" t="str">
        <f>U12</f>
        <v>Hydrogen Consumption, t/t Methanol</v>
      </c>
      <c r="V16" s="17"/>
      <c r="W16" s="17"/>
    </row>
    <row r="17" spans="2:23">
      <c r="B17" s="43"/>
      <c r="C17" s="43"/>
      <c r="D17" s="17" t="str">
        <f>D13</f>
        <v>SUPELC</v>
      </c>
      <c r="E17" s="43"/>
      <c r="F17" s="43"/>
      <c r="G17" s="43"/>
      <c r="H17" s="43"/>
      <c r="I17" s="43"/>
      <c r="J17" s="33">
        <f>(INDEX('98 Methanol from power'!$D$4:$H$59,MATCH(SUP_DEA_ELECTRO!U17,'98 Methanol from power'!$B$4:$B$59,0),MATCH(SUP_DEA_ELECTRO!$H15,'98 Methanol from power'!$D$3:$H$3,0)))/INDEX('98 Methanol from power'!$D$4:$H$59,MATCH(SUP_DEA_ELECTRO!V15,'98 Methanol from power'!$B$4:$B$59,0),MATCH(SUP_DEA_ELECTRO!$H15,'98 Methanol from power'!$D$3:$H$3,0))</f>
        <v>1.7241379310344829</v>
      </c>
      <c r="K17" s="43"/>
      <c r="L17" s="43"/>
      <c r="M17" s="43"/>
      <c r="N17" s="43"/>
      <c r="O17" s="40"/>
      <c r="P17" s="43"/>
      <c r="Q17" s="43"/>
      <c r="R17" s="43"/>
      <c r="S17" s="43"/>
      <c r="T17" s="43"/>
      <c r="U17" s="17" t="str">
        <f>U13</f>
        <v>Electricity Consumption, MWh/MWh Total Inputs</v>
      </c>
      <c r="V17" s="43"/>
      <c r="W17" s="43"/>
    </row>
    <row r="18" spans="2:23" ht="16.2" thickBot="1">
      <c r="B18" s="43"/>
      <c r="C18" s="32"/>
      <c r="D18" s="43"/>
      <c r="E18" s="43"/>
      <c r="F18" s="17" t="str">
        <f>F14</f>
        <v>HETC</v>
      </c>
      <c r="G18" s="43"/>
      <c r="H18" s="43"/>
      <c r="I18" s="43"/>
      <c r="J18" s="43"/>
      <c r="K18" s="48">
        <f>INDEX('98 Methanol from power'!$D$4:$H$59,MATCH(SUP_DEA_ELECTRO!W18,'98 Methanol from power'!$B$4:$B$59,0),MATCH(SUP_DEA_ELECTRO!$H15,'98 Methanol from power'!$D$3:$H$3,0))*(SUM(J16:J17))</f>
        <v>0.51379310344827589</v>
      </c>
      <c r="L18" s="43"/>
      <c r="M18" s="43"/>
      <c r="N18" s="43"/>
      <c r="O18" s="40"/>
      <c r="P18" s="43"/>
      <c r="Q18" s="43"/>
      <c r="R18" s="43"/>
      <c r="S18" s="43"/>
      <c r="T18" s="45"/>
      <c r="U18" s="43"/>
      <c r="V18" s="43"/>
      <c r="W18" s="17" t="str">
        <f>W14</f>
        <v>District Heating Output, MWh/MWh Total input</v>
      </c>
    </row>
    <row r="19" spans="2:23">
      <c r="B19" s="43"/>
      <c r="C19" s="17"/>
      <c r="D19" s="17" t="str">
        <f>D15</f>
        <v>CCXCO2</v>
      </c>
      <c r="E19" s="17" t="str">
        <f>E15</f>
        <v>MOE</v>
      </c>
      <c r="F19" s="17"/>
      <c r="G19" s="17" t="s">
        <v>70</v>
      </c>
      <c r="H19" s="17">
        <v>2030</v>
      </c>
      <c r="I19" s="17"/>
      <c r="J19" s="33">
        <f>(INDEX('98 Methanol from power'!$D$4:$H$59,MATCH(SUP_DEA_ELECTRO!U19,'98 Methanol from power'!$B$4:$B$59,0),MATCH(SUP_DEA_ELECTRO!$H19,'98 Methanol from power'!$D$3:$H$3,0)))/INDEX('98 Methanol from power'!$D$4:$H$59,MATCH(SUP_DEA_ELECTRO!V19,'98 Methanol from power'!$B$4:$B$59,0),MATCH(SUP_DEA_ELECTRO!$H19,'98 Methanol from power'!$D$3:$H$3,0))*10</f>
        <v>22.459016393442624</v>
      </c>
      <c r="K19" s="33"/>
      <c r="L19" s="34">
        <f>INDEX('98 Methanol from power'!$D$4:$H$59,MATCH(SUP_Biofuels!M$8,'98 Methanol from power'!$B$4:$B$59,0),MATCH(SUP_DEA_ELECTRO!$H19,'98 Methanol from power'!$D$3:$H$3,0))</f>
        <v>20</v>
      </c>
      <c r="M19" s="35">
        <f>INDEX('98 Methanol from power'!$D$4:$H$59,MATCH(SUP_Biofuels!N$8,'98 Methanol from power'!$B$4:$B$59,0),MATCH(SUP_DEA_ELECTRO!$H19,'98 Methanol from power'!$D$3:$H$3,0))*7.45</f>
        <v>22.416716417910443</v>
      </c>
      <c r="N19" s="35">
        <f>INDEX('98 Methanol from power'!$D$4:$H$59,MATCH(SUP_Biofuels!O$8,'98 Methanol from power'!$B$4:$B$59,0),MATCH(SUP_DEA_ELECTRO!$H19,'98 Methanol from power'!$D$3:$H$3,0))*7.45</f>
        <v>0.39229253731343283</v>
      </c>
      <c r="O19" s="35">
        <f>INDEX('98 Methanol from power'!$D$4:$H$59,MATCH(SUP_Biofuels!P$8,'98 Methanol from power'!$B$4:$B$59,0),MATCH(SUP_DEA_ELECTRO!$H19,'98 Methanol from power'!$D$3:$H$3,0))*7.45/3.6</f>
        <v>12.972636815920398</v>
      </c>
      <c r="P19" s="33">
        <f>1-INDEX('98 Methanol from power'!$D$4:$H$59,MATCH(SUP_Biofuels!Q$7,'98 Methanol from power'!$B$4:$B$59,0),MATCH(SUP_DEA_ELECTRO!$H19,'98 Methanol from power'!$D$3:$H$3,0))/52-INDEX('98 Methanol from power'!$D$4:$H$59,MATCH(SUP_Biofuels!Q$8,'98 Methanol from power'!$B$4:$B$59,0),MATCH(SUP_DEA_ELECTRO!$H19,'98 Methanol from power'!$D$3:$H$3,0))/100</f>
        <v>0.96153846153846156</v>
      </c>
      <c r="Q19" s="36">
        <f>SUP_Biofuels!$R$39</f>
        <v>3.1536000000000002E-2</v>
      </c>
      <c r="R19" s="34">
        <f>INDEX('98 Methanol from power'!$D$4:$H$59,MATCH(SUP_Biofuels!S$8,'98 Methanol from power'!$B$4:$B$59,0),MATCH(SUP_DEA_ELECTRO!$H19,'98 Methanol from power'!$D$3:$H$3,0))</f>
        <v>2</v>
      </c>
      <c r="S19" s="44"/>
      <c r="T19" s="43"/>
      <c r="U19" s="17" t="str">
        <f>U15</f>
        <v>CO2 Consumption, t/t Methanol</v>
      </c>
      <c r="V19" s="17" t="str">
        <f>V15</f>
        <v>Methanol Output, MWh/MWh Input</v>
      </c>
      <c r="W19" s="17"/>
    </row>
    <row r="20" spans="2:23">
      <c r="B20" s="43"/>
      <c r="C20" s="43"/>
      <c r="D20" s="17" t="str">
        <f>D16</f>
        <v>SUPH2</v>
      </c>
      <c r="E20" s="17"/>
      <c r="F20" s="17"/>
      <c r="G20" s="17"/>
      <c r="H20" s="17"/>
      <c r="I20" s="17"/>
      <c r="J20" s="33">
        <f>(INDEX('98 Methanol from power'!$D$4:$H$59,MATCH(SUP_DEA_ELECTRO!U20,'98 Methanol from power'!$B$4:$B$59,0),MATCH(SUP_DEA_ELECTRO!$H19,'98 Methanol from power'!$D$3:$H$3,0)))/INDEX('98 Methanol from power'!$D$4:$H$59,MATCH(SUP_DEA_ELECTRO!V19,'98 Methanol from power'!$B$4:$B$59,0),MATCH(SUP_DEA_ELECTRO!$H19,'98 Methanol from power'!$D$3:$H$3,0))</f>
        <v>0.31475409836065577</v>
      </c>
      <c r="K20" s="33"/>
      <c r="L20" s="39"/>
      <c r="M20" s="40"/>
      <c r="N20" s="40"/>
      <c r="O20" s="40"/>
      <c r="P20" s="41"/>
      <c r="Q20" s="42"/>
      <c r="R20" s="39"/>
      <c r="S20" s="43"/>
      <c r="T20" s="43"/>
      <c r="U20" s="17" t="str">
        <f>U16</f>
        <v>Hydrogen Consumption, t/t Methanol</v>
      </c>
      <c r="V20" s="17"/>
      <c r="W20" s="17"/>
    </row>
    <row r="21" spans="2:23">
      <c r="B21" s="43"/>
      <c r="C21" s="43"/>
      <c r="D21" s="17" t="str">
        <f>D17</f>
        <v>SUPELC</v>
      </c>
      <c r="E21" s="43"/>
      <c r="F21" s="43"/>
      <c r="G21" s="43"/>
      <c r="H21" s="43"/>
      <c r="I21" s="43"/>
      <c r="J21" s="33">
        <f>(INDEX('98 Methanol from power'!$D$4:$H$59,MATCH(SUP_DEA_ELECTRO!U21,'98 Methanol from power'!$B$4:$B$59,0),MATCH(SUP_DEA_ELECTRO!$H19,'98 Methanol from power'!$D$3:$H$3,0)))/INDEX('98 Methanol from power'!$D$4:$H$59,MATCH(SUP_DEA_ELECTRO!V19,'98 Methanol from power'!$B$4:$B$59,0),MATCH(SUP_DEA_ELECTRO!$H19,'98 Methanol from power'!$D$3:$H$3,0))</f>
        <v>1.639344262295082</v>
      </c>
      <c r="K21" s="43"/>
      <c r="L21" s="43"/>
      <c r="M21" s="43"/>
      <c r="N21" s="43"/>
      <c r="O21" s="40"/>
      <c r="P21" s="43"/>
      <c r="Q21" s="43"/>
      <c r="R21" s="43"/>
      <c r="S21" s="43"/>
      <c r="T21" s="43"/>
      <c r="U21" s="17" t="str">
        <f>U17</f>
        <v>Electricity Consumption, MWh/MWh Total Inputs</v>
      </c>
      <c r="V21" s="43"/>
      <c r="W21" s="43"/>
    </row>
    <row r="22" spans="2:23" ht="15" thickBot="1">
      <c r="B22" s="43"/>
      <c r="C22" s="17"/>
      <c r="D22" s="43"/>
      <c r="E22" s="43"/>
      <c r="F22" s="17" t="str">
        <f>F18</f>
        <v>HETC</v>
      </c>
      <c r="G22" s="43"/>
      <c r="H22" s="43"/>
      <c r="I22" s="43"/>
      <c r="J22" s="43"/>
      <c r="K22" s="48">
        <f>INDEX('98 Methanol from power'!$D$4:$H$59,MATCH(SUP_DEA_ELECTRO!W22,'98 Methanol from power'!$B$4:$B$59,0),MATCH(SUP_DEA_ELECTRO!$H19,'98 Methanol from power'!$D$3:$H$3,0))*(SUM(J20:J21))</f>
        <v>0.48852459016393446</v>
      </c>
      <c r="L22" s="43"/>
      <c r="M22" s="43"/>
      <c r="N22" s="43"/>
      <c r="O22" s="40"/>
      <c r="P22" s="43"/>
      <c r="Q22" s="43"/>
      <c r="R22" s="43"/>
      <c r="S22" s="43"/>
      <c r="T22" s="43"/>
      <c r="U22" s="43"/>
      <c r="V22" s="43"/>
      <c r="W22" s="17" t="str">
        <f>W18</f>
        <v>District Heating Output, MWh/MWh Total input</v>
      </c>
    </row>
    <row r="23" spans="2:23">
      <c r="B23" s="43"/>
      <c r="C23" s="43"/>
      <c r="D23" s="17" t="str">
        <f>D19</f>
        <v>CCXCO2</v>
      </c>
      <c r="E23" s="17" t="str">
        <f>E19</f>
        <v>MOE</v>
      </c>
      <c r="F23" s="17"/>
      <c r="G23" s="17" t="s">
        <v>70</v>
      </c>
      <c r="H23" s="17">
        <v>2040</v>
      </c>
      <c r="I23" s="17"/>
      <c r="J23" s="33">
        <f>(INDEX('98 Methanol from power'!$D$4:$H$59,MATCH(SUP_DEA_ELECTRO!U23,'98 Methanol from power'!$B$4:$B$59,0),MATCH(SUP_DEA_ELECTRO!$H23,'98 Methanol from power'!$D$3:$H$3,0)))/INDEX('98 Methanol from power'!$D$4:$H$59,MATCH(SUP_DEA_ELECTRO!V23,'98 Methanol from power'!$B$4:$B$59,0),MATCH(SUP_DEA_ELECTRO!$H23,'98 Methanol from power'!$D$3:$H$3,0))*10</f>
        <v>21.746031746031747</v>
      </c>
      <c r="K23" s="33"/>
      <c r="L23" s="34">
        <f>INDEX('98 Methanol from power'!$D$4:$H$59,MATCH(SUP_Biofuels!M$8,'98 Methanol from power'!$B$4:$B$59,0),MATCH(SUP_DEA_ELECTRO!$H23,'98 Methanol from power'!$D$3:$H$3,0))</f>
        <v>20</v>
      </c>
      <c r="M23" s="35">
        <f>INDEX('98 Methanol from power'!$D$4:$H$59,MATCH(SUP_Biofuels!N$8,'98 Methanol from power'!$B$4:$B$59,0),MATCH(SUP_DEA_ELECTRO!$H23,'98 Methanol from power'!$D$3:$H$3,0))*7.45</f>
        <v>16.812537313432838</v>
      </c>
      <c r="N23" s="35">
        <f>INDEX('98 Methanol from power'!$D$4:$H$59,MATCH(SUP_Biofuels!O$8,'98 Methanol from power'!$B$4:$B$59,0),MATCH(SUP_DEA_ELECTRO!$H23,'98 Methanol from power'!$D$3:$H$3,0))*7.45</f>
        <v>0.39229253731343283</v>
      </c>
      <c r="O23" s="35">
        <f>INDEX('98 Methanol from power'!$D$4:$H$59,MATCH(SUP_Biofuels!P$8,'98 Methanol from power'!$B$4:$B$59,0),MATCH(SUP_DEA_ELECTRO!$H23,'98 Methanol from power'!$D$3:$H$3,0))*7.45/3.6</f>
        <v>12.972636815920398</v>
      </c>
      <c r="P23" s="33">
        <f>1-INDEX('98 Methanol from power'!$D$4:$H$59,MATCH(SUP_Biofuels!Q$7,'98 Methanol from power'!$B$4:$B$59,0),MATCH(SUP_DEA_ELECTRO!$H23,'98 Methanol from power'!$D$3:$H$3,0))/52-INDEX('98 Methanol from power'!$D$4:$H$59,MATCH(SUP_Biofuels!Q$8,'98 Methanol from power'!$B$4:$B$59,0),MATCH(SUP_DEA_ELECTRO!$H23,'98 Methanol from power'!$D$3:$H$3,0))/100</f>
        <v>0.96153846153846156</v>
      </c>
      <c r="Q23" s="36">
        <f>SUP_Biofuels!$R$39</f>
        <v>3.1536000000000002E-2</v>
      </c>
      <c r="R23" s="34">
        <f>INDEX('98 Methanol from power'!$D$4:$H$59,MATCH(SUP_Biofuels!S$8,'98 Methanol from power'!$B$4:$B$59,0),MATCH(SUP_DEA_ELECTRO!$H23,'98 Methanol from power'!$D$3:$H$3,0))</f>
        <v>2</v>
      </c>
      <c r="S23" s="44"/>
      <c r="T23" s="43"/>
      <c r="U23" s="17" t="str">
        <f>U19</f>
        <v>CO2 Consumption, t/t Methanol</v>
      </c>
      <c r="V23" s="17" t="str">
        <f>V19</f>
        <v>Methanol Output, MWh/MWh Input</v>
      </c>
      <c r="W23" s="17"/>
    </row>
    <row r="24" spans="2:23">
      <c r="B24" s="43"/>
      <c r="C24" s="43"/>
      <c r="D24" s="17" t="str">
        <f>D20</f>
        <v>SUPH2</v>
      </c>
      <c r="E24" s="17"/>
      <c r="F24" s="17"/>
      <c r="G24" s="17"/>
      <c r="H24" s="17"/>
      <c r="I24" s="17"/>
      <c r="J24" s="33">
        <f>(INDEX('98 Methanol from power'!$D$4:$H$59,MATCH(SUP_DEA_ELECTRO!U24,'98 Methanol from power'!$B$4:$B$59,0),MATCH(SUP_DEA_ELECTRO!$H23,'98 Methanol from power'!$D$3:$H$3,0)))/INDEX('98 Methanol from power'!$D$4:$H$59,MATCH(SUP_DEA_ELECTRO!V23,'98 Methanol from power'!$B$4:$B$59,0),MATCH(SUP_DEA_ELECTRO!$H23,'98 Methanol from power'!$D$3:$H$3,0))</f>
        <v>0.30476190476190479</v>
      </c>
      <c r="K24" s="33"/>
      <c r="L24" s="39"/>
      <c r="M24" s="40"/>
      <c r="N24" s="40"/>
      <c r="O24" s="40"/>
      <c r="P24" s="41"/>
      <c r="Q24" s="42"/>
      <c r="R24" s="39"/>
      <c r="S24" s="43"/>
      <c r="T24" s="43"/>
      <c r="U24" s="17" t="str">
        <f>U20</f>
        <v>Hydrogen Consumption, t/t Methanol</v>
      </c>
      <c r="V24" s="17"/>
      <c r="W24" s="17"/>
    </row>
    <row r="25" spans="2:23">
      <c r="B25" s="43"/>
      <c r="C25" s="43"/>
      <c r="D25" s="17" t="str">
        <f>D21</f>
        <v>SUPELC</v>
      </c>
      <c r="E25" s="43"/>
      <c r="F25" s="43"/>
      <c r="G25" s="43"/>
      <c r="H25" s="43"/>
      <c r="I25" s="43"/>
      <c r="J25" s="33">
        <f>(INDEX('98 Methanol from power'!$D$4:$H$59,MATCH(SUP_DEA_ELECTRO!U25,'98 Methanol from power'!$B$4:$B$59,0),MATCH(SUP_DEA_ELECTRO!$H23,'98 Methanol from power'!$D$3:$H$3,0)))/INDEX('98 Methanol from power'!$D$4:$H$59,MATCH(SUP_DEA_ELECTRO!V23,'98 Methanol from power'!$B$4:$B$59,0),MATCH(SUP_DEA_ELECTRO!$H23,'98 Methanol from power'!$D$3:$H$3,0))</f>
        <v>1.5873015873015872</v>
      </c>
      <c r="K25" s="43"/>
      <c r="L25" s="43"/>
      <c r="M25" s="43"/>
      <c r="N25" s="43"/>
      <c r="O25" s="40"/>
      <c r="P25" s="43"/>
      <c r="Q25" s="43"/>
      <c r="R25" s="43"/>
      <c r="S25" s="43"/>
      <c r="T25" s="43"/>
      <c r="U25" s="17" t="str">
        <f>U21</f>
        <v>Electricity Consumption, MWh/MWh Total Inputs</v>
      </c>
      <c r="V25" s="43"/>
      <c r="W25" s="43"/>
    </row>
    <row r="26" spans="2:23" ht="15" thickBot="1">
      <c r="B26" s="43"/>
      <c r="C26" s="43"/>
      <c r="D26" s="43"/>
      <c r="E26" s="43"/>
      <c r="F26" s="17" t="str">
        <f>F22</f>
        <v>HETC</v>
      </c>
      <c r="G26" s="43"/>
      <c r="H26" s="43"/>
      <c r="I26" s="43"/>
      <c r="J26" s="43"/>
      <c r="K26" s="48">
        <f>INDEX('98 Methanol from power'!$D$4:$H$59,MATCH(SUP_DEA_ELECTRO!W26,'98 Methanol from power'!$B$4:$B$59,0),MATCH(SUP_DEA_ELECTRO!$H23,'98 Methanol from power'!$D$3:$H$3,0))*(SUM(J24:J25))</f>
        <v>0.473015873015873</v>
      </c>
      <c r="L26" s="43"/>
      <c r="M26" s="43"/>
      <c r="N26" s="43"/>
      <c r="O26" s="40"/>
      <c r="P26" s="43"/>
      <c r="Q26" s="43"/>
      <c r="R26" s="43"/>
      <c r="S26" s="43"/>
      <c r="T26" s="43"/>
      <c r="U26" s="43"/>
      <c r="V26" s="43"/>
      <c r="W26" s="17" t="str">
        <f>W22</f>
        <v>District Heating Output, MWh/MWh Total input</v>
      </c>
    </row>
    <row r="27" spans="2:23">
      <c r="B27" s="43"/>
      <c r="C27" s="43"/>
      <c r="D27" s="17" t="str">
        <f>D23</f>
        <v>CCXCO2</v>
      </c>
      <c r="E27" s="17" t="str">
        <f>E23</f>
        <v>MOE</v>
      </c>
      <c r="F27" s="17"/>
      <c r="G27" s="17" t="s">
        <v>70</v>
      </c>
      <c r="H27" s="17">
        <v>2050</v>
      </c>
      <c r="I27" s="17"/>
      <c r="J27" s="33">
        <f>(INDEX('98 Methanol from power'!$D$4:$H$59,MATCH(SUP_DEA_ELECTRO!U27,'98 Methanol from power'!$B$4:$B$59,0),MATCH(SUP_DEA_ELECTRO!$H27,'98 Methanol from power'!$D$3:$H$3,0)))/INDEX('98 Methanol from power'!$D$4:$H$59,MATCH(SUP_DEA_ELECTRO!V27,'98 Methanol from power'!$B$4:$B$59,0),MATCH(SUP_DEA_ELECTRO!$H27,'98 Methanol from power'!$D$3:$H$3,0))*10</f>
        <v>21.076923076923077</v>
      </c>
      <c r="K27" s="33"/>
      <c r="L27" s="34">
        <f>INDEX('98 Methanol from power'!$D$4:$H$59,MATCH(SUP_Biofuels!M$8,'98 Methanol from power'!$B$4:$B$59,0),MATCH(SUP_DEA_ELECTRO!$H27,'98 Methanol from power'!$D$3:$H$3,0))</f>
        <v>20</v>
      </c>
      <c r="M27" s="35">
        <f>INDEX('98 Methanol from power'!$D$4:$H$59,MATCH(SUP_Biofuels!N$8,'98 Methanol from power'!$B$4:$B$59,0),MATCH(SUP_DEA_ELECTRO!$H27,'98 Methanol from power'!$D$3:$H$3,0))*7.45</f>
        <v>11.208358208955223</v>
      </c>
      <c r="N27" s="35">
        <f>INDEX('98 Methanol from power'!$D$4:$H$59,MATCH(SUP_Biofuels!O$8,'98 Methanol from power'!$B$4:$B$59,0),MATCH(SUP_DEA_ELECTRO!$H27,'98 Methanol from power'!$D$3:$H$3,0))*7.45</f>
        <v>0.39229253731343289</v>
      </c>
      <c r="O27" s="35">
        <f>INDEX('98 Methanol from power'!$D$4:$H$59,MATCH(SUP_Biofuels!P$8,'98 Methanol from power'!$B$4:$B$59,0),MATCH(SUP_DEA_ELECTRO!$H27,'98 Methanol from power'!$D$3:$H$3,0))*7.45/3.6</f>
        <v>12.972636815920399</v>
      </c>
      <c r="P27" s="33">
        <f>1-INDEX('98 Methanol from power'!$D$4:$H$59,MATCH(SUP_Biofuels!Q$7,'98 Methanol from power'!$B$4:$B$59,0),MATCH(SUP_DEA_ELECTRO!$H27,'98 Methanol from power'!$D$3:$H$3,0))/52-INDEX('98 Methanol from power'!$D$4:$H$59,MATCH(SUP_Biofuels!Q$8,'98 Methanol from power'!$B$4:$B$59,0),MATCH(SUP_DEA_ELECTRO!$H27,'98 Methanol from power'!$D$3:$H$3,0))/100</f>
        <v>0.96153846153846156</v>
      </c>
      <c r="Q27" s="36">
        <f>SUP_Biofuels!$R$39</f>
        <v>3.1536000000000002E-2</v>
      </c>
      <c r="R27" s="34">
        <f>INDEX('98 Methanol from power'!$D$4:$H$59,MATCH(SUP_Biofuels!S$8,'98 Methanol from power'!$B$4:$B$59,0),MATCH(SUP_DEA_ELECTRO!$H27,'98 Methanol from power'!$D$3:$H$3,0))</f>
        <v>2</v>
      </c>
      <c r="S27" s="44"/>
      <c r="T27" s="43"/>
      <c r="U27" s="17" t="str">
        <f>U23</f>
        <v>CO2 Consumption, t/t Methanol</v>
      </c>
      <c r="V27" s="17" t="str">
        <f>V23</f>
        <v>Methanol Output, MWh/MWh Input</v>
      </c>
      <c r="W27" s="17"/>
    </row>
    <row r="28" spans="2:23">
      <c r="B28" s="43"/>
      <c r="C28" s="43"/>
      <c r="D28" s="17" t="str">
        <f>D24</f>
        <v>SUPH2</v>
      </c>
      <c r="E28" s="17"/>
      <c r="F28" s="17"/>
      <c r="G28" s="17"/>
      <c r="H28" s="17"/>
      <c r="I28" s="17"/>
      <c r="J28" s="33">
        <f>(INDEX('98 Methanol from power'!$D$4:$H$59,MATCH(SUP_DEA_ELECTRO!U28,'98 Methanol from power'!$B$4:$B$59,0),MATCH(SUP_DEA_ELECTRO!$H27,'98 Methanol from power'!$D$3:$H$3,0)))/INDEX('98 Methanol from power'!$D$4:$H$59,MATCH(SUP_DEA_ELECTRO!V27,'98 Methanol from power'!$B$4:$B$59,0),MATCH(SUP_DEA_ELECTRO!$H27,'98 Methanol from power'!$D$3:$H$3,0))</f>
        <v>0.29538461538461536</v>
      </c>
      <c r="K28" s="33"/>
      <c r="L28" s="39"/>
      <c r="M28" s="40"/>
      <c r="N28" s="40"/>
      <c r="O28" s="40"/>
      <c r="P28" s="41"/>
      <c r="Q28" s="42"/>
      <c r="R28" s="39"/>
      <c r="S28" s="43"/>
      <c r="T28" s="43"/>
      <c r="U28" s="17" t="str">
        <f>U24</f>
        <v>Hydrogen Consumption, t/t Methanol</v>
      </c>
      <c r="V28" s="17"/>
      <c r="W28" s="17"/>
    </row>
    <row r="29" spans="2:23" ht="15.6">
      <c r="B29" s="43"/>
      <c r="C29" s="32"/>
      <c r="D29" s="17" t="str">
        <f>D25</f>
        <v>SUPELC</v>
      </c>
      <c r="E29" s="43"/>
      <c r="F29" s="43"/>
      <c r="G29" s="43"/>
      <c r="H29" s="43"/>
      <c r="I29" s="43"/>
      <c r="J29" s="33">
        <f>(INDEX('98 Methanol from power'!$D$4:$H$59,MATCH(SUP_DEA_ELECTRO!U29,'98 Methanol from power'!$B$4:$B$59,0),MATCH(SUP_DEA_ELECTRO!$H27,'98 Methanol from power'!$D$3:$H$3,0)))/INDEX('98 Methanol from power'!$D$4:$H$59,MATCH(SUP_DEA_ELECTRO!V27,'98 Methanol from power'!$B$4:$B$59,0),MATCH(SUP_DEA_ELECTRO!$H27,'98 Methanol from power'!$D$3:$H$3,0))</f>
        <v>1.5384615384615383</v>
      </c>
      <c r="K29" s="43"/>
      <c r="L29" s="43"/>
      <c r="M29" s="43"/>
      <c r="N29" s="43"/>
      <c r="O29" s="40"/>
      <c r="P29" s="43"/>
      <c r="Q29" s="43"/>
      <c r="R29" s="43"/>
      <c r="S29" s="43"/>
      <c r="T29" s="43"/>
      <c r="U29" s="17" t="str">
        <f>U25</f>
        <v>Electricity Consumption, MWh/MWh Total Inputs</v>
      </c>
      <c r="V29" s="43"/>
      <c r="W29" s="43"/>
    </row>
    <row r="30" spans="2:23" ht="15" thickBot="1">
      <c r="B30" s="46"/>
      <c r="C30" s="46"/>
      <c r="D30" s="46"/>
      <c r="E30" s="46"/>
      <c r="F30" s="47" t="str">
        <f>F26</f>
        <v>HETC</v>
      </c>
      <c r="G30" s="46"/>
      <c r="H30" s="46"/>
      <c r="I30" s="46"/>
      <c r="J30" s="46"/>
      <c r="K30" s="48">
        <f>INDEX('98 Methanol from power'!$D$4:$H$59,MATCH(SUP_DEA_ELECTRO!W30,'98 Methanol from power'!$B$4:$B$59,0),MATCH(SUP_DEA_ELECTRO!$H27,'98 Methanol from power'!$D$3:$H$3,0))*(SUM(J28:J29))</f>
        <v>0.45846153846153842</v>
      </c>
      <c r="L30" s="46"/>
      <c r="M30" s="46"/>
      <c r="N30" s="46"/>
      <c r="O30" s="49"/>
      <c r="P30" s="46"/>
      <c r="Q30" s="46"/>
      <c r="R30" s="46"/>
      <c r="S30" s="46"/>
      <c r="T30" s="46"/>
      <c r="U30" s="43"/>
      <c r="V30" s="43"/>
      <c r="W30" s="17" t="str">
        <f>W26</f>
        <v>District Heating Output, MWh/MWh Total input</v>
      </c>
    </row>
    <row r="31" spans="2:23" ht="15.6">
      <c r="B31" s="17" t="str">
        <f>"SUP"&amp;E31&amp;RIGHT(D31,3)&amp;IF(RIGHT(C31,7)="Central","C1","D1")</f>
        <v>SUPKRECO2C1</v>
      </c>
      <c r="C31" s="32" t="str">
        <f>'102 Hydrogen to Jet'!D2&amp;" Central"</f>
        <v>Hydrogen to Jet Fuel Central</v>
      </c>
      <c r="D31" s="17" t="s">
        <v>161</v>
      </c>
      <c r="E31" s="17" t="s">
        <v>223</v>
      </c>
      <c r="F31" s="17"/>
      <c r="G31" s="17" t="s">
        <v>70</v>
      </c>
      <c r="H31" s="17">
        <v>2020</v>
      </c>
      <c r="I31" s="17"/>
      <c r="J31" s="33">
        <f>'102 Hydrogen to Jet'!$D$9/43.2*1000</f>
        <v>99.537037037037024</v>
      </c>
      <c r="K31" s="33"/>
      <c r="L31" s="34">
        <f>INDEX('102 Hydrogen to Jet'!$D$4:$H$59,MATCH(SUP_Biofuels!M$8,'102 Hydrogen to Jet'!$B$4:$B$59,0),MATCH(SUP_DEA_ELECTRO!$H31,'102 Hydrogen to Jet'!$D$3:$H$3,0))</f>
        <v>25</v>
      </c>
      <c r="M31" s="35">
        <f>INDEX('102 Hydrogen to Jet'!$D$4:$H$59,MATCH(SUP_Biofuels!N$8,'102 Hydrogen to Jet'!$B$4:$B$59,0),MATCH(SUP_DEA_ELECTRO!$H31,'102 Hydrogen to Jet'!$D$3:$H$3,0))*7.45</f>
        <v>15.645000000000001</v>
      </c>
      <c r="N31" s="35">
        <f>INDEX('102 Hydrogen to Jet'!$D$4:$H$59,MATCH(SUP_Biofuels!O$8,'102 Hydrogen to Jet'!$B$4:$B$59,0),MATCH(SUP_DEA_ELECTRO!$H31,'102 Hydrogen to Jet'!$D$3:$H$3,0))*7.45</f>
        <v>1.2590499999999999E-4</v>
      </c>
      <c r="O31" s="35">
        <f>INDEX('102 Hydrogen to Jet'!$D$4:$H$59,MATCH(SUP_Biofuels!P$8,'102 Hydrogen to Jet'!$B$4:$B$59,0),MATCH(SUP_DEA_ELECTRO!$H31,'102 Hydrogen to Jet'!$D$3:$H$3,0))*7.45/3.6</f>
        <v>10.968055555555555</v>
      </c>
      <c r="P31" s="33">
        <f>1-INDEX('102 Hydrogen to Jet'!$D$4:$H$59,MATCH(SUP_Biofuels!Q$7,'102 Hydrogen to Jet'!$B$4:$B$59,0),MATCH(SUP_DEA_ELECTRO!$H31,'102 Hydrogen to Jet'!$D$3:$H$3,0))/52-INDEX('102 Hydrogen to Jet'!$D$4:$H$59,MATCH(SUP_Biofuels!Q$8,'102 Hydrogen to Jet'!$B$4:$B$59,0),MATCH(SUP_DEA_ELECTRO!$H31,'102 Hydrogen to Jet'!$D$3:$H$3,0))/100</f>
        <v>0.94230769230769229</v>
      </c>
      <c r="Q31" s="36">
        <f>SUP_Biofuels!$R$39</f>
        <v>3.1536000000000002E-2</v>
      </c>
      <c r="R31" s="34">
        <f>INDEX('102 Hydrogen to Jet'!$D$4:$H$59,MATCH(SUP_Biofuels!S$8,'102 Hydrogen to Jet'!$B$4:$B$59,0),MATCH(SUP_DEA_ELECTRO!$H31,'102 Hydrogen to Jet'!$D$3:$H$3,0))</f>
        <v>2</v>
      </c>
      <c r="S31" s="37"/>
      <c r="T31" s="38" t="s">
        <v>74</v>
      </c>
      <c r="U31" s="17" t="str">
        <f>'102 Hydrogen to Jet'!B9</f>
        <v>CO2 Consumption, t/t FT Liquids</v>
      </c>
      <c r="V31" s="17" t="str">
        <f>'102 Hydrogen to Jet'!B13</f>
        <v>FT Liquids Output, MWh/MWh Total Input</v>
      </c>
      <c r="W31" s="17"/>
    </row>
    <row r="32" spans="2:23">
      <c r="B32" s="17"/>
      <c r="C32" s="17"/>
      <c r="D32" s="17" t="s">
        <v>1386</v>
      </c>
      <c r="E32" s="17"/>
      <c r="F32" s="17"/>
      <c r="G32" s="17"/>
      <c r="H32" s="17"/>
      <c r="I32" s="17"/>
      <c r="J32" s="33">
        <f>(INDEX('102 Hydrogen to Jet'!$D$4:$H$59,MATCH(SUP_DEA_ELECTRO!U32,'102 Hydrogen to Jet'!$B$4:$B$59,0),MATCH(SUP_DEA_ELECTRO!$H31,'102 Hydrogen to Jet'!$D$3:$H$3,0)))/INDEX('102 Hydrogen to Jet'!$D$4:$H$59,MATCH(SUP_DEA_ELECTRO!V31,'102 Hydrogen to Jet'!$B$4:$B$59,0),MATCH(SUP_DEA_ELECTRO!$H31,'102 Hydrogen to Jet'!$D$3:$H$3,0))</f>
        <v>1.5307692307692307</v>
      </c>
      <c r="K32" s="33"/>
      <c r="L32" s="39"/>
      <c r="M32" s="40"/>
      <c r="N32" s="40"/>
      <c r="O32" s="40"/>
      <c r="P32" s="41"/>
      <c r="Q32" s="42"/>
      <c r="R32" s="39"/>
      <c r="S32" s="43"/>
      <c r="T32" s="43"/>
      <c r="U32" s="17" t="str">
        <f>'102 Hydrogen to Jet'!B10</f>
        <v>Hydrogen Consumption, MWh/MWh Total Inputs</v>
      </c>
      <c r="V32" s="17"/>
      <c r="W32" s="17"/>
    </row>
    <row r="33" spans="2:23">
      <c r="B33" s="43"/>
      <c r="C33" s="43"/>
      <c r="D33" s="43" t="s">
        <v>71</v>
      </c>
      <c r="E33" s="43"/>
      <c r="F33" s="43"/>
      <c r="G33" s="43"/>
      <c r="H33" s="43"/>
      <c r="I33" s="43"/>
      <c r="J33" s="33">
        <f>(INDEX('102 Hydrogen to Jet'!$D$4:$H$59,MATCH(SUP_DEA_ELECTRO!U33,'102 Hydrogen to Jet'!$B$4:$B$59,0),MATCH(SUP_DEA_ELECTRO!$H31,'102 Hydrogen to Jet'!$D$3:$H$3,0)))/INDEX('102 Hydrogen to Jet'!$D$4:$H$59,MATCH(SUP_DEA_ELECTRO!V31,'102 Hydrogen to Jet'!$B$4:$B$59,0),MATCH(SUP_DEA_ELECTRO!$H31,'102 Hydrogen to Jet'!$D$3:$H$3,0))</f>
        <v>7.6923076923076919E-3</v>
      </c>
      <c r="K33" s="43"/>
      <c r="L33" s="43"/>
      <c r="M33" s="43"/>
      <c r="N33" s="43"/>
      <c r="O33" s="40"/>
      <c r="P33" s="43"/>
      <c r="Q33" s="43"/>
      <c r="R33" s="43"/>
      <c r="S33" s="43"/>
      <c r="T33" s="43"/>
      <c r="U33" s="17" t="str">
        <f>'102 Hydrogen to Jet'!B11</f>
        <v>Power Consumption, MWh/MWh Total Inputs</v>
      </c>
      <c r="V33" s="43"/>
      <c r="W33" s="43"/>
    </row>
    <row r="34" spans="2:23" ht="15" thickBot="1">
      <c r="B34" s="43"/>
      <c r="C34" s="43"/>
      <c r="D34" s="43"/>
      <c r="E34" s="43"/>
      <c r="F34" s="43" t="s">
        <v>216</v>
      </c>
      <c r="G34" s="43"/>
      <c r="H34" s="43"/>
      <c r="I34" s="43"/>
      <c r="J34" s="43"/>
      <c r="K34" s="48">
        <f>INDEX('102 Hydrogen to Jet'!$D$4:$H$59,MATCH(SUP_DEA_ELECTRO!W34,'102 Hydrogen to Jet'!$B$4:$B$59,0),MATCH(SUP_DEA_ELECTRO!$H31,'102 Hydrogen to Jet'!$D$3:$H$3,0))*(SUM(J32:J33))</f>
        <v>0.38461538461538458</v>
      </c>
      <c r="L34" s="43"/>
      <c r="M34" s="43"/>
      <c r="N34" s="43"/>
      <c r="O34" s="40"/>
      <c r="P34" s="43"/>
      <c r="Q34" s="43"/>
      <c r="R34" s="43"/>
      <c r="S34" s="43"/>
      <c r="T34" s="43"/>
      <c r="U34" s="43"/>
      <c r="V34" s="43"/>
      <c r="W34" s="43" t="str">
        <f>'102 Hydrogen to Jet'!B14</f>
        <v>District Heat  Output, MWh/MWh Total Input</v>
      </c>
    </row>
    <row r="35" spans="2:23" ht="15.6">
      <c r="B35" s="17"/>
      <c r="C35" s="32"/>
      <c r="D35" s="17" t="str">
        <f>D31</f>
        <v>CCXCO2</v>
      </c>
      <c r="E35" s="17" t="str">
        <f>E31</f>
        <v>KRE</v>
      </c>
      <c r="F35" s="17"/>
      <c r="G35" s="17" t="s">
        <v>70</v>
      </c>
      <c r="H35" s="17">
        <v>2030</v>
      </c>
      <c r="I35" s="17"/>
      <c r="J35" s="33">
        <f>'102 Hydrogen to Jet'!$E$9/43.2*1000</f>
        <v>90.277777777777771</v>
      </c>
      <c r="K35" s="33"/>
      <c r="L35" s="34">
        <f>L31</f>
        <v>25</v>
      </c>
      <c r="M35" s="35">
        <f>INDEX('102 Hydrogen to Jet'!$D$4:$H$59,MATCH(SUP_Biofuels!N$8,'102 Hydrogen to Jet'!$B$4:$B$59,0),MATCH(SUP_DEA_ELECTRO!$H35,'102 Hydrogen to Jet'!$D$3:$H$3,0))*7.45</f>
        <v>11.920000000000002</v>
      </c>
      <c r="N35" s="35">
        <f>INDEX('102 Hydrogen to Jet'!$D$4:$H$59,MATCH(SUP_Biofuels!O$8,'102 Hydrogen to Jet'!$B$4:$B$59,0),MATCH(SUP_DEA_ELECTRO!$H35,'102 Hydrogen to Jet'!$D$3:$H$3,0))*7.45</f>
        <v>9.4614999999999988E-5</v>
      </c>
      <c r="O35" s="35">
        <f>INDEX('102 Hydrogen to Jet'!$D$4:$H$59,MATCH(SUP_Biofuels!P$8,'102 Hydrogen to Jet'!$B$4:$B$59,0),MATCH(SUP_DEA_ELECTRO!$H35,'102 Hydrogen to Jet'!$D$3:$H$3,0))*7.45/3.6</f>
        <v>8.6916666666666664</v>
      </c>
      <c r="P35" s="33">
        <f>1-INDEX('102 Hydrogen to Jet'!$D$4:$H$59,MATCH(SUP_Biofuels!Q$7,'102 Hydrogen to Jet'!$B$4:$B$59,0),MATCH(SUP_DEA_ELECTRO!$H35,'102 Hydrogen to Jet'!$D$3:$H$3,0))/52-INDEX('102 Hydrogen to Jet'!$D$4:$H$59,MATCH(SUP_Biofuels!Q$8,'102 Hydrogen to Jet'!$B$4:$B$59,0),MATCH(SUP_DEA_ELECTRO!$H35,'102 Hydrogen to Jet'!$D$3:$H$3,0))/100</f>
        <v>1</v>
      </c>
      <c r="Q35" s="36">
        <f>SUP_Biofuels!$R$39</f>
        <v>3.1536000000000002E-2</v>
      </c>
      <c r="R35" s="34">
        <f>R31</f>
        <v>2</v>
      </c>
      <c r="S35" s="44"/>
      <c r="T35" s="45"/>
      <c r="U35" s="17" t="str">
        <f>U31</f>
        <v>CO2 Consumption, t/t FT Liquids</v>
      </c>
      <c r="V35" s="17" t="str">
        <f>V31</f>
        <v>FT Liquids Output, MWh/MWh Total Input</v>
      </c>
      <c r="W35" s="17"/>
    </row>
    <row r="36" spans="2:23">
      <c r="B36" s="17"/>
      <c r="C36" s="17"/>
      <c r="D36" s="17" t="str">
        <f>D32</f>
        <v>SUPH2</v>
      </c>
      <c r="E36" s="17"/>
      <c r="F36" s="17"/>
      <c r="G36" s="17"/>
      <c r="H36" s="17"/>
      <c r="I36" s="17"/>
      <c r="J36" s="33">
        <f>(INDEX('102 Hydrogen to Jet'!$D$4:$H$59,MATCH(SUP_DEA_ELECTRO!U36,'102 Hydrogen to Jet'!$B$4:$B$59,0),MATCH(SUP_DEA_ELECTRO!$H35,'102 Hydrogen to Jet'!$D$3:$H$3,0)))/INDEX('102 Hydrogen to Jet'!$D$4:$H$59,MATCH(SUP_DEA_ELECTRO!V35,'102 Hydrogen to Jet'!$B$4:$B$59,0),MATCH(SUP_DEA_ELECTRO!$H35,'102 Hydrogen to Jet'!$D$3:$H$3,0))</f>
        <v>1.4214285714285715</v>
      </c>
      <c r="K36" s="33"/>
      <c r="L36" s="39"/>
      <c r="M36" s="40"/>
      <c r="N36" s="40"/>
      <c r="O36" s="40"/>
      <c r="P36" s="41"/>
      <c r="Q36" s="42"/>
      <c r="R36" s="39"/>
      <c r="S36" s="43"/>
      <c r="T36" s="43"/>
      <c r="U36" s="17" t="str">
        <f>U32</f>
        <v>Hydrogen Consumption, MWh/MWh Total Inputs</v>
      </c>
      <c r="V36" s="17"/>
      <c r="W36" s="17"/>
    </row>
    <row r="37" spans="2:23">
      <c r="B37" s="43"/>
      <c r="C37" s="43"/>
      <c r="D37" s="17" t="str">
        <f>D33</f>
        <v>SUPELC</v>
      </c>
      <c r="E37" s="43"/>
      <c r="F37" s="43"/>
      <c r="G37" s="43"/>
      <c r="H37" s="43"/>
      <c r="I37" s="43"/>
      <c r="J37" s="33">
        <f>(INDEX('102 Hydrogen to Jet'!$D$4:$H$59,MATCH(SUP_DEA_ELECTRO!U37,'102 Hydrogen to Jet'!$B$4:$B$59,0),MATCH(SUP_DEA_ELECTRO!$H35,'102 Hydrogen to Jet'!$D$3:$H$3,0)))/INDEX('102 Hydrogen to Jet'!$D$4:$H$59,MATCH(SUP_DEA_ELECTRO!V35,'102 Hydrogen to Jet'!$B$4:$B$59,0),MATCH(SUP_DEA_ELECTRO!$H35,'102 Hydrogen to Jet'!$D$3:$H$3,0))</f>
        <v>7.1428571428571435E-3</v>
      </c>
      <c r="K37" s="43"/>
      <c r="L37" s="43"/>
      <c r="M37" s="43"/>
      <c r="N37" s="43"/>
      <c r="O37" s="40"/>
      <c r="P37" s="43"/>
      <c r="Q37" s="43"/>
      <c r="R37" s="43"/>
      <c r="S37" s="43"/>
      <c r="T37" s="43"/>
      <c r="U37" s="17" t="str">
        <f>U33</f>
        <v>Power Consumption, MWh/MWh Total Inputs</v>
      </c>
      <c r="V37" s="43"/>
      <c r="W37" s="43"/>
    </row>
    <row r="38" spans="2:23" ht="16.2" thickBot="1">
      <c r="B38" s="43"/>
      <c r="C38" s="32"/>
      <c r="D38" s="43"/>
      <c r="E38" s="43"/>
      <c r="F38" s="17" t="str">
        <f>F34</f>
        <v>HETC</v>
      </c>
      <c r="G38" s="43"/>
      <c r="H38" s="43"/>
      <c r="I38" s="43"/>
      <c r="J38" s="43"/>
      <c r="K38" s="48">
        <f>INDEX('102 Hydrogen to Jet'!$D$4:$H$59,MATCH(SUP_DEA_ELECTRO!W38,'102 Hydrogen to Jet'!$B$4:$B$59,0),MATCH(SUP_DEA_ELECTRO!$H35,'102 Hydrogen to Jet'!$D$3:$H$3,0))*(SUM(J36:J37))</f>
        <v>0.28571428571428575</v>
      </c>
      <c r="L38" s="43"/>
      <c r="M38" s="43"/>
      <c r="N38" s="43"/>
      <c r="O38" s="40"/>
      <c r="P38" s="43"/>
      <c r="Q38" s="43"/>
      <c r="R38" s="43"/>
      <c r="S38" s="43"/>
      <c r="T38" s="45"/>
      <c r="U38" s="43"/>
      <c r="V38" s="43"/>
      <c r="W38" s="17" t="str">
        <f>W34</f>
        <v>District Heat  Output, MWh/MWh Total Input</v>
      </c>
    </row>
    <row r="39" spans="2:23">
      <c r="B39" s="43"/>
      <c r="C39" s="17"/>
      <c r="D39" s="17" t="str">
        <f>D35</f>
        <v>CCXCO2</v>
      </c>
      <c r="E39" s="17" t="str">
        <f>E35</f>
        <v>KRE</v>
      </c>
      <c r="F39" s="17"/>
      <c r="G39" s="17" t="s">
        <v>70</v>
      </c>
      <c r="H39" s="17">
        <v>2040</v>
      </c>
      <c r="I39" s="17"/>
      <c r="J39" s="33">
        <f>'102 Hydrogen to Jet'!$F$9/43.2*1000</f>
        <v>83.333333333333329</v>
      </c>
      <c r="K39" s="33"/>
      <c r="L39" s="34">
        <f>L35</f>
        <v>25</v>
      </c>
      <c r="M39" s="35">
        <f>INDEX('102 Hydrogen to Jet'!$D$4:$H$59,MATCH(SUP_Biofuels!N$8,'102 Hydrogen to Jet'!$B$4:$B$59,0),MATCH(SUP_DEA_ELECTRO!$H39,'102 Hydrogen to Jet'!$D$3:$H$3,0))*7.45</f>
        <v>8.1950000000000003</v>
      </c>
      <c r="N39" s="35">
        <f>INDEX('102 Hydrogen to Jet'!$D$4:$H$59,MATCH(SUP_Biofuels!O$8,'102 Hydrogen to Jet'!$B$4:$B$59,0),MATCH(SUP_DEA_ELECTRO!$H39,'102 Hydrogen to Jet'!$D$3:$H$3,0))*7.45</f>
        <v>6.3324999999999994E-5</v>
      </c>
      <c r="O39" s="35">
        <f>INDEX('102 Hydrogen to Jet'!$D$4:$H$59,MATCH(SUP_Biofuels!P$8,'102 Hydrogen to Jet'!$B$4:$B$59,0),MATCH(SUP_DEA_ELECTRO!$H39,'102 Hydrogen to Jet'!$D$3:$H$3,0))*7.45/3.6</f>
        <v>6.6222222222222227</v>
      </c>
      <c r="P39" s="33">
        <f>1-INDEX('102 Hydrogen to Jet'!$D$4:$H$59,MATCH(SUP_Biofuels!Q$7,'102 Hydrogen to Jet'!$B$4:$B$59,0),MATCH(SUP_DEA_ELECTRO!$H39,'102 Hydrogen to Jet'!$D$3:$H$3,0))/52-INDEX('102 Hydrogen to Jet'!$D$4:$H$59,MATCH(SUP_Biofuels!Q$8,'102 Hydrogen to Jet'!$B$4:$B$59,0),MATCH(SUP_DEA_ELECTRO!$H39,'102 Hydrogen to Jet'!$D$3:$H$3,0))/100</f>
        <v>1</v>
      </c>
      <c r="Q39" s="36">
        <f>SUP_Biofuels!$R$39</f>
        <v>3.1536000000000002E-2</v>
      </c>
      <c r="R39" s="34">
        <f>R35</f>
        <v>2</v>
      </c>
      <c r="S39" s="44"/>
      <c r="T39" s="43"/>
      <c r="U39" s="17" t="str">
        <f>U35</f>
        <v>CO2 Consumption, t/t FT Liquids</v>
      </c>
      <c r="V39" s="17" t="str">
        <f>V35</f>
        <v>FT Liquids Output, MWh/MWh Total Input</v>
      </c>
      <c r="W39" s="17"/>
    </row>
    <row r="40" spans="2:23">
      <c r="B40" s="43"/>
      <c r="C40" s="43"/>
      <c r="D40" s="17" t="str">
        <f>D36</f>
        <v>SUPH2</v>
      </c>
      <c r="E40" s="17"/>
      <c r="F40" s="17"/>
      <c r="G40" s="17"/>
      <c r="H40" s="17"/>
      <c r="I40" s="17"/>
      <c r="J40" s="33">
        <f>(INDEX('102 Hydrogen to Jet'!$D$4:$H$59,MATCH(SUP_DEA_ELECTRO!U40,'102 Hydrogen to Jet'!$B$4:$B$59,0),MATCH(SUP_DEA_ELECTRO!$H39,'102 Hydrogen to Jet'!$D$3:$H$3,0)))/INDEX('102 Hydrogen to Jet'!$D$4:$H$59,MATCH(SUP_DEA_ELECTRO!V39,'102 Hydrogen to Jet'!$B$4:$B$59,0),MATCH(SUP_DEA_ELECTRO!$H39,'102 Hydrogen to Jet'!$D$3:$H$3,0))</f>
        <v>1.3630136986301371</v>
      </c>
      <c r="K40" s="33"/>
      <c r="L40" s="39"/>
      <c r="M40" s="40"/>
      <c r="N40" s="40"/>
      <c r="O40" s="40"/>
      <c r="P40" s="41"/>
      <c r="Q40" s="42"/>
      <c r="R40" s="39"/>
      <c r="S40" s="43"/>
      <c r="T40" s="43"/>
      <c r="U40" s="17" t="str">
        <f>U36</f>
        <v>Hydrogen Consumption, MWh/MWh Total Inputs</v>
      </c>
      <c r="V40" s="17"/>
      <c r="W40" s="17"/>
    </row>
    <row r="41" spans="2:23">
      <c r="B41" s="43"/>
      <c r="C41" s="43"/>
      <c r="D41" s="17" t="str">
        <f>D37</f>
        <v>SUPELC</v>
      </c>
      <c r="E41" s="43"/>
      <c r="F41" s="43"/>
      <c r="G41" s="43"/>
      <c r="H41" s="43"/>
      <c r="I41" s="43"/>
      <c r="J41" s="33">
        <f>(INDEX('102 Hydrogen to Jet'!$D$4:$H$59,MATCH(SUP_DEA_ELECTRO!U41,'102 Hydrogen to Jet'!$B$4:$B$59,0),MATCH(SUP_DEA_ELECTRO!$H39,'102 Hydrogen to Jet'!$D$3:$H$3,0)))/INDEX('102 Hydrogen to Jet'!$D$4:$H$59,MATCH(SUP_DEA_ELECTRO!V39,'102 Hydrogen to Jet'!$B$4:$B$59,0),MATCH(SUP_DEA_ELECTRO!$H39,'102 Hydrogen to Jet'!$D$3:$H$3,0))</f>
        <v>6.8493150684931512E-3</v>
      </c>
      <c r="K41" s="43"/>
      <c r="L41" s="43"/>
      <c r="M41" s="43"/>
      <c r="N41" s="43"/>
      <c r="O41" s="40"/>
      <c r="P41" s="43"/>
      <c r="Q41" s="43"/>
      <c r="R41" s="43"/>
      <c r="S41" s="43"/>
      <c r="T41" s="43"/>
      <c r="U41" s="17" t="str">
        <f>U37</f>
        <v>Power Consumption, MWh/MWh Total Inputs</v>
      </c>
      <c r="V41" s="43"/>
      <c r="W41" s="43"/>
    </row>
    <row r="42" spans="2:23" ht="15" thickBot="1">
      <c r="B42" s="43"/>
      <c r="C42" s="17"/>
      <c r="D42" s="43"/>
      <c r="E42" s="43"/>
      <c r="F42" s="17" t="str">
        <f>F38</f>
        <v>HETC</v>
      </c>
      <c r="G42" s="43"/>
      <c r="H42" s="43"/>
      <c r="I42" s="43"/>
      <c r="J42" s="43"/>
      <c r="K42" s="48">
        <f>INDEX('102 Hydrogen to Jet'!$D$4:$H$59,MATCH(SUP_DEA_ELECTRO!W42,'102 Hydrogen to Jet'!$B$4:$B$59,0),MATCH(SUP_DEA_ELECTRO!$H39,'102 Hydrogen to Jet'!$D$3:$H$3,0))*(SUM(J40:J41))</f>
        <v>0.23287671232876717</v>
      </c>
      <c r="L42" s="43"/>
      <c r="M42" s="43"/>
      <c r="N42" s="43"/>
      <c r="O42" s="40"/>
      <c r="P42" s="43"/>
      <c r="Q42" s="43"/>
      <c r="R42" s="43"/>
      <c r="S42" s="43"/>
      <c r="T42" s="43"/>
      <c r="U42" s="43"/>
      <c r="V42" s="43"/>
      <c r="W42" s="17" t="str">
        <f>W38</f>
        <v>District Heat  Output, MWh/MWh Total Input</v>
      </c>
    </row>
    <row r="43" spans="2:23">
      <c r="B43" s="43"/>
      <c r="C43" s="43"/>
      <c r="D43" s="17" t="str">
        <f>D39</f>
        <v>CCXCO2</v>
      </c>
      <c r="E43" s="17" t="str">
        <f>E39</f>
        <v>KRE</v>
      </c>
      <c r="F43" s="17"/>
      <c r="G43" s="17" t="s">
        <v>70</v>
      </c>
      <c r="H43" s="17">
        <v>2050</v>
      </c>
      <c r="I43" s="17"/>
      <c r="J43" s="33">
        <f>'102 Hydrogen to Jet'!$G$9/43.2*1000</f>
        <v>76.388888888888886</v>
      </c>
      <c r="K43" s="33"/>
      <c r="L43" s="34">
        <f>L39</f>
        <v>25</v>
      </c>
      <c r="M43" s="35">
        <f>INDEX('102 Hydrogen to Jet'!$D$4:$H$59,MATCH(SUP_Biofuels!N$8,'102 Hydrogen to Jet'!$B$4:$B$59,0),MATCH(SUP_DEA_ELECTRO!$H43,'102 Hydrogen to Jet'!$D$3:$H$3,0))*7.45</f>
        <v>6.7050000000000001</v>
      </c>
      <c r="N43" s="35">
        <f>INDEX('102 Hydrogen to Jet'!$D$4:$H$59,MATCH(SUP_Biofuels!O$8,'102 Hydrogen to Jet'!$B$4:$B$59,0),MATCH(SUP_DEA_ELECTRO!$H43,'102 Hydrogen to Jet'!$D$3:$H$3,0))*7.45</f>
        <v>5.5130000000000002E-5</v>
      </c>
      <c r="O43" s="35">
        <f>INDEX('102 Hydrogen to Jet'!$D$4:$H$59,MATCH(SUP_Biofuels!P$8,'102 Hydrogen to Jet'!$B$4:$B$59,0),MATCH(SUP_DEA_ELECTRO!$H43,'102 Hydrogen to Jet'!$D$3:$H$3,0))*7.45/3.6</f>
        <v>4.3458333333333332</v>
      </c>
      <c r="P43" s="33">
        <f>1-INDEX('102 Hydrogen to Jet'!$D$4:$H$59,MATCH(SUP_Biofuels!Q$7,'102 Hydrogen to Jet'!$B$4:$B$59,0),MATCH(SUP_DEA_ELECTRO!$H43,'102 Hydrogen to Jet'!$D$3:$H$3,0))/52-INDEX('102 Hydrogen to Jet'!$D$4:$H$59,MATCH(SUP_Biofuels!Q$8,'102 Hydrogen to Jet'!$B$4:$B$59,0),MATCH(SUP_DEA_ELECTRO!$H43,'102 Hydrogen to Jet'!$D$3:$H$3,0))/100</f>
        <v>1</v>
      </c>
      <c r="Q43" s="36">
        <f>SUP_Biofuels!$R$39</f>
        <v>3.1536000000000002E-2</v>
      </c>
      <c r="R43" s="34">
        <f>R39</f>
        <v>2</v>
      </c>
      <c r="S43" s="44"/>
      <c r="T43" s="43"/>
      <c r="U43" s="17" t="str">
        <f>U39</f>
        <v>CO2 Consumption, t/t FT Liquids</v>
      </c>
      <c r="V43" s="17" t="str">
        <f>V39</f>
        <v>FT Liquids Output, MWh/MWh Total Input</v>
      </c>
      <c r="W43" s="17"/>
    </row>
    <row r="44" spans="2:23">
      <c r="B44" s="43"/>
      <c r="C44" s="43"/>
      <c r="D44" s="17" t="str">
        <f>D40</f>
        <v>SUPH2</v>
      </c>
      <c r="E44" s="17"/>
      <c r="F44" s="17"/>
      <c r="G44" s="17"/>
      <c r="H44" s="17"/>
      <c r="I44" s="17"/>
      <c r="J44" s="33">
        <f>(INDEX('102 Hydrogen to Jet'!$D$4:$H$59,MATCH(SUP_DEA_ELECTRO!U44,'102 Hydrogen to Jet'!$B$4:$B$59,0),MATCH(SUP_DEA_ELECTRO!$H43,'102 Hydrogen to Jet'!$D$3:$H$3,0)))/INDEX('102 Hydrogen to Jet'!$D$4:$H$59,MATCH(SUP_DEA_ELECTRO!V43,'102 Hydrogen to Jet'!$B$4:$B$59,0),MATCH(SUP_DEA_ELECTRO!$H43,'102 Hydrogen to Jet'!$D$3:$H$3,0))</f>
        <v>1.3266666666666667</v>
      </c>
      <c r="K44" s="33"/>
      <c r="L44" s="39"/>
      <c r="M44" s="40"/>
      <c r="N44" s="40"/>
      <c r="O44" s="40"/>
      <c r="P44" s="41"/>
      <c r="Q44" s="42"/>
      <c r="R44" s="39"/>
      <c r="S44" s="43"/>
      <c r="T44" s="43"/>
      <c r="U44" s="17" t="str">
        <f>U40</f>
        <v>Hydrogen Consumption, MWh/MWh Total Inputs</v>
      </c>
      <c r="V44" s="17"/>
      <c r="W44" s="17"/>
    </row>
    <row r="45" spans="2:23">
      <c r="B45" s="43"/>
      <c r="C45" s="43"/>
      <c r="D45" s="17" t="str">
        <f>D41</f>
        <v>SUPELC</v>
      </c>
      <c r="E45" s="43"/>
      <c r="F45" s="43"/>
      <c r="G45" s="43"/>
      <c r="H45" s="43"/>
      <c r="I45" s="43"/>
      <c r="J45" s="33">
        <f>(INDEX('102 Hydrogen to Jet'!$D$4:$H$59,MATCH(SUP_DEA_ELECTRO!U45,'102 Hydrogen to Jet'!$B$4:$B$59,0),MATCH(SUP_DEA_ELECTRO!$H43,'102 Hydrogen to Jet'!$D$3:$H$3,0)))/INDEX('102 Hydrogen to Jet'!$D$4:$H$59,MATCH(SUP_DEA_ELECTRO!V43,'102 Hydrogen to Jet'!$B$4:$B$59,0),MATCH(SUP_DEA_ELECTRO!$H43,'102 Hydrogen to Jet'!$D$3:$H$3,0))</f>
        <v>6.6666666666666671E-3</v>
      </c>
      <c r="K45" s="43"/>
      <c r="L45" s="43"/>
      <c r="M45" s="43"/>
      <c r="N45" s="43"/>
      <c r="O45" s="40"/>
      <c r="P45" s="43"/>
      <c r="Q45" s="43"/>
      <c r="R45" s="43"/>
      <c r="S45" s="43"/>
      <c r="T45" s="43"/>
      <c r="U45" s="17" t="str">
        <f>U41</f>
        <v>Power Consumption, MWh/MWh Total Inputs</v>
      </c>
      <c r="V45" s="43"/>
      <c r="W45" s="43"/>
    </row>
    <row r="46" spans="2:23" ht="15" thickBot="1">
      <c r="B46" s="46"/>
      <c r="C46" s="46"/>
      <c r="D46" s="46"/>
      <c r="E46" s="46"/>
      <c r="F46" s="47" t="str">
        <f>F42</f>
        <v>HETC</v>
      </c>
      <c r="G46" s="46"/>
      <c r="H46" s="46"/>
      <c r="I46" s="46"/>
      <c r="J46" s="46"/>
      <c r="K46" s="48">
        <f>INDEX('102 Hydrogen to Jet'!$D$4:$H$59,MATCH(SUP_DEA_ELECTRO!W46,'102 Hydrogen to Jet'!$B$4:$B$59,0),MATCH(SUP_DEA_ELECTRO!$H43,'102 Hydrogen to Jet'!$D$3:$H$3,0))*(SUM(J44:J45))</f>
        <v>0.19999999999999998</v>
      </c>
      <c r="L46" s="46"/>
      <c r="M46" s="46"/>
      <c r="N46" s="46"/>
      <c r="O46" s="49"/>
      <c r="P46" s="46"/>
      <c r="Q46" s="46"/>
      <c r="R46" s="46"/>
      <c r="S46" s="46"/>
      <c r="T46" s="46"/>
      <c r="U46" s="46"/>
      <c r="V46" s="46"/>
      <c r="W46" s="47" t="str">
        <f>W42</f>
        <v>District Heat  Output, MWh/MWh Total Input</v>
      </c>
    </row>
    <row r="47" spans="2:23" ht="15.6">
      <c r="B47" s="17" t="str">
        <f>"SUP"&amp;E47&amp;RIGHT(D47,3)&amp;IF(RIGHT(C47,7)="Central","C2","D2")</f>
        <v>SUPKRECO2C2</v>
      </c>
      <c r="C47" s="32" t="str">
        <f>'102 Power to Jet'!D2&amp;" Central"</f>
        <v>Power to Jet Fuel Central</v>
      </c>
      <c r="D47" s="17" t="s">
        <v>161</v>
      </c>
      <c r="E47" s="17" t="s">
        <v>223</v>
      </c>
      <c r="F47" s="17"/>
      <c r="G47" s="17" t="s">
        <v>70</v>
      </c>
      <c r="H47" s="17">
        <v>2020</v>
      </c>
      <c r="I47" s="17"/>
      <c r="J47" s="33">
        <f>'102 Power to Jet'!$D$9/43.2*1000</f>
        <v>99.537037037037024</v>
      </c>
      <c r="K47" s="33"/>
      <c r="L47" s="34">
        <f>INDEX('102 Power to Jet'!$D$4:$H$59,MATCH(SUP_Biofuels!M$8,'102 Power to Jet'!$B$4:$B$59,0),MATCH(SUP_DEA_ELECTRO!$H47,'102 Power to Jet'!$D$3:$H$3,0))</f>
        <v>25</v>
      </c>
      <c r="M47" s="35">
        <f>INDEX('102 Power to Jet'!$D$4:$H$59,MATCH(SUP_Biofuels!N$8,'102 Power to Jet'!$B$4:$B$59,0),MATCH(SUP_DEA_ELECTRO!$H47,'102 Power to Jet'!$D$3:$H$3,0))*7.45</f>
        <v>23.840000000000003</v>
      </c>
      <c r="N47" s="35">
        <f>INDEX('102 Power to Jet'!$D$4:$H$59,MATCH(SUP_Biofuels!O$8,'102 Power to Jet'!$B$4:$B$59,0),MATCH(SUP_DEA_ELECTRO!$H47,'102 Power to Jet'!$D$3:$H$3,0))*7.45</f>
        <v>1.9742500000000001E-4</v>
      </c>
      <c r="O47" s="35">
        <f>INDEX('102 Power to Jet'!$D$4:$H$59,MATCH(SUP_Biofuels!P$8,'102 Power to Jet'!$B$4:$B$59,0),MATCH(SUP_DEA_ELECTRO!$H47,'102 Power to Jet'!$D$3:$H$3,0))*7.45/3.6</f>
        <v>17.590277777777779</v>
      </c>
      <c r="P47" s="33">
        <f>1-INDEX('102 Power to Jet'!$D$4:$H$59,MATCH(SUP_Biofuels!Q$7,'102 Power to Jet'!$B$4:$B$59,0),MATCH(SUP_DEA_ELECTRO!$H47,'102 Power to Jet'!$D$3:$H$3,0))/52-INDEX('102 Power to Jet'!$D$4:$H$59,MATCH(SUP_Biofuels!Q$8,'102 Power to Jet'!$B$4:$B$59,0),MATCH(SUP_DEA_ELECTRO!$H47,'102 Power to Jet'!$D$3:$H$3,0))/100</f>
        <v>0.94230769230769229</v>
      </c>
      <c r="Q47" s="36">
        <f>SUP_Biofuels!$R$39</f>
        <v>3.1536000000000002E-2</v>
      </c>
      <c r="R47" s="34">
        <f>INDEX('102 Power to Jet'!$D$4:$H$59,MATCH(SUP_Biofuels!S$8,'102 Power to Jet'!$B$4:$B$59,0),MATCH(SUP_DEA_ELECTRO!$H47,'102 Power to Jet'!$D$3:$H$3,0))</f>
        <v>2</v>
      </c>
      <c r="S47" s="37"/>
      <c r="T47" s="38" t="s">
        <v>74</v>
      </c>
      <c r="U47" s="17" t="str">
        <f>'102 Power to Jet'!B9</f>
        <v>CO2 Consumption, t/t FT Liquids</v>
      </c>
      <c r="V47" s="17" t="str">
        <f>'102 Power to Jet'!B12</f>
        <v>FT Liquids Output, MWh/MWh Total Input</v>
      </c>
      <c r="W47" s="17"/>
    </row>
    <row r="48" spans="2:23">
      <c r="B48" s="17"/>
      <c r="C48" s="17"/>
      <c r="D48" s="17" t="s">
        <v>71</v>
      </c>
      <c r="E48" s="17"/>
      <c r="F48" s="17"/>
      <c r="G48" s="17"/>
      <c r="H48" s="17"/>
      <c r="I48" s="17"/>
      <c r="J48" s="33">
        <f>(INDEX('102 Power to Jet'!$D$4:$H$59,MATCH(SUP_DEA_ELECTRO!U48,'102 Power to Jet'!$B$4:$B$59,0),MATCH(SUP_DEA_ELECTRO!$H47,'102 Power to Jet'!$D$3:$H$3,0)))/INDEX('102 Power to Jet'!$D$4:$H$59,MATCH(SUP_DEA_ELECTRO!V47,'102 Power to Jet'!$B$4:$B$59,0),MATCH(SUP_DEA_ELECTRO!$H47,'102 Power to Jet'!$D$3:$H$3,0))</f>
        <v>2.7027027027027026</v>
      </c>
      <c r="K48" s="33"/>
      <c r="L48" s="39"/>
      <c r="M48" s="40"/>
      <c r="N48" s="40"/>
      <c r="O48" s="40"/>
      <c r="P48" s="41"/>
      <c r="Q48" s="42"/>
      <c r="R48" s="39"/>
      <c r="S48" s="43"/>
      <c r="T48" s="43"/>
      <c r="U48" s="17" t="str">
        <f>'102 Power to Jet'!B10</f>
        <v>Electricity Consumption, MWh/MWh Total Inputs</v>
      </c>
      <c r="V48" s="17"/>
      <c r="W48" s="17"/>
    </row>
    <row r="49" spans="2:23" ht="15" thickBot="1">
      <c r="B49" s="43"/>
      <c r="C49" s="43"/>
      <c r="D49" s="43"/>
      <c r="E49" s="43"/>
      <c r="F49" s="43" t="s">
        <v>216</v>
      </c>
      <c r="G49" s="43"/>
      <c r="H49" s="43"/>
      <c r="I49" s="43"/>
      <c r="J49" s="43"/>
      <c r="K49" s="48">
        <f>INDEX('102 Power to Jet'!$D$4:$H$59,MATCH(SUP_DEA_ELECTRO!W49,'102 Power to Jet'!$B$4:$B$59,0),MATCH(SUP_DEA_ELECTRO!$H47,'102 Power to Jet'!$D$3:$H$3,0))*(SUM(J48))</f>
        <v>1.1621621621621621</v>
      </c>
      <c r="L49" s="43"/>
      <c r="M49" s="43"/>
      <c r="N49" s="43"/>
      <c r="O49" s="40"/>
      <c r="P49" s="43"/>
      <c r="Q49" s="43"/>
      <c r="R49" s="43"/>
      <c r="S49" s="43"/>
      <c r="T49" s="43"/>
      <c r="U49" s="43"/>
      <c r="V49" s="43"/>
      <c r="W49" s="43" t="str">
        <f>'102 Power to Jet'!B13</f>
        <v>District Heat  Output, MWh/MWh Total Input</v>
      </c>
    </row>
    <row r="50" spans="2:23" ht="15.6">
      <c r="B50" s="17"/>
      <c r="C50" s="32"/>
      <c r="D50" s="17" t="str">
        <f>D47</f>
        <v>CCXCO2</v>
      </c>
      <c r="E50" s="17" t="str">
        <f>E47</f>
        <v>KRE</v>
      </c>
      <c r="F50" s="17"/>
      <c r="G50" s="17" t="s">
        <v>70</v>
      </c>
      <c r="H50" s="17">
        <v>2030</v>
      </c>
      <c r="I50" s="17"/>
      <c r="J50" s="33">
        <f>'102 Power to Jet'!$E$9/43.2*1000</f>
        <v>90.277777777777771</v>
      </c>
      <c r="K50" s="33"/>
      <c r="L50" s="34">
        <f>L47</f>
        <v>25</v>
      </c>
      <c r="M50" s="35">
        <f>INDEX('102 Power to Jet'!$D$4:$H$59,MATCH(SUP_Biofuels!N$8,'102 Power to Jet'!$B$4:$B$59,0),MATCH(SUP_DEA_ELECTRO!$H50,'102 Power to Jet'!$D$3:$H$3,0))*7.45</f>
        <v>18.625</v>
      </c>
      <c r="N50" s="35">
        <f>INDEX('102 Power to Jet'!$D$4:$H$59,MATCH(SUP_Biofuels!O$8,'102 Power to Jet'!$B$4:$B$59,0),MATCH(SUP_DEA_ELECTRO!$H50,'102 Power to Jet'!$D$3:$H$3,0))*7.45</f>
        <v>1.18455E-4</v>
      </c>
      <c r="O50" s="35">
        <f>INDEX('102 Power to Jet'!$D$4:$H$59,MATCH(SUP_Biofuels!P$8,'102 Power to Jet'!$B$4:$B$59,0),MATCH(SUP_DEA_ELECTRO!$H50,'102 Power to Jet'!$D$3:$H$3,0))*7.45/3.6</f>
        <v>10.968055555555555</v>
      </c>
      <c r="P50" s="33">
        <f>1-INDEX('102 Power to Jet'!$D$4:$H$59,MATCH(SUP_Biofuels!Q$7,'102 Power to Jet'!$B$4:$B$59,0),MATCH(SUP_DEA_ELECTRO!$H50,'102 Power to Jet'!$D$3:$H$3,0))/52-INDEX('102 Power to Jet'!$D$4:$H$59,MATCH(SUP_Biofuels!Q$8,'102 Power to Jet'!$B$4:$B$59,0),MATCH(SUP_DEA_ELECTRO!$H50,'102 Power to Jet'!$D$3:$H$3,0))/100</f>
        <v>1</v>
      </c>
      <c r="Q50" s="36">
        <f>SUP_Biofuels!$R$39</f>
        <v>3.1536000000000002E-2</v>
      </c>
      <c r="R50" s="34">
        <f>R47</f>
        <v>2</v>
      </c>
      <c r="S50" s="44"/>
      <c r="T50" s="45"/>
      <c r="U50" s="17" t="str">
        <f>U47</f>
        <v>CO2 Consumption, t/t FT Liquids</v>
      </c>
      <c r="V50" s="17" t="str">
        <f>V47</f>
        <v>FT Liquids Output, MWh/MWh Total Input</v>
      </c>
      <c r="W50" s="17"/>
    </row>
    <row r="51" spans="2:23">
      <c r="B51" s="17"/>
      <c r="C51" s="17"/>
      <c r="D51" s="17" t="str">
        <f>D48</f>
        <v>SUPELC</v>
      </c>
      <c r="E51" s="17"/>
      <c r="F51" s="17"/>
      <c r="G51" s="17"/>
      <c r="H51" s="17"/>
      <c r="I51" s="17"/>
      <c r="J51" s="33">
        <f>(INDEX('102 Power to Jet'!$D$4:$H$59,MATCH(SUP_DEA_ELECTRO!U51,'102 Power to Jet'!$B$4:$B$59,0),MATCH(SUP_DEA_ELECTRO!$H50,'102 Power to Jet'!$D$3:$H$3,0)))/INDEX('102 Power to Jet'!$D$4:$H$59,MATCH(SUP_DEA_ELECTRO!V50,'102 Power to Jet'!$B$4:$B$59,0),MATCH(SUP_DEA_ELECTRO!$H50,'102 Power to Jet'!$D$3:$H$3,0))</f>
        <v>2.5</v>
      </c>
      <c r="K51" s="33"/>
      <c r="L51" s="39"/>
      <c r="M51" s="40"/>
      <c r="N51" s="40"/>
      <c r="O51" s="40"/>
      <c r="P51" s="41"/>
      <c r="Q51" s="42"/>
      <c r="R51" s="39"/>
      <c r="S51" s="43"/>
      <c r="T51" s="43"/>
      <c r="U51" s="17" t="str">
        <f>U48</f>
        <v>Electricity Consumption, MWh/MWh Total Inputs</v>
      </c>
      <c r="V51" s="17"/>
      <c r="W51" s="17"/>
    </row>
    <row r="52" spans="2:23" ht="16.2" thickBot="1">
      <c r="B52" s="43"/>
      <c r="C52" s="32"/>
      <c r="D52" s="43"/>
      <c r="E52" s="43"/>
      <c r="F52" s="17" t="str">
        <f>F49</f>
        <v>HETC</v>
      </c>
      <c r="G52" s="43"/>
      <c r="H52" s="43"/>
      <c r="I52" s="43"/>
      <c r="J52" s="43"/>
      <c r="K52" s="48">
        <f>INDEX('102 Power to Jet'!$D$4:$H$59,MATCH(SUP_DEA_ELECTRO!W52,'102 Power to Jet'!$B$4:$B$59,0),MATCH(SUP_DEA_ELECTRO!$H50,'102 Power to Jet'!$D$3:$H$3,0))*(SUM(J51))</f>
        <v>1</v>
      </c>
      <c r="L52" s="43"/>
      <c r="M52" s="43"/>
      <c r="N52" s="43"/>
      <c r="O52" s="40"/>
      <c r="P52" s="43"/>
      <c r="Q52" s="43"/>
      <c r="R52" s="43"/>
      <c r="S52" s="43"/>
      <c r="T52" s="45"/>
      <c r="U52" s="43"/>
      <c r="V52" s="43"/>
      <c r="W52" s="17" t="str">
        <f>W49</f>
        <v>District Heat  Output, MWh/MWh Total Input</v>
      </c>
    </row>
    <row r="53" spans="2:23">
      <c r="B53" s="43"/>
      <c r="C53" s="17"/>
      <c r="D53" s="17" t="str">
        <f>D50</f>
        <v>CCXCO2</v>
      </c>
      <c r="E53" s="17" t="str">
        <f>E50</f>
        <v>KRE</v>
      </c>
      <c r="F53" s="17"/>
      <c r="G53" s="17" t="s">
        <v>70</v>
      </c>
      <c r="H53" s="17">
        <v>2040</v>
      </c>
      <c r="I53" s="17"/>
      <c r="J53" s="33">
        <f>'102 Power to Jet'!$F$9/43.2*1000</f>
        <v>83.333333333333329</v>
      </c>
      <c r="K53" s="33"/>
      <c r="L53" s="34">
        <f>L50</f>
        <v>25</v>
      </c>
      <c r="M53" s="35">
        <f>INDEX('102 Power to Jet'!$D$4:$H$59,MATCH(SUP_Biofuels!N$8,'102 Power to Jet'!$B$4:$B$59,0),MATCH(SUP_DEA_ELECTRO!$H53,'102 Power to Jet'!$D$3:$H$3,0))*7.45</f>
        <v>14.154999999999999</v>
      </c>
      <c r="N53" s="35">
        <f>INDEX('102 Power to Jet'!$D$4:$H$59,MATCH(SUP_Biofuels!O$8,'102 Power to Jet'!$B$4:$B$59,0),MATCH(SUP_DEA_ELECTRO!$H53,'102 Power to Jet'!$D$3:$H$3,0))*7.45</f>
        <v>7.8969999999999998E-5</v>
      </c>
      <c r="O53" s="35">
        <f>INDEX('102 Power to Jet'!$D$4:$H$59,MATCH(SUP_Biofuels!P$8,'102 Power to Jet'!$B$4:$B$59,0),MATCH(SUP_DEA_ELECTRO!$H53,'102 Power to Jet'!$D$3:$H$3,0))*7.45/3.6</f>
        <v>6.6222222222222227</v>
      </c>
      <c r="P53" s="33">
        <f>1-INDEX('102 Power to Jet'!$D$4:$H$59,MATCH(SUP_Biofuels!Q$7,'102 Power to Jet'!$B$4:$B$59,0),MATCH(SUP_DEA_ELECTRO!$H53,'102 Power to Jet'!$D$3:$H$3,0))/52-INDEX('102 Power to Jet'!$D$4:$H$59,MATCH(SUP_Biofuels!Q$8,'102 Power to Jet'!$B$4:$B$59,0),MATCH(SUP_DEA_ELECTRO!$H53,'102 Power to Jet'!$D$3:$H$3,0))/100</f>
        <v>1</v>
      </c>
      <c r="Q53" s="36">
        <f>SUP_Biofuels!$R$39</f>
        <v>3.1536000000000002E-2</v>
      </c>
      <c r="R53" s="34">
        <f>R50</f>
        <v>2</v>
      </c>
      <c r="S53" s="44"/>
      <c r="T53" s="43"/>
      <c r="U53" s="17" t="str">
        <f>U50</f>
        <v>CO2 Consumption, t/t FT Liquids</v>
      </c>
      <c r="V53" s="17" t="str">
        <f>V50</f>
        <v>FT Liquids Output, MWh/MWh Total Input</v>
      </c>
      <c r="W53" s="17"/>
    </row>
    <row r="54" spans="2:23">
      <c r="B54" s="43"/>
      <c r="C54" s="43"/>
      <c r="D54" s="17" t="str">
        <f>D51</f>
        <v>SUPELC</v>
      </c>
      <c r="E54" s="17"/>
      <c r="F54" s="17"/>
      <c r="G54" s="17"/>
      <c r="H54" s="17"/>
      <c r="I54" s="17"/>
      <c r="J54" s="33">
        <f>(INDEX('102 Power to Jet'!$D$4:$H$59,MATCH(SUP_DEA_ELECTRO!U54,'102 Power to Jet'!$B$4:$B$59,0),MATCH(SUP_DEA_ELECTRO!$H53,'102 Power to Jet'!$D$3:$H$3,0)))/INDEX('102 Power to Jet'!$D$4:$H$59,MATCH(SUP_DEA_ELECTRO!V53,'102 Power to Jet'!$B$4:$B$59,0),MATCH(SUP_DEA_ELECTRO!$H53,'102 Power to Jet'!$D$3:$H$3,0))</f>
        <v>2</v>
      </c>
      <c r="K54" s="33"/>
      <c r="L54" s="39"/>
      <c r="M54" s="40"/>
      <c r="N54" s="40"/>
      <c r="O54" s="40"/>
      <c r="P54" s="41"/>
      <c r="Q54" s="42"/>
      <c r="R54" s="39"/>
      <c r="S54" s="43"/>
      <c r="T54" s="43"/>
      <c r="U54" s="17" t="str">
        <f>U51</f>
        <v>Electricity Consumption, MWh/MWh Total Inputs</v>
      </c>
      <c r="V54" s="17"/>
      <c r="W54" s="17"/>
    </row>
    <row r="55" spans="2:23" ht="15" thickBot="1">
      <c r="B55" s="43"/>
      <c r="C55" s="17"/>
      <c r="D55" s="43"/>
      <c r="E55" s="43"/>
      <c r="F55" s="17" t="str">
        <f>F52</f>
        <v>HETC</v>
      </c>
      <c r="G55" s="43"/>
      <c r="H55" s="43"/>
      <c r="I55" s="43"/>
      <c r="J55" s="43"/>
      <c r="K55" s="48">
        <f>INDEX('102 Power to Jet'!$D$4:$H$59,MATCH(SUP_DEA_ELECTRO!W55,'102 Power to Jet'!$B$4:$B$59,0),MATCH(SUP_DEA_ELECTRO!$H53,'102 Power to Jet'!$D$3:$H$3,0))*(SUM(J54))</f>
        <v>0.6</v>
      </c>
      <c r="L55" s="43"/>
      <c r="M55" s="43"/>
      <c r="N55" s="43"/>
      <c r="O55" s="40"/>
      <c r="P55" s="43"/>
      <c r="Q55" s="43"/>
      <c r="R55" s="43"/>
      <c r="S55" s="43"/>
      <c r="T55" s="43"/>
      <c r="U55" s="43"/>
      <c r="V55" s="43"/>
      <c r="W55" s="17" t="str">
        <f>W52</f>
        <v>District Heat  Output, MWh/MWh Total Input</v>
      </c>
    </row>
    <row r="56" spans="2:23">
      <c r="B56" s="43"/>
      <c r="C56" s="43"/>
      <c r="D56" s="17" t="str">
        <f>D53</f>
        <v>CCXCO2</v>
      </c>
      <c r="E56" s="17" t="str">
        <f>E53</f>
        <v>KRE</v>
      </c>
      <c r="F56" s="17"/>
      <c r="G56" s="17" t="s">
        <v>70</v>
      </c>
      <c r="H56" s="17">
        <v>2050</v>
      </c>
      <c r="I56" s="17"/>
      <c r="J56" s="33">
        <f>'102 Power to Jet'!$G$9/43.2*1000</f>
        <v>76.388888888888886</v>
      </c>
      <c r="K56" s="33"/>
      <c r="L56" s="34">
        <f>L53</f>
        <v>25</v>
      </c>
      <c r="M56" s="35">
        <f>INDEX('102 Power to Jet'!$D$4:$H$59,MATCH(SUP_Biofuels!N$8,'102 Power to Jet'!$B$4:$B$59,0),MATCH(SUP_DEA_ELECTRO!$H56,'102 Power to Jet'!$D$3:$H$3,0))*7.45</f>
        <v>11.920000000000002</v>
      </c>
      <c r="N56" s="35">
        <f>INDEX('102 Power to Jet'!$D$4:$H$59,MATCH(SUP_Biofuels!O$8,'102 Power to Jet'!$B$4:$B$59,0),MATCH(SUP_DEA_ELECTRO!$H56,'102 Power to Jet'!$D$3:$H$3,0))*7.45</f>
        <v>3.9484999999999999E-5</v>
      </c>
      <c r="O56" s="35">
        <f>INDEX('102 Power to Jet'!$D$4:$H$59,MATCH(SUP_Biofuels!P$8,'102 Power to Jet'!$B$4:$B$59,0),MATCH(SUP_DEA_ELECTRO!$H56,'102 Power to Jet'!$D$3:$H$3,0))*7.45/3.6</f>
        <v>4.3458333333333332</v>
      </c>
      <c r="P56" s="33">
        <f>1-INDEX('102 Power to Jet'!$D$4:$H$59,MATCH(SUP_Biofuels!Q$7,'102 Power to Jet'!$B$4:$B$59,0),MATCH(SUP_DEA_ELECTRO!$H56,'102 Power to Jet'!$D$3:$H$3,0))/52-INDEX('102 Power to Jet'!$D$4:$H$59,MATCH(SUP_Biofuels!Q$8,'102 Power to Jet'!$B$4:$B$59,0),MATCH(SUP_DEA_ELECTRO!$H56,'102 Power to Jet'!$D$3:$H$3,0))/100</f>
        <v>1</v>
      </c>
      <c r="Q56" s="36">
        <f>SUP_Biofuels!$R$39</f>
        <v>3.1536000000000002E-2</v>
      </c>
      <c r="R56" s="34">
        <f>R53</f>
        <v>2</v>
      </c>
      <c r="S56" s="44"/>
      <c r="T56" s="43"/>
      <c r="U56" s="17" t="str">
        <f>U53</f>
        <v>CO2 Consumption, t/t FT Liquids</v>
      </c>
      <c r="V56" s="17" t="str">
        <f>V53</f>
        <v>FT Liquids Output, MWh/MWh Total Input</v>
      </c>
      <c r="W56" s="17"/>
    </row>
    <row r="57" spans="2:23">
      <c r="B57" s="43"/>
      <c r="C57" s="43"/>
      <c r="D57" s="17" t="str">
        <f>D54</f>
        <v>SUPELC</v>
      </c>
      <c r="E57" s="17"/>
      <c r="F57" s="17"/>
      <c r="G57" s="17"/>
      <c r="H57" s="17"/>
      <c r="I57" s="17"/>
      <c r="J57" s="33">
        <f>(INDEX('102 Power to Jet'!$D$4:$H$59,MATCH(SUP_DEA_ELECTRO!U57,'102 Power to Jet'!$B$4:$B$59,0),MATCH(SUP_DEA_ELECTRO!$H56,'102 Power to Jet'!$D$3:$H$3,0)))/INDEX('102 Power to Jet'!$D$4:$H$59,MATCH(SUP_DEA_ELECTRO!V56,'102 Power to Jet'!$B$4:$B$59,0),MATCH(SUP_DEA_ELECTRO!$H56,'102 Power to Jet'!$D$3:$H$3,0))</f>
        <v>1.8181818181818181</v>
      </c>
      <c r="K57" s="33"/>
      <c r="L57" s="39"/>
      <c r="M57" s="40"/>
      <c r="N57" s="40"/>
      <c r="O57" s="40"/>
      <c r="P57" s="41"/>
      <c r="Q57" s="42"/>
      <c r="R57" s="39"/>
      <c r="S57" s="43"/>
      <c r="T57" s="43"/>
      <c r="U57" s="17" t="str">
        <f>U54</f>
        <v>Electricity Consumption, MWh/MWh Total Inputs</v>
      </c>
      <c r="V57" s="17"/>
      <c r="W57" s="17"/>
    </row>
    <row r="58" spans="2:23" ht="15" thickBot="1">
      <c r="B58" s="46"/>
      <c r="C58" s="46"/>
      <c r="D58" s="46"/>
      <c r="E58" s="46"/>
      <c r="F58" s="47" t="str">
        <f>F55</f>
        <v>HETC</v>
      </c>
      <c r="G58" s="46"/>
      <c r="H58" s="46"/>
      <c r="I58" s="46"/>
      <c r="J58" s="46"/>
      <c r="K58" s="48">
        <f>INDEX('102 Power to Jet'!$D$4:$H$59,MATCH(SUP_DEA_ELECTRO!W58,'102 Power to Jet'!$B$4:$B$59,0),MATCH(SUP_DEA_ELECTRO!$H56,'102 Power to Jet'!$D$3:$H$3,0))*(SUM(J57))</f>
        <v>0.45454545454545453</v>
      </c>
      <c r="L58" s="46"/>
      <c r="M58" s="46"/>
      <c r="N58" s="46"/>
      <c r="O58" s="49"/>
      <c r="P58" s="46"/>
      <c r="Q58" s="46"/>
      <c r="R58" s="46"/>
      <c r="S58" s="46"/>
      <c r="T58" s="46"/>
      <c r="U58" s="46"/>
      <c r="V58" s="46"/>
      <c r="W58" s="47" t="str">
        <f>W55</f>
        <v>District Heat  Output, MWh/MWh Total Input</v>
      </c>
    </row>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DB492-9D51-4876-96AA-D56069CA486C}">
  <sheetPr>
    <tabColor theme="6" tint="0.39997558519241921"/>
  </sheetPr>
  <dimension ref="B2:AG247"/>
  <sheetViews>
    <sheetView topLeftCell="A37" zoomScale="85" zoomScaleNormal="85" workbookViewId="0">
      <selection activeCell="D27" sqref="D27"/>
    </sheetView>
  </sheetViews>
  <sheetFormatPr defaultColWidth="9.109375" defaultRowHeight="13.2"/>
  <cols>
    <col min="1" max="1" width="2.88671875" style="69" customWidth="1"/>
    <col min="2" max="2" width="40.6640625" style="69" customWidth="1"/>
    <col min="3" max="3" width="38.5546875" style="69" bestFit="1" customWidth="1"/>
    <col min="4" max="4" width="35.33203125" style="69" bestFit="1" customWidth="1"/>
    <col min="5" max="5" width="15.88671875" style="69" customWidth="1"/>
    <col min="6" max="6" width="15.109375" style="69" customWidth="1"/>
    <col min="7" max="7" width="15.88671875" style="69" customWidth="1"/>
    <col min="8" max="8" width="14.88671875" style="69" bestFit="1" customWidth="1"/>
    <col min="9" max="9" width="11.44140625" style="69" customWidth="1"/>
    <col min="10" max="10" width="12" style="69" customWidth="1"/>
    <col min="11" max="12" width="13.109375" style="69" customWidth="1"/>
    <col min="13" max="13" width="12.6640625" style="69" bestFit="1" customWidth="1"/>
    <col min="14" max="14" width="18.44140625" style="69" bestFit="1" customWidth="1"/>
    <col min="15" max="15" width="15" style="69" bestFit="1" customWidth="1"/>
    <col min="16" max="16" width="12.5546875" style="69" customWidth="1"/>
    <col min="17" max="17" width="14.5546875" style="69" customWidth="1"/>
    <col min="18" max="18" width="13.109375" style="69" customWidth="1"/>
    <col min="19" max="19" width="18.33203125" style="69" bestFit="1" customWidth="1"/>
    <col min="20" max="20" width="11.44140625" style="69" customWidth="1"/>
    <col min="21" max="21" width="11.44140625" style="1232" customWidth="1"/>
    <col min="22" max="26" width="9.109375" style="69"/>
    <col min="27" max="27" width="20.109375" style="69" bestFit="1" customWidth="1"/>
    <col min="28" max="16384" width="9.109375" style="69"/>
  </cols>
  <sheetData>
    <row r="2" spans="2:25">
      <c r="M2" s="244" t="s">
        <v>190</v>
      </c>
      <c r="N2" s="245">
        <v>7.45</v>
      </c>
    </row>
    <row r="3" spans="2:25" ht="15.6">
      <c r="B3" s="246"/>
    </row>
    <row r="4" spans="2:25" ht="28.8">
      <c r="B4" s="1058" t="s">
        <v>1389</v>
      </c>
      <c r="C4"/>
      <c r="D4"/>
      <c r="E4"/>
      <c r="F4"/>
      <c r="G4"/>
      <c r="H4"/>
      <c r="I4"/>
      <c r="J4"/>
      <c r="K4"/>
      <c r="L4"/>
      <c r="M4"/>
      <c r="N4"/>
      <c r="O4"/>
      <c r="P4"/>
      <c r="Q4"/>
      <c r="R4"/>
      <c r="S4"/>
      <c r="T4"/>
      <c r="U4"/>
    </row>
    <row r="5" spans="2:25" ht="14.4">
      <c r="B5"/>
      <c r="C5"/>
      <c r="D5"/>
      <c r="E5"/>
      <c r="F5"/>
      <c r="G5"/>
      <c r="H5"/>
      <c r="I5"/>
      <c r="J5"/>
      <c r="K5"/>
      <c r="L5"/>
      <c r="M5"/>
      <c r="N5"/>
      <c r="O5"/>
      <c r="P5"/>
      <c r="Q5"/>
      <c r="R5"/>
      <c r="S5"/>
      <c r="T5"/>
      <c r="U5"/>
    </row>
    <row r="6" spans="2:25">
      <c r="F6" s="121"/>
      <c r="G6" s="121"/>
      <c r="H6" s="121" t="s">
        <v>0</v>
      </c>
      <c r="I6" s="121"/>
      <c r="J6" s="121"/>
      <c r="K6" s="121"/>
    </row>
    <row r="7" spans="2:25">
      <c r="B7" s="120" t="s">
        <v>2</v>
      </c>
      <c r="C7" s="120" t="s">
        <v>11</v>
      </c>
      <c r="D7" s="120" t="s">
        <v>32</v>
      </c>
      <c r="E7" s="120" t="s">
        <v>3</v>
      </c>
      <c r="F7" s="120" t="s">
        <v>33</v>
      </c>
      <c r="G7" s="120" t="s">
        <v>158</v>
      </c>
      <c r="H7" s="120" t="s">
        <v>34</v>
      </c>
      <c r="I7" s="120" t="s">
        <v>4</v>
      </c>
      <c r="J7" s="120" t="s">
        <v>187</v>
      </c>
      <c r="K7" s="120" t="s">
        <v>188</v>
      </c>
      <c r="L7" s="155" t="s">
        <v>239</v>
      </c>
      <c r="M7" s="155" t="s">
        <v>186</v>
      </c>
      <c r="N7" s="155" t="s">
        <v>185</v>
      </c>
      <c r="O7" s="155" t="s">
        <v>9</v>
      </c>
      <c r="P7" s="155" t="s">
        <v>6</v>
      </c>
      <c r="Q7" s="155" t="s">
        <v>7</v>
      </c>
      <c r="R7" s="155" t="s">
        <v>8</v>
      </c>
      <c r="S7" s="117" t="s">
        <v>327</v>
      </c>
      <c r="T7" s="116" t="s">
        <v>41</v>
      </c>
      <c r="U7" s="1242"/>
    </row>
    <row r="8" spans="2:25" ht="39.6">
      <c r="B8" s="251" t="s">
        <v>184</v>
      </c>
      <c r="C8" s="251" t="s">
        <v>19</v>
      </c>
      <c r="D8" s="251" t="s">
        <v>183</v>
      </c>
      <c r="E8" s="251" t="s">
        <v>181</v>
      </c>
      <c r="F8" s="251" t="s">
        <v>234</v>
      </c>
      <c r="G8" s="251"/>
      <c r="H8" s="251"/>
      <c r="I8" s="251"/>
      <c r="J8" s="251" t="s">
        <v>233</v>
      </c>
      <c r="K8" s="251" t="s">
        <v>180</v>
      </c>
      <c r="L8" s="251" t="s">
        <v>232</v>
      </c>
      <c r="M8" s="251" t="s">
        <v>178</v>
      </c>
      <c r="N8" s="251" t="s">
        <v>177</v>
      </c>
      <c r="O8" s="251" t="s">
        <v>176</v>
      </c>
      <c r="P8" s="251" t="s">
        <v>175</v>
      </c>
      <c r="Q8" s="251" t="s">
        <v>174</v>
      </c>
      <c r="R8" s="251" t="s">
        <v>173</v>
      </c>
      <c r="S8" s="252" t="s">
        <v>364</v>
      </c>
      <c r="T8" s="113"/>
      <c r="U8" s="113"/>
    </row>
    <row r="9" spans="2:25" ht="27" thickBot="1">
      <c r="B9" s="112" t="s">
        <v>172</v>
      </c>
      <c r="C9" s="111"/>
      <c r="D9" s="111"/>
      <c r="E9" s="111"/>
      <c r="F9" s="111"/>
      <c r="G9" s="111"/>
      <c r="H9" s="111"/>
      <c r="I9" s="111"/>
      <c r="J9" s="111" t="s">
        <v>338</v>
      </c>
      <c r="K9" s="111" t="s">
        <v>339</v>
      </c>
      <c r="L9" s="111" t="s">
        <v>339</v>
      </c>
      <c r="M9" s="111"/>
      <c r="N9" s="111" t="s">
        <v>62</v>
      </c>
      <c r="O9" s="111" t="s">
        <v>228</v>
      </c>
      <c r="P9" s="110" t="s">
        <v>365</v>
      </c>
      <c r="Q9" s="110" t="s">
        <v>366</v>
      </c>
      <c r="R9" s="110" t="s">
        <v>367</v>
      </c>
      <c r="S9" s="110" t="s">
        <v>165</v>
      </c>
      <c r="T9" s="109"/>
      <c r="U9" s="1239"/>
    </row>
    <row r="10" spans="2:25" customFormat="1" ht="15" thickBot="1">
      <c r="B10" s="112" t="s">
        <v>1730</v>
      </c>
      <c r="C10" s="1237"/>
      <c r="D10" s="1237"/>
      <c r="E10" s="1237"/>
      <c r="F10" s="1237"/>
      <c r="G10" s="1237"/>
      <c r="H10" s="1237"/>
      <c r="I10" s="1237"/>
      <c r="J10" s="1237" t="str">
        <f>'86 AEC 1MW'!B15</f>
        <v>Hydrogen (% total input_e (MWh / MWh))</v>
      </c>
      <c r="K10" s="1237" t="str">
        <f>'86 SOEC 1MW'!B11</f>
        <v>Heat (% total input (MWh / MWh))</v>
      </c>
      <c r="L10" s="1237" t="str">
        <f>'86 AEC 1MW'!B19</f>
        <v xml:space="preserve"> - hereof recoverable for district heating (%-points of heat loss)</v>
      </c>
      <c r="M10" s="1237" t="str">
        <f>'86 AEC 1MW'!B23</f>
        <v>Forced outage (%)</v>
      </c>
      <c r="N10" s="1237" t="str">
        <f>'86 AEC 1MW'!B25</f>
        <v>Technical lifetime (years)</v>
      </c>
      <c r="O10" s="1237"/>
      <c r="P10" s="1238" t="str">
        <f>'86 AEC 1MW'!B29</f>
        <v>Specific investment (€ / kW of total input_e)</v>
      </c>
      <c r="Q10" s="1238" t="str">
        <f>'86 AEC 1MW'!B33</f>
        <v xml:space="preserve">Fixed O&amp;M (% of specific investment / year) </v>
      </c>
      <c r="R10" s="1238" t="str">
        <f>'86 AEC 1MW'!B34</f>
        <v>Variable O&amp;M (€ / kWh of total input)</v>
      </c>
      <c r="S10" s="1238"/>
      <c r="T10" s="1239"/>
      <c r="U10" s="1239"/>
      <c r="W10" s="1232"/>
      <c r="X10" s="1232"/>
      <c r="Y10" s="1232"/>
    </row>
    <row r="11" spans="2:25" customFormat="1" ht="14.4">
      <c r="B11" s="1232" t="s">
        <v>1736</v>
      </c>
      <c r="C11" s="69" t="s">
        <v>1731</v>
      </c>
      <c r="D11" s="1006" t="s">
        <v>71</v>
      </c>
      <c r="E11" s="1006" t="s">
        <v>1314</v>
      </c>
      <c r="F11" s="1006"/>
      <c r="G11" s="1006">
        <v>2020</v>
      </c>
      <c r="H11" s="1066" t="s">
        <v>70</v>
      </c>
      <c r="I11" s="1006">
        <v>2020</v>
      </c>
      <c r="J11" s="1067">
        <f>INDEX('86 AEC 1MW'!$C$6:$F$39,MATCH(SUP_H2_Production!J$10,'86 AEC 1MW'!$B$6:$B$39,0),MATCH(SUP_H2_Production!$G11,'86 AEC 1MW'!$C$4:$F$4,0))/100</f>
        <v>0.66500000000000004</v>
      </c>
      <c r="K11" s="1067"/>
      <c r="L11" s="1067"/>
      <c r="M11" s="1067">
        <f>(100-INDEX('86 AEC 1MW'!$C$6:$F$39,MATCH(SUP_H2_Production!M$10,'86 AEC 1MW'!$B$6:$B$39,0),MATCH(SUP_H2_Production!$G11,'86 AEC 1MW'!$C$4:$F$4,0)))/100</f>
        <v>0.98</v>
      </c>
      <c r="N11" s="1069">
        <f>INDEX('86 AEC 1MW'!$C$6:$F$39,MATCH(SUP_H2_Production!N$10,'86 AEC 1MW'!$B$6:$B$39,0),MATCH(SUP_H2_Production!$G11,'86 AEC 1MW'!$C$4:$F$4,0))</f>
        <v>25</v>
      </c>
      <c r="O11" s="1070">
        <v>3.1536000000000002E-2</v>
      </c>
      <c r="P11" s="1067">
        <f>INDEX('86 AEC 1MW'!$C$6:$F$39,MATCH(SUP_H2_Production!P$10,'86 AEC 1MW'!$B$6:$B$39,0),MATCH(SUP_H2_Production!$G11,'86 AEC 1MW'!$C$4:$F$4,0))/$J11/1000*7.45</f>
        <v>8.4022556390977439</v>
      </c>
      <c r="Q11" s="1067">
        <f>INDEX('86 AEC 1MW'!$C$6:$F$39,MATCH(SUP_H2_Production!Q$10,'86 AEC 1MW'!$B$6:$B$39,0),MATCH(SUP_H2_Production!$G11,'86 AEC 1MW'!$C$4:$F$4,0))/$J11/1000*7.45</f>
        <v>5.6015037593984969E-2</v>
      </c>
      <c r="R11" s="1067"/>
      <c r="S11" s="1006">
        <v>0.5</v>
      </c>
      <c r="T11" s="1006" t="s">
        <v>1734</v>
      </c>
      <c r="U11" s="1006"/>
      <c r="W11" s="1232"/>
      <c r="X11" s="1232"/>
      <c r="Y11" s="1232"/>
    </row>
    <row r="12" spans="2:25" customFormat="1" ht="14.4">
      <c r="B12" s="69"/>
      <c r="C12" s="69"/>
      <c r="D12" s="1051"/>
      <c r="E12" s="1051"/>
      <c r="F12" s="1051" t="s">
        <v>216</v>
      </c>
      <c r="G12" s="1051"/>
      <c r="H12" s="241"/>
      <c r="I12" s="1051"/>
      <c r="J12" s="1240" t="s">
        <v>124</v>
      </c>
      <c r="K12" s="141"/>
      <c r="L12" s="1067">
        <f>INDEX('86 AEC 1MW'!$C$6:$F$39,MATCH(SUP_H2_Production!L$10,'86 AEC 1MW'!$B$6:$B$39,0),MATCH(SUP_H2_Production!$G11,'86 AEC 1MW'!$C$4:$F$4,0))/100</f>
        <v>0.16389138913891388</v>
      </c>
      <c r="M12" s="1051"/>
      <c r="N12" s="281"/>
      <c r="O12" s="103"/>
      <c r="P12" s="141"/>
      <c r="Q12" s="141"/>
      <c r="R12" s="1051"/>
      <c r="S12" s="1051"/>
      <c r="T12" s="1051"/>
      <c r="U12" s="1232"/>
      <c r="W12" s="1232"/>
      <c r="X12" s="1232"/>
      <c r="Y12" s="1232"/>
    </row>
    <row r="13" spans="2:25" customFormat="1" ht="14.4">
      <c r="B13" s="69"/>
      <c r="C13" s="69"/>
      <c r="D13" s="1006" t="s">
        <v>71</v>
      </c>
      <c r="E13" s="1006" t="s">
        <v>1314</v>
      </c>
      <c r="F13" s="1006"/>
      <c r="G13" s="1006">
        <v>2030</v>
      </c>
      <c r="H13" s="1066" t="s">
        <v>70</v>
      </c>
      <c r="I13" s="1006"/>
      <c r="J13" s="1067">
        <f>INDEX('86 AEC 1MW'!$C$6:$F$39,MATCH(SUP_H2_Production!J$10,'86 AEC 1MW'!$B$6:$B$39,0),MATCH(SUP_H2_Production!$G13,'86 AEC 1MW'!$C$4:$F$4,0))/100</f>
        <v>0.68</v>
      </c>
      <c r="K13" s="1067"/>
      <c r="L13" s="1067"/>
      <c r="M13" s="1067">
        <f>(100-INDEX('86 AEC 1MW'!$C$6:$F$39,MATCH(SUP_H2_Production!M$10,'86 AEC 1MW'!$B$6:$B$39,0),MATCH(SUP_H2_Production!$G13,'86 AEC 1MW'!$C$4:$F$4,0)))/100</f>
        <v>0.98</v>
      </c>
      <c r="N13" s="1069">
        <f>INDEX('86 AEC 1MW'!$C$6:$F$39,MATCH(SUP_H2_Production!N$10,'86 AEC 1MW'!$B$6:$B$39,0),MATCH(SUP_H2_Production!$G13,'86 AEC 1MW'!$C$4:$F$4,0))</f>
        <v>30</v>
      </c>
      <c r="O13" s="1070">
        <v>3.1536000000000002E-2</v>
      </c>
      <c r="P13" s="1067">
        <f>INDEX('86 AEC 1MW'!$C$6:$F$39,MATCH(SUP_H2_Production!P$10,'86 AEC 1MW'!$B$6:$B$39,0),MATCH(SUP_H2_Production!$G13,'86 AEC 1MW'!$C$4:$F$4,0))/$J13/1000*7.45</f>
        <v>6.2448529411764699</v>
      </c>
      <c r="Q13" s="1067">
        <f>INDEX('86 AEC 1MW'!$C$6:$F$39,MATCH(SUP_H2_Production!Q$10,'86 AEC 1MW'!$B$6:$B$39,0),MATCH(SUP_H2_Production!$G13,'86 AEC 1MW'!$C$4:$F$4,0))/$J13/1000*7.45</f>
        <v>5.4779411764705882E-2</v>
      </c>
      <c r="R13" s="1067"/>
      <c r="S13" s="1006"/>
      <c r="T13" s="1006"/>
      <c r="U13" s="1006"/>
      <c r="W13" s="1232"/>
      <c r="X13" s="1232"/>
      <c r="Y13" s="1232"/>
    </row>
    <row r="14" spans="2:25" customFormat="1" ht="14.4">
      <c r="B14" s="69"/>
      <c r="C14" s="69"/>
      <c r="D14" s="1006"/>
      <c r="E14" s="1006"/>
      <c r="F14" s="1006" t="s">
        <v>216</v>
      </c>
      <c r="G14" s="1006"/>
      <c r="H14" s="1066"/>
      <c r="I14" s="1006"/>
      <c r="J14" s="1067"/>
      <c r="K14" s="1067"/>
      <c r="L14" s="1067">
        <f>INDEX('86 AEC 1MW'!$C$6:$F$39,MATCH(SUP_H2_Production!L$10,'86 AEC 1MW'!$B$6:$B$39,0),MATCH(SUP_H2_Production!$G13,'86 AEC 1MW'!$C$4:$F$4,0))/100</f>
        <v>0.14615961596159621</v>
      </c>
      <c r="M14" s="1006"/>
      <c r="N14" s="1069"/>
      <c r="O14" s="1070"/>
      <c r="P14" s="1067"/>
      <c r="Q14" s="1067"/>
      <c r="R14" s="1006"/>
      <c r="S14" s="1006"/>
      <c r="T14" s="1006"/>
      <c r="U14" s="1006"/>
      <c r="W14" s="1232"/>
      <c r="X14" s="1232"/>
      <c r="Y14" s="1232"/>
    </row>
    <row r="15" spans="2:25" customFormat="1" ht="14.4">
      <c r="B15" s="69"/>
      <c r="C15" s="69"/>
      <c r="D15" s="1006" t="s">
        <v>71</v>
      </c>
      <c r="E15" s="1006" t="s">
        <v>1314</v>
      </c>
      <c r="F15" s="1006"/>
      <c r="G15" s="1006">
        <v>2040</v>
      </c>
      <c r="H15" s="1066" t="s">
        <v>70</v>
      </c>
      <c r="I15" s="1006"/>
      <c r="J15" s="1067">
        <f>INDEX('86 AEC 1MW'!$C$6:$F$39,MATCH(SUP_H2_Production!J$10,'86 AEC 1MW'!$B$6:$B$39,0),MATCH(SUP_H2_Production!$G15,'86 AEC 1MW'!$C$4:$F$4,0))/100</f>
        <v>0.71499999999999997</v>
      </c>
      <c r="K15" s="1067"/>
      <c r="L15" s="1067"/>
      <c r="M15" s="1067">
        <f>(100-INDEX('86 AEC 1MW'!$C$6:$F$39,MATCH(SUP_H2_Production!M$10,'86 AEC 1MW'!$B$6:$B$39,0),MATCH(SUP_H2_Production!$G15,'86 AEC 1MW'!$C$4:$F$4,0)))/100</f>
        <v>0.98</v>
      </c>
      <c r="N15" s="1069">
        <f>INDEX('86 AEC 1MW'!$C$6:$F$39,MATCH(SUP_H2_Production!N$10,'86 AEC 1MW'!$B$6:$B$39,0),MATCH(SUP_H2_Production!$G15,'86 AEC 1MW'!$C$4:$F$4,0))</f>
        <v>32</v>
      </c>
      <c r="O15" s="1070">
        <v>3.1536000000000002E-2</v>
      </c>
      <c r="P15" s="1067">
        <f>INDEX('86 AEC 1MW'!$C$6:$F$39,MATCH(SUP_H2_Production!P$10,'86 AEC 1MW'!$B$6:$B$39,0),MATCH(SUP_H2_Production!$G15,'86 AEC 1MW'!$C$4:$F$4,0))/$J15/1000*7.45</f>
        <v>4.6888111888111901</v>
      </c>
      <c r="Q15" s="1067">
        <f>INDEX('86 AEC 1MW'!$C$6:$F$39,MATCH(SUP_H2_Production!Q$10,'86 AEC 1MW'!$B$6:$B$39,0),MATCH(SUP_H2_Production!$G15,'86 AEC 1MW'!$C$4:$F$4,0))/$J15/1000*7.45</f>
        <v>5.2097902097902098E-2</v>
      </c>
      <c r="R15" s="1067"/>
      <c r="S15" s="1006"/>
      <c r="T15" s="1006"/>
      <c r="U15" s="1006"/>
      <c r="W15" s="1232"/>
      <c r="X15" s="1232"/>
      <c r="Y15" s="1232"/>
    </row>
    <row r="16" spans="2:25" customFormat="1" ht="14.4">
      <c r="B16" s="69"/>
      <c r="C16" s="69"/>
      <c r="D16" s="1006"/>
      <c r="E16" s="1006"/>
      <c r="F16" s="1006" t="s">
        <v>216</v>
      </c>
      <c r="G16" s="1006"/>
      <c r="H16" s="1066"/>
      <c r="I16" s="1006"/>
      <c r="J16" s="1067"/>
      <c r="K16" s="1067"/>
      <c r="L16" s="1067">
        <f>INDEX('86 AEC 1MW'!$C$6:$F$39,MATCH(SUP_H2_Production!L$10,'86 AEC 1MW'!$B$6:$B$39,0),MATCH(SUP_H2_Production!$G15,'86 AEC 1MW'!$C$4:$F$4,0))/100</f>
        <v>0.10478547854785489</v>
      </c>
      <c r="M16" s="1006"/>
      <c r="N16" s="1069"/>
      <c r="O16" s="1070"/>
      <c r="P16" s="1067"/>
      <c r="Q16" s="1067"/>
      <c r="R16" s="1006"/>
      <c r="S16" s="1006"/>
      <c r="T16" s="1006"/>
      <c r="U16" s="1006"/>
      <c r="W16" s="1232"/>
      <c r="X16" s="1232"/>
      <c r="Y16" s="1232"/>
    </row>
    <row r="17" spans="2:25" customFormat="1" ht="14.4">
      <c r="B17" s="69"/>
      <c r="C17" s="69"/>
      <c r="D17" s="1006" t="s">
        <v>71</v>
      </c>
      <c r="E17" s="1006" t="s">
        <v>1314</v>
      </c>
      <c r="F17" s="1006"/>
      <c r="G17" s="1006">
        <v>2050</v>
      </c>
      <c r="H17" s="1066" t="s">
        <v>70</v>
      </c>
      <c r="I17" s="1006"/>
      <c r="J17" s="1067">
        <f>INDEX('86 AEC 1MW'!$C$6:$F$39,MATCH(SUP_H2_Production!J$10,'86 AEC 1MW'!$B$6:$B$39,0),MATCH(SUP_H2_Production!$G17,'86 AEC 1MW'!$C$4:$F$4,0))/100</f>
        <v>0.75</v>
      </c>
      <c r="K17" s="1067"/>
      <c r="L17" s="1067"/>
      <c r="M17" s="1067">
        <f>(100-INDEX('86 AEC 1MW'!$C$6:$F$39,MATCH(SUP_H2_Production!M$10,'86 AEC 1MW'!$B$6:$B$39,0),MATCH(SUP_H2_Production!$G17,'86 AEC 1MW'!$C$4:$F$4,0)))/100</f>
        <v>0.98</v>
      </c>
      <c r="N17" s="1069">
        <f>INDEX('86 AEC 1MW'!$C$6:$F$39,MATCH(SUP_H2_Production!N$10,'86 AEC 1MW'!$B$6:$B$39,0),MATCH(SUP_H2_Production!$G17,'86 AEC 1MW'!$C$4:$F$4,0))</f>
        <v>35</v>
      </c>
      <c r="O17" s="1070">
        <v>3.1536000000000002E-2</v>
      </c>
      <c r="P17" s="1067">
        <f>INDEX('86 AEC 1MW'!$C$6:$F$39,MATCH(SUP_H2_Production!P$10,'86 AEC 1MW'!$B$6:$B$39,0),MATCH(SUP_H2_Production!$G17,'86 AEC 1MW'!$C$4:$F$4,0))/$J17/1000*7.45</f>
        <v>3.476666666666667</v>
      </c>
      <c r="Q17" s="1067">
        <f>INDEX('86 AEC 1MW'!$C$6:$F$39,MATCH(SUP_H2_Production!Q$10,'86 AEC 1MW'!$B$6:$B$39,0),MATCH(SUP_H2_Production!$G17,'86 AEC 1MW'!$C$4:$F$4,0))/$J17/1000*7.45</f>
        <v>4.9666666666666671E-2</v>
      </c>
      <c r="R17" s="1067"/>
      <c r="S17" s="1006"/>
      <c r="T17" s="1006"/>
      <c r="U17" s="1006"/>
      <c r="W17" s="1232"/>
      <c r="X17" s="1232"/>
      <c r="Y17" s="1232"/>
    </row>
    <row r="18" spans="2:25" customFormat="1" ht="15" thickBot="1">
      <c r="B18" s="107"/>
      <c r="C18" s="107"/>
      <c r="D18" s="107"/>
      <c r="E18" s="107"/>
      <c r="F18" s="107" t="s">
        <v>216</v>
      </c>
      <c r="G18" s="107"/>
      <c r="H18" s="256"/>
      <c r="I18" s="107"/>
      <c r="J18" s="151"/>
      <c r="K18" s="151"/>
      <c r="L18" s="151">
        <f>INDEX('86 AEC 1MW'!$C$6:$F$39,MATCH(SUP_H2_Production!L$10,'86 AEC 1MW'!$B$6:$B$39,0),MATCH(SUP_H2_Production!$G17,'86 AEC 1MW'!$C$4:$F$4,0))/100</f>
        <v>6.3411341134113425E-2</v>
      </c>
      <c r="M18" s="107"/>
      <c r="N18" s="107"/>
      <c r="O18" s="107"/>
      <c r="P18" s="257"/>
      <c r="Q18" s="257"/>
      <c r="R18" s="107"/>
      <c r="S18" s="107"/>
      <c r="T18" s="107"/>
      <c r="U18" s="1006"/>
      <c r="W18" s="1232"/>
      <c r="X18" s="1232"/>
      <c r="Y18" s="1232"/>
    </row>
    <row r="19" spans="2:25" customFormat="1" ht="14.4">
      <c r="B19" s="1232" t="s">
        <v>1737</v>
      </c>
      <c r="C19" s="1232" t="s">
        <v>1732</v>
      </c>
      <c r="D19" s="1006" t="s">
        <v>71</v>
      </c>
      <c r="E19" s="1006" t="s">
        <v>348</v>
      </c>
      <c r="F19" s="1006"/>
      <c r="G19" s="1006">
        <v>2020</v>
      </c>
      <c r="H19" s="1066" t="s">
        <v>70</v>
      </c>
      <c r="I19" s="1006">
        <v>2020</v>
      </c>
      <c r="J19" s="1067">
        <f>INDEX('86 AEC 1MW'!$C$6:$F$39,MATCH(SUP_H2_Production!J$10,'86 AEC 1MW'!$B$6:$B$39,0),MATCH(SUP_H2_Production!$G19,'86 AEC 1MW'!$C$4:$F$4,0))/100</f>
        <v>0.66500000000000004</v>
      </c>
      <c r="K19" s="1067"/>
      <c r="L19" s="1067"/>
      <c r="M19" s="1067">
        <f>(100-INDEX('86 AEC 1MW'!$C$6:$F$39,MATCH(SUP_H2_Production!M$10,'86 AEC 1MW'!$B$6:$B$39,0),MATCH(SUP_H2_Production!$G19,'86 AEC 1MW'!$C$4:$F$4,0)))/100</f>
        <v>0.98</v>
      </c>
      <c r="N19" s="1069">
        <f>INDEX('86 AEC 1MW'!$C$6:$F$39,MATCH(SUP_H2_Production!N$10,'86 AEC 1MW'!$B$6:$B$39,0),MATCH(SUP_H2_Production!$G19,'86 AEC 1MW'!$C$4:$F$4,0))</f>
        <v>25</v>
      </c>
      <c r="O19" s="1070">
        <v>3.1536000000000002E-2</v>
      </c>
      <c r="P19" s="1067">
        <f>INDEX('86 AEC 1MW'!$C$6:$F$39,MATCH(SUP_H2_Production!P$10,'86 AEC 1MW'!$B$6:$B$39,0),MATCH(SUP_H2_Production!$G19,'86 AEC 1MW'!$C$4:$F$4,0))/$J19/1000*7.45</f>
        <v>8.4022556390977439</v>
      </c>
      <c r="Q19" s="1067">
        <f>INDEX('86 AEC 1MW'!$C$6:$F$39,MATCH(SUP_H2_Production!Q$10,'86 AEC 1MW'!$B$6:$B$39,0),MATCH(SUP_H2_Production!$G19,'86 AEC 1MW'!$C$4:$F$4,0))/$J19/1000*7.45</f>
        <v>5.6015037593984969E-2</v>
      </c>
      <c r="R19" s="1067"/>
      <c r="S19" s="1006">
        <v>0.5</v>
      </c>
      <c r="T19" s="1006" t="s">
        <v>1734</v>
      </c>
      <c r="U19" s="1006"/>
      <c r="W19" s="1232"/>
      <c r="X19" s="1232"/>
      <c r="Y19" s="1232"/>
    </row>
    <row r="20" spans="2:25" customFormat="1" ht="14.4">
      <c r="B20" s="1232"/>
      <c r="C20" s="1232"/>
      <c r="D20" s="1232"/>
      <c r="E20" s="1232"/>
      <c r="F20" s="1232" t="s">
        <v>259</v>
      </c>
      <c r="G20" s="1232"/>
      <c r="H20" s="241"/>
      <c r="I20" s="1232"/>
      <c r="J20" s="1240" t="s">
        <v>124</v>
      </c>
      <c r="K20" s="141"/>
      <c r="L20" s="1067">
        <f>INDEX('86 AEC 1MW'!$C$6:$F$39,MATCH(SUP_H2_Production!L$10,'86 AEC 1MW'!$B$6:$B$39,0),MATCH(SUP_H2_Production!$G19,'86 AEC 1MW'!$C$4:$F$4,0))/100</f>
        <v>0.16389138913891388</v>
      </c>
      <c r="M20" s="1232"/>
      <c r="N20" s="281"/>
      <c r="O20" s="103"/>
      <c r="P20" s="141"/>
      <c r="Q20" s="141"/>
      <c r="R20" s="1232"/>
      <c r="S20" s="1232"/>
      <c r="T20" s="1232"/>
      <c r="U20" s="1232"/>
      <c r="W20" s="1232"/>
      <c r="X20" s="1232"/>
      <c r="Y20" s="1232"/>
    </row>
    <row r="21" spans="2:25" customFormat="1" ht="14.4">
      <c r="B21" s="1232"/>
      <c r="C21" s="1232"/>
      <c r="D21" s="1006" t="s">
        <v>71</v>
      </c>
      <c r="E21" s="1006" t="s">
        <v>348</v>
      </c>
      <c r="F21" s="1006"/>
      <c r="G21" s="1006">
        <v>2030</v>
      </c>
      <c r="H21" s="1066" t="s">
        <v>70</v>
      </c>
      <c r="I21" s="1006"/>
      <c r="J21" s="1067">
        <f>INDEX('86 AEC 1MW'!$C$6:$F$39,MATCH(SUP_H2_Production!J$10,'86 AEC 1MW'!$B$6:$B$39,0),MATCH(SUP_H2_Production!$G21,'86 AEC 1MW'!$C$4:$F$4,0))/100</f>
        <v>0.68</v>
      </c>
      <c r="K21" s="1067"/>
      <c r="L21" s="1067"/>
      <c r="M21" s="1067">
        <f>(100-INDEX('86 AEC 1MW'!$C$6:$F$39,MATCH(SUP_H2_Production!M$10,'86 AEC 1MW'!$B$6:$B$39,0),MATCH(SUP_H2_Production!$G21,'86 AEC 1MW'!$C$4:$F$4,0)))/100</f>
        <v>0.98</v>
      </c>
      <c r="N21" s="1069">
        <f>INDEX('86 AEC 1MW'!$C$6:$F$39,MATCH(SUP_H2_Production!N$10,'86 AEC 1MW'!$B$6:$B$39,0),MATCH(SUP_H2_Production!$G21,'86 AEC 1MW'!$C$4:$F$4,0))</f>
        <v>30</v>
      </c>
      <c r="O21" s="1070">
        <v>3.1536000000000002E-2</v>
      </c>
      <c r="P21" s="1067">
        <f>INDEX('86 AEC 1MW'!$C$6:$F$39,MATCH(SUP_H2_Production!P$10,'86 AEC 1MW'!$B$6:$B$39,0),MATCH(SUP_H2_Production!$G21,'86 AEC 1MW'!$C$4:$F$4,0))/$J21/1000*7.45</f>
        <v>6.2448529411764699</v>
      </c>
      <c r="Q21" s="1067">
        <f>INDEX('86 AEC 1MW'!$C$6:$F$39,MATCH(SUP_H2_Production!Q$10,'86 AEC 1MW'!$B$6:$B$39,0),MATCH(SUP_H2_Production!$G21,'86 AEC 1MW'!$C$4:$F$4,0))/$J21/1000*7.45</f>
        <v>5.4779411764705882E-2</v>
      </c>
      <c r="R21" s="1067"/>
      <c r="S21" s="1006"/>
      <c r="T21" s="1006"/>
      <c r="U21" s="1006"/>
      <c r="W21" s="1232"/>
      <c r="X21" s="1232"/>
      <c r="Y21" s="1232"/>
    </row>
    <row r="22" spans="2:25" customFormat="1" ht="14.4">
      <c r="B22" s="1232"/>
      <c r="C22" s="1232"/>
      <c r="D22" s="1006"/>
      <c r="E22" s="1006"/>
      <c r="F22" s="1232" t="s">
        <v>259</v>
      </c>
      <c r="G22" s="1006"/>
      <c r="H22" s="1066"/>
      <c r="I22" s="1006"/>
      <c r="J22" s="1067"/>
      <c r="K22" s="1067"/>
      <c r="L22" s="1067">
        <f>INDEX('86 AEC 1MW'!$C$6:$F$39,MATCH(SUP_H2_Production!L$10,'86 AEC 1MW'!$B$6:$B$39,0),MATCH(SUP_H2_Production!$G21,'86 AEC 1MW'!$C$4:$F$4,0))/100</f>
        <v>0.14615961596159621</v>
      </c>
      <c r="M22" s="1006"/>
      <c r="N22" s="1069"/>
      <c r="O22" s="1070"/>
      <c r="P22" s="1067"/>
      <c r="Q22" s="1067"/>
      <c r="R22" s="1006"/>
      <c r="S22" s="1006"/>
      <c r="T22" s="1006"/>
      <c r="U22" s="1006"/>
      <c r="W22" s="1232"/>
      <c r="X22" s="1232"/>
      <c r="Y22" s="1232"/>
    </row>
    <row r="23" spans="2:25" customFormat="1" ht="14.4">
      <c r="B23" s="1232"/>
      <c r="C23" s="1232"/>
      <c r="D23" s="1006" t="s">
        <v>71</v>
      </c>
      <c r="E23" s="1006" t="s">
        <v>348</v>
      </c>
      <c r="F23" s="1006"/>
      <c r="G23" s="1006">
        <v>2040</v>
      </c>
      <c r="H23" s="1066" t="s">
        <v>70</v>
      </c>
      <c r="I23" s="1006"/>
      <c r="J23" s="1067">
        <f>INDEX('86 AEC 1MW'!$C$6:$F$39,MATCH(SUP_H2_Production!J$10,'86 AEC 1MW'!$B$6:$B$39,0),MATCH(SUP_H2_Production!$G23,'86 AEC 1MW'!$C$4:$F$4,0))/100</f>
        <v>0.71499999999999997</v>
      </c>
      <c r="K23" s="1067"/>
      <c r="L23" s="1067"/>
      <c r="M23" s="1067">
        <f>(100-INDEX('86 AEC 1MW'!$C$6:$F$39,MATCH(SUP_H2_Production!M$10,'86 AEC 1MW'!$B$6:$B$39,0),MATCH(SUP_H2_Production!$G23,'86 AEC 1MW'!$C$4:$F$4,0)))/100</f>
        <v>0.98</v>
      </c>
      <c r="N23" s="1069">
        <f>INDEX('86 AEC 1MW'!$C$6:$F$39,MATCH(SUP_H2_Production!N$10,'86 AEC 1MW'!$B$6:$B$39,0),MATCH(SUP_H2_Production!$G23,'86 AEC 1MW'!$C$4:$F$4,0))</f>
        <v>32</v>
      </c>
      <c r="O23" s="1070">
        <v>3.1536000000000002E-2</v>
      </c>
      <c r="P23" s="1067">
        <f>INDEX('86 AEC 1MW'!$C$6:$F$39,MATCH(SUP_H2_Production!P$10,'86 AEC 1MW'!$B$6:$B$39,0),MATCH(SUP_H2_Production!$G23,'86 AEC 1MW'!$C$4:$F$4,0))/$J23/1000*7.45</f>
        <v>4.6888111888111901</v>
      </c>
      <c r="Q23" s="1067">
        <f>INDEX('86 AEC 1MW'!$C$6:$F$39,MATCH(SUP_H2_Production!Q$10,'86 AEC 1MW'!$B$6:$B$39,0),MATCH(SUP_H2_Production!$G23,'86 AEC 1MW'!$C$4:$F$4,0))/$J23/1000*7.45</f>
        <v>5.2097902097902098E-2</v>
      </c>
      <c r="R23" s="1067"/>
      <c r="S23" s="1006"/>
      <c r="T23" s="1006"/>
      <c r="U23" s="1006"/>
      <c r="W23" s="1232"/>
      <c r="X23" s="1232"/>
      <c r="Y23" s="1232"/>
    </row>
    <row r="24" spans="2:25" customFormat="1" ht="14.4">
      <c r="B24" s="1232"/>
      <c r="C24" s="1232"/>
      <c r="D24" s="1006"/>
      <c r="E24" s="1006"/>
      <c r="F24" s="1232" t="s">
        <v>259</v>
      </c>
      <c r="G24" s="1006"/>
      <c r="H24" s="1066"/>
      <c r="I24" s="1006"/>
      <c r="J24" s="1067"/>
      <c r="K24" s="1067"/>
      <c r="L24" s="1067">
        <f>INDEX('86 AEC 1MW'!$C$6:$F$39,MATCH(SUP_H2_Production!L$10,'86 AEC 1MW'!$B$6:$B$39,0),MATCH(SUP_H2_Production!$G23,'86 AEC 1MW'!$C$4:$F$4,0))/100</f>
        <v>0.10478547854785489</v>
      </c>
      <c r="M24" s="1006"/>
      <c r="N24" s="1069"/>
      <c r="O24" s="1070"/>
      <c r="P24" s="1067"/>
      <c r="Q24" s="1067"/>
      <c r="R24" s="1006"/>
      <c r="S24" s="1006"/>
      <c r="T24" s="1006"/>
      <c r="U24" s="1006"/>
      <c r="W24" s="1232"/>
      <c r="X24" s="1232"/>
      <c r="Y24" s="1232"/>
    </row>
    <row r="25" spans="2:25" customFormat="1" ht="14.4">
      <c r="B25" s="1232"/>
      <c r="C25" s="1232"/>
      <c r="D25" s="1006" t="s">
        <v>71</v>
      </c>
      <c r="E25" s="1006" t="s">
        <v>348</v>
      </c>
      <c r="F25" s="1006"/>
      <c r="G25" s="1006">
        <v>2050</v>
      </c>
      <c r="H25" s="1066" t="s">
        <v>70</v>
      </c>
      <c r="I25" s="1006"/>
      <c r="J25" s="1067">
        <f>INDEX('86 AEC 1MW'!$C$6:$F$39,MATCH(SUP_H2_Production!J$10,'86 AEC 1MW'!$B$6:$B$39,0),MATCH(SUP_H2_Production!$G25,'86 AEC 1MW'!$C$4:$F$4,0))/100</f>
        <v>0.75</v>
      </c>
      <c r="K25" s="1067"/>
      <c r="L25" s="1067"/>
      <c r="M25" s="1067">
        <f>(100-INDEX('86 AEC 1MW'!$C$6:$F$39,MATCH(SUP_H2_Production!M$10,'86 AEC 1MW'!$B$6:$B$39,0),MATCH(SUP_H2_Production!$G25,'86 AEC 1MW'!$C$4:$F$4,0)))/100</f>
        <v>0.98</v>
      </c>
      <c r="N25" s="1069">
        <f>INDEX('86 AEC 1MW'!$C$6:$F$39,MATCH(SUP_H2_Production!N$10,'86 AEC 1MW'!$B$6:$B$39,0),MATCH(SUP_H2_Production!$G25,'86 AEC 1MW'!$C$4:$F$4,0))</f>
        <v>35</v>
      </c>
      <c r="O25" s="1070">
        <v>3.1536000000000002E-2</v>
      </c>
      <c r="P25" s="1067">
        <f>INDEX('86 AEC 1MW'!$C$6:$F$39,MATCH(SUP_H2_Production!P$10,'86 AEC 1MW'!$B$6:$B$39,0),MATCH(SUP_H2_Production!$G25,'86 AEC 1MW'!$C$4:$F$4,0))/$J25/1000*7.45</f>
        <v>3.476666666666667</v>
      </c>
      <c r="Q25" s="1067">
        <f>INDEX('86 AEC 1MW'!$C$6:$F$39,MATCH(SUP_H2_Production!Q$10,'86 AEC 1MW'!$B$6:$B$39,0),MATCH(SUP_H2_Production!$G25,'86 AEC 1MW'!$C$4:$F$4,0))/$J25/1000*7.45</f>
        <v>4.9666666666666671E-2</v>
      </c>
      <c r="R25" s="1067"/>
      <c r="S25" s="1006"/>
      <c r="T25" s="1006"/>
      <c r="U25" s="1006"/>
      <c r="W25" s="1232"/>
      <c r="X25" s="1232"/>
      <c r="Y25" s="1232"/>
    </row>
    <row r="26" spans="2:25" customFormat="1" ht="15" thickBot="1">
      <c r="B26" s="107"/>
      <c r="C26" s="107"/>
      <c r="D26" s="107"/>
      <c r="E26" s="107"/>
      <c r="F26" s="107" t="s">
        <v>259</v>
      </c>
      <c r="G26" s="107"/>
      <c r="H26" s="256"/>
      <c r="I26" s="107"/>
      <c r="J26" s="151"/>
      <c r="K26" s="151"/>
      <c r="L26" s="151">
        <f>INDEX('86 AEC 1MW'!$C$6:$F$39,MATCH(SUP_H2_Production!L$10,'86 AEC 1MW'!$B$6:$B$39,0),MATCH(SUP_H2_Production!$G25,'86 AEC 1MW'!$C$4:$F$4,0))/100</f>
        <v>6.3411341134113425E-2</v>
      </c>
      <c r="M26" s="107"/>
      <c r="N26" s="107"/>
      <c r="O26" s="107"/>
      <c r="P26" s="257"/>
      <c r="Q26" s="257"/>
      <c r="R26" s="107"/>
      <c r="S26" s="107"/>
      <c r="T26" s="107"/>
      <c r="U26" s="1006"/>
      <c r="W26" s="1232"/>
      <c r="X26" s="1232"/>
      <c r="Y26" s="1232"/>
    </row>
    <row r="27" spans="2:25" customFormat="1" ht="14.4">
      <c r="B27" s="1232" t="s">
        <v>1738</v>
      </c>
      <c r="C27" s="1232" t="s">
        <v>1733</v>
      </c>
      <c r="D27" s="1006" t="s">
        <v>71</v>
      </c>
      <c r="E27" s="1006" t="s">
        <v>1314</v>
      </c>
      <c r="F27" s="1006"/>
      <c r="G27" s="1006">
        <v>2020</v>
      </c>
      <c r="H27" s="1066" t="s">
        <v>70</v>
      </c>
      <c r="I27" s="1006">
        <v>2020</v>
      </c>
      <c r="J27" s="1067">
        <f>INDEX('86 AEC 1MW'!$C$6:$F$39,MATCH(SUP_H2_Production!J$10,'86 AEC 1MW'!$B$6:$B$39,0),MATCH(SUP_H2_Production!$G27,'86 AEC 1MW'!$C$4:$F$4,0))/100</f>
        <v>0.66500000000000004</v>
      </c>
      <c r="K27" s="1067"/>
      <c r="L27" s="1067"/>
      <c r="M27" s="1067">
        <f>(100-INDEX('86 AEC 1MW'!$C$6:$F$39,MATCH(SUP_H2_Production!M$10,'86 AEC 1MW'!$B$6:$B$39,0),MATCH(SUP_H2_Production!$G27,'86 AEC 1MW'!$C$4:$F$4,0)))/100</f>
        <v>0.98</v>
      </c>
      <c r="N27" s="1069">
        <f>INDEX('86 AEC 1MW'!$C$6:$F$39,MATCH(SUP_H2_Production!N$10,'86 AEC 1MW'!$B$6:$B$39,0),MATCH(SUP_H2_Production!$G27,'86 AEC 1MW'!$C$4:$F$4,0))</f>
        <v>25</v>
      </c>
      <c r="O27" s="1070">
        <v>3.1536000000000002E-2</v>
      </c>
      <c r="P27" s="1067">
        <f>INDEX('86 AEC 1MW'!$C$6:$F$39,MATCH(SUP_H2_Production!P$10,'86 AEC 1MW'!$B$6:$B$39,0),MATCH(SUP_H2_Production!$G27,'86 AEC 1MW'!$C$4:$F$4,0))/$J27/1000*7.45</f>
        <v>8.4022556390977439</v>
      </c>
      <c r="Q27" s="1067">
        <f>INDEX('86 AEC 1MW'!$C$6:$F$39,MATCH(SUP_H2_Production!Q$10,'86 AEC 1MW'!$B$6:$B$39,0),MATCH(SUP_H2_Production!$G27,'86 AEC 1MW'!$C$4:$F$4,0))/$J27/1000*7.45</f>
        <v>5.6015037593984969E-2</v>
      </c>
      <c r="R27" s="1067"/>
      <c r="S27" s="1006">
        <v>0.5</v>
      </c>
      <c r="T27" s="1006" t="s">
        <v>1734</v>
      </c>
      <c r="U27" s="1006"/>
      <c r="W27" s="1232"/>
      <c r="X27" s="1232"/>
      <c r="Y27" s="1232"/>
    </row>
    <row r="28" spans="2:25" customFormat="1" ht="14.4">
      <c r="B28" s="1232"/>
      <c r="C28" s="1232"/>
      <c r="D28" s="1232"/>
      <c r="E28" s="1232"/>
      <c r="F28" s="1232"/>
      <c r="G28" s="1232"/>
      <c r="H28" s="241"/>
      <c r="I28" s="1232"/>
      <c r="J28" s="1240" t="s">
        <v>124</v>
      </c>
      <c r="K28" s="141"/>
      <c r="L28" s="1067">
        <f>INDEX('86 AEC 1MW'!$C$6:$F$39,MATCH(SUP_H2_Production!L$10,'86 AEC 1MW'!$B$6:$B$39,0),MATCH(SUP_H2_Production!$G27,'86 AEC 1MW'!$C$4:$F$4,0))/100</f>
        <v>0.16389138913891388</v>
      </c>
      <c r="M28" s="1232"/>
      <c r="N28" s="281"/>
      <c r="O28" s="103"/>
      <c r="P28" s="141"/>
      <c r="Q28" s="141"/>
      <c r="R28" s="1232"/>
      <c r="S28" s="1232"/>
      <c r="T28" s="1232"/>
      <c r="U28" s="1232"/>
      <c r="W28" s="1232"/>
      <c r="X28" s="1232"/>
      <c r="Y28" s="1232"/>
    </row>
    <row r="29" spans="2:25" customFormat="1" ht="14.4">
      <c r="B29" s="1232"/>
      <c r="C29" s="1232"/>
      <c r="D29" s="1006" t="s">
        <v>71</v>
      </c>
      <c r="E29" s="1006" t="s">
        <v>1314</v>
      </c>
      <c r="F29" s="1006"/>
      <c r="G29" s="1006">
        <v>2030</v>
      </c>
      <c r="H29" s="1066" t="s">
        <v>70</v>
      </c>
      <c r="I29" s="1006"/>
      <c r="J29" s="1067">
        <f>INDEX('86 AEC 1MW'!$C$6:$F$39,MATCH(SUP_H2_Production!J$10,'86 AEC 1MW'!$B$6:$B$39,0),MATCH(SUP_H2_Production!$G29,'86 AEC 1MW'!$C$4:$F$4,0))/100</f>
        <v>0.68</v>
      </c>
      <c r="K29" s="1067"/>
      <c r="L29" s="1067"/>
      <c r="M29" s="1067">
        <f>(100-INDEX('86 AEC 1MW'!$C$6:$F$39,MATCH(SUP_H2_Production!M$10,'86 AEC 1MW'!$B$6:$B$39,0),MATCH(SUP_H2_Production!$G29,'86 AEC 1MW'!$C$4:$F$4,0)))/100</f>
        <v>0.98</v>
      </c>
      <c r="N29" s="1069">
        <f>INDEX('86 AEC 1MW'!$C$6:$F$39,MATCH(SUP_H2_Production!N$10,'86 AEC 1MW'!$B$6:$B$39,0),MATCH(SUP_H2_Production!$G29,'86 AEC 1MW'!$C$4:$F$4,0))</f>
        <v>30</v>
      </c>
      <c r="O29" s="1070">
        <v>3.1536000000000002E-2</v>
      </c>
      <c r="P29" s="1067">
        <f>INDEX('86 AEC 1MW'!$C$6:$F$39,MATCH(SUP_H2_Production!P$10,'86 AEC 1MW'!$B$6:$B$39,0),MATCH(SUP_H2_Production!$G29,'86 AEC 1MW'!$C$4:$F$4,0))/$J29/1000*7.45</f>
        <v>6.2448529411764699</v>
      </c>
      <c r="Q29" s="1067">
        <f>INDEX('86 AEC 1MW'!$C$6:$F$39,MATCH(SUP_H2_Production!Q$10,'86 AEC 1MW'!$B$6:$B$39,0),MATCH(SUP_H2_Production!$G29,'86 AEC 1MW'!$C$4:$F$4,0))/$J29/1000*7.45</f>
        <v>5.4779411764705882E-2</v>
      </c>
      <c r="R29" s="1067"/>
      <c r="S29" s="1006"/>
      <c r="T29" s="1006"/>
      <c r="U29" s="1006"/>
      <c r="W29" s="1232"/>
      <c r="X29" s="1232"/>
      <c r="Y29" s="1232"/>
    </row>
    <row r="30" spans="2:25" customFormat="1" ht="14.4">
      <c r="B30" s="1232"/>
      <c r="C30" s="1232"/>
      <c r="D30" s="1006"/>
      <c r="E30" s="1006"/>
      <c r="F30" s="1006"/>
      <c r="G30" s="1006"/>
      <c r="H30" s="1066"/>
      <c r="I30" s="1006"/>
      <c r="J30" s="1067"/>
      <c r="K30" s="1067"/>
      <c r="L30" s="1067">
        <f>INDEX('86 AEC 1MW'!$C$6:$F$39,MATCH(SUP_H2_Production!L$10,'86 AEC 1MW'!$B$6:$B$39,0),MATCH(SUP_H2_Production!$G29,'86 AEC 1MW'!$C$4:$F$4,0))/100</f>
        <v>0.14615961596159621</v>
      </c>
      <c r="M30" s="1006"/>
      <c r="N30" s="1069"/>
      <c r="O30" s="1070"/>
      <c r="P30" s="1067"/>
      <c r="Q30" s="1067"/>
      <c r="R30" s="1006"/>
      <c r="S30" s="1006"/>
      <c r="T30" s="1006"/>
      <c r="U30" s="1006"/>
      <c r="W30" s="1232"/>
      <c r="X30" s="1232"/>
      <c r="Y30" s="1232"/>
    </row>
    <row r="31" spans="2:25" customFormat="1" ht="14.4">
      <c r="B31" s="1232"/>
      <c r="C31" s="1232"/>
      <c r="D31" s="1006" t="s">
        <v>71</v>
      </c>
      <c r="E31" s="1006" t="s">
        <v>1314</v>
      </c>
      <c r="F31" s="1006"/>
      <c r="G31" s="1006">
        <v>2040</v>
      </c>
      <c r="H31" s="1066" t="s">
        <v>70</v>
      </c>
      <c r="I31" s="1006"/>
      <c r="J31" s="1067">
        <f>INDEX('86 AEC 1MW'!$C$6:$F$39,MATCH(SUP_H2_Production!J$10,'86 AEC 1MW'!$B$6:$B$39,0),MATCH(SUP_H2_Production!$G31,'86 AEC 1MW'!$C$4:$F$4,0))/100</f>
        <v>0.71499999999999997</v>
      </c>
      <c r="K31" s="1067"/>
      <c r="L31" s="1067"/>
      <c r="M31" s="1067">
        <f>(100-INDEX('86 AEC 1MW'!$C$6:$F$39,MATCH(SUP_H2_Production!M$10,'86 AEC 1MW'!$B$6:$B$39,0),MATCH(SUP_H2_Production!$G31,'86 AEC 1MW'!$C$4:$F$4,0)))/100</f>
        <v>0.98</v>
      </c>
      <c r="N31" s="1069">
        <f>INDEX('86 AEC 1MW'!$C$6:$F$39,MATCH(SUP_H2_Production!N$10,'86 AEC 1MW'!$B$6:$B$39,0),MATCH(SUP_H2_Production!$G31,'86 AEC 1MW'!$C$4:$F$4,0))</f>
        <v>32</v>
      </c>
      <c r="O31" s="1070">
        <v>3.1536000000000002E-2</v>
      </c>
      <c r="P31" s="1067">
        <f>INDEX('86 AEC 1MW'!$C$6:$F$39,MATCH(SUP_H2_Production!P$10,'86 AEC 1MW'!$B$6:$B$39,0),MATCH(SUP_H2_Production!$G31,'86 AEC 1MW'!$C$4:$F$4,0))/$J31/1000*7.45</f>
        <v>4.6888111888111901</v>
      </c>
      <c r="Q31" s="1067">
        <f>INDEX('86 AEC 1MW'!$C$6:$F$39,MATCH(SUP_H2_Production!Q$10,'86 AEC 1MW'!$B$6:$B$39,0),MATCH(SUP_H2_Production!$G31,'86 AEC 1MW'!$C$4:$F$4,0))/$J31/1000*7.45</f>
        <v>5.2097902097902098E-2</v>
      </c>
      <c r="R31" s="1067"/>
      <c r="S31" s="1006"/>
      <c r="T31" s="1006"/>
      <c r="U31" s="1006"/>
      <c r="W31" s="1232"/>
      <c r="X31" s="1232"/>
      <c r="Y31" s="1232"/>
    </row>
    <row r="32" spans="2:25" customFormat="1" ht="14.4">
      <c r="B32" s="1232"/>
      <c r="C32" s="1232"/>
      <c r="D32" s="1006"/>
      <c r="E32" s="1006"/>
      <c r="F32" s="1006"/>
      <c r="G32" s="1006"/>
      <c r="H32" s="1066"/>
      <c r="I32" s="1006"/>
      <c r="J32" s="1067"/>
      <c r="K32" s="1067"/>
      <c r="L32" s="1067">
        <f>INDEX('86 AEC 1MW'!$C$6:$F$39,MATCH(SUP_H2_Production!L$10,'86 AEC 1MW'!$B$6:$B$39,0),MATCH(SUP_H2_Production!$G31,'86 AEC 1MW'!$C$4:$F$4,0))/100</f>
        <v>0.10478547854785489</v>
      </c>
      <c r="M32" s="1006"/>
      <c r="N32" s="1069"/>
      <c r="O32" s="1070"/>
      <c r="P32" s="1067"/>
      <c r="Q32" s="1067"/>
      <c r="R32" s="1006"/>
      <c r="S32" s="1006"/>
      <c r="T32" s="1006"/>
      <c r="U32" s="1006"/>
      <c r="W32" s="1232"/>
      <c r="X32" s="1232"/>
      <c r="Y32" s="1232"/>
    </row>
    <row r="33" spans="2:25" customFormat="1" ht="14.4">
      <c r="B33" s="1232"/>
      <c r="C33" s="1232"/>
      <c r="D33" s="1006" t="s">
        <v>71</v>
      </c>
      <c r="E33" s="1006" t="s">
        <v>1314</v>
      </c>
      <c r="F33" s="1006"/>
      <c r="G33" s="1006">
        <v>2050</v>
      </c>
      <c r="H33" s="1066" t="s">
        <v>70</v>
      </c>
      <c r="I33" s="1006"/>
      <c r="J33" s="1067">
        <f>INDEX('86 AEC 1MW'!$C$6:$F$39,MATCH(SUP_H2_Production!J$10,'86 AEC 1MW'!$B$6:$B$39,0),MATCH(SUP_H2_Production!$G33,'86 AEC 1MW'!$C$4:$F$4,0))/100</f>
        <v>0.75</v>
      </c>
      <c r="K33" s="1067"/>
      <c r="L33" s="1067"/>
      <c r="M33" s="1067">
        <f>(100-INDEX('86 AEC 1MW'!$C$6:$F$39,MATCH(SUP_H2_Production!M$10,'86 AEC 1MW'!$B$6:$B$39,0),MATCH(SUP_H2_Production!$G33,'86 AEC 1MW'!$C$4:$F$4,0)))/100</f>
        <v>0.98</v>
      </c>
      <c r="N33" s="1069">
        <f>INDEX('86 AEC 1MW'!$C$6:$F$39,MATCH(SUP_H2_Production!N$10,'86 AEC 1MW'!$B$6:$B$39,0),MATCH(SUP_H2_Production!$G33,'86 AEC 1MW'!$C$4:$F$4,0))</f>
        <v>35</v>
      </c>
      <c r="O33" s="1070">
        <v>3.1536000000000002E-2</v>
      </c>
      <c r="P33" s="1067">
        <f>INDEX('86 AEC 1MW'!$C$6:$F$39,MATCH(SUP_H2_Production!P$10,'86 AEC 1MW'!$B$6:$B$39,0),MATCH(SUP_H2_Production!$G33,'86 AEC 1MW'!$C$4:$F$4,0))/$J33/1000*7.45</f>
        <v>3.476666666666667</v>
      </c>
      <c r="Q33" s="1067">
        <f>INDEX('86 AEC 1MW'!$C$6:$F$39,MATCH(SUP_H2_Production!Q$10,'86 AEC 1MW'!$B$6:$B$39,0),MATCH(SUP_H2_Production!$G33,'86 AEC 1MW'!$C$4:$F$4,0))/$J33/1000*7.45</f>
        <v>4.9666666666666671E-2</v>
      </c>
      <c r="R33" s="1067"/>
      <c r="S33" s="1006"/>
      <c r="T33" s="1006"/>
      <c r="U33" s="1006"/>
      <c r="W33" s="1232"/>
      <c r="X33" s="1232"/>
      <c r="Y33" s="1232"/>
    </row>
    <row r="34" spans="2:25" customFormat="1" ht="15" thickBot="1">
      <c r="B34" s="107"/>
      <c r="C34" s="107"/>
      <c r="D34" s="107"/>
      <c r="E34" s="107"/>
      <c r="F34" s="107"/>
      <c r="G34" s="107"/>
      <c r="H34" s="256"/>
      <c r="I34" s="107"/>
      <c r="J34" s="151"/>
      <c r="K34" s="151"/>
      <c r="L34" s="151">
        <f>INDEX('86 AEC 1MW'!$C$6:$F$39,MATCH(SUP_H2_Production!L$10,'86 AEC 1MW'!$B$6:$B$39,0),MATCH(SUP_H2_Production!$G33,'86 AEC 1MW'!$C$4:$F$4,0))/100</f>
        <v>6.3411341134113425E-2</v>
      </c>
      <c r="M34" s="107"/>
      <c r="N34" s="107"/>
      <c r="O34" s="107"/>
      <c r="P34" s="257"/>
      <c r="Q34" s="257"/>
      <c r="R34" s="107"/>
      <c r="S34" s="107"/>
      <c r="T34" s="107"/>
      <c r="U34" s="1006"/>
      <c r="W34" s="1232"/>
      <c r="X34" s="1232"/>
      <c r="Y34" s="1232"/>
    </row>
    <row r="35" spans="2:25" customFormat="1" ht="14.4">
      <c r="B35" s="1232" t="s">
        <v>1739</v>
      </c>
      <c r="C35" s="1232" t="s">
        <v>1731</v>
      </c>
      <c r="D35" s="1006" t="s">
        <v>71</v>
      </c>
      <c r="E35" s="1006" t="s">
        <v>1314</v>
      </c>
      <c r="F35" s="1006"/>
      <c r="G35" s="1006">
        <v>2020</v>
      </c>
      <c r="H35" s="1066" t="s">
        <v>70</v>
      </c>
      <c r="I35" s="1006">
        <v>2020</v>
      </c>
      <c r="J35" s="1067">
        <f>INDEX('86 AEC 100MW'!$C$6:$F$39,MATCH(SUP_H2_Production!J$10,'86 AEC 100MW'!$B$6:$B$39,0),MATCH(SUP_H2_Production!$G35,'86 AEC 100MW'!$C$4:$F$4,0))/100</f>
        <v>0.66500000000000004</v>
      </c>
      <c r="K35" s="1067"/>
      <c r="L35" s="1067"/>
      <c r="M35" s="1067">
        <f>(100-INDEX('86 AEC 100MW'!$C$6:$F$39,MATCH(SUP_H2_Production!M$10,'86 AEC 100MW'!$B$6:$B$39,0),MATCH(SUP_H2_Production!$G35,'86 AEC 100MW'!$C$4:$F$4,0)))/100</f>
        <v>0.98</v>
      </c>
      <c r="N35" s="1069">
        <f>INDEX('86 AEC 100MW'!$C$6:$F$39,MATCH(SUP_H2_Production!N$10,'86 AEC 100MW'!$B$6:$B$39,0),MATCH(SUP_H2_Production!$G35,'86 AEC 100MW'!$C$4:$F$4,0))</f>
        <v>25</v>
      </c>
      <c r="O35" s="1070">
        <v>3.1536000000000002E-2</v>
      </c>
      <c r="P35" s="1067">
        <f>INDEX('86 AEC 100MW'!$C$6:$F$39,MATCH(SUP_H2_Production!P$10,'86 AEC 100MW'!$B$6:$B$39,0),MATCH(SUP_H2_Production!$G35,'86 AEC 100MW'!$C$4:$F$4,0))/$J35/1000*7.45</f>
        <v>7.2819548872180446</v>
      </c>
      <c r="Q35" s="1067">
        <f>INDEX('86 AEC 100MW'!$C$6:$F$39,MATCH(SUP_H2_Production!Q$10,'86 AEC 100MW'!$B$6:$B$39,0),MATCH(SUP_H2_Production!$G35,'86 AEC 100MW'!$C$4:$F$4,0))/$J35/1000*7.45</f>
        <v>2.2406015037593985E-2</v>
      </c>
      <c r="R35" s="1067"/>
      <c r="S35" s="1006">
        <v>0.5</v>
      </c>
      <c r="T35" s="1006" t="s">
        <v>1734</v>
      </c>
      <c r="U35" s="1006"/>
      <c r="W35" s="1232"/>
      <c r="X35" s="1232"/>
      <c r="Y35" s="1232"/>
    </row>
    <row r="36" spans="2:25" customFormat="1" ht="14.4">
      <c r="B36" s="1232"/>
      <c r="C36" s="1232"/>
      <c r="D36" s="1232"/>
      <c r="E36" s="1232"/>
      <c r="F36" s="1232" t="s">
        <v>216</v>
      </c>
      <c r="G36" s="1232"/>
      <c r="H36" s="241"/>
      <c r="I36" s="1232"/>
      <c r="J36" s="1240" t="s">
        <v>124</v>
      </c>
      <c r="K36" s="141"/>
      <c r="L36" s="1067">
        <f>INDEX('86 AEC 100MW'!$C$6:$F$39,MATCH(SUP_H2_Production!L$10,'86 AEC 100MW'!$B$6:$B$39,0),MATCH(SUP_H2_Production!$G35,'86 AEC 100MW'!$C$4:$F$4,0))/100</f>
        <v>0.18389138913891387</v>
      </c>
      <c r="M36" s="1232"/>
      <c r="N36" s="281"/>
      <c r="O36" s="103"/>
      <c r="P36" s="141"/>
      <c r="Q36" s="141"/>
      <c r="R36" s="1232"/>
      <c r="S36" s="1232"/>
      <c r="T36" s="1232"/>
      <c r="U36" s="1232"/>
      <c r="W36" s="1232"/>
      <c r="X36" s="1232"/>
      <c r="Y36" s="1232"/>
    </row>
    <row r="37" spans="2:25" customFormat="1" ht="14.4">
      <c r="B37" s="1232"/>
      <c r="C37" s="1232"/>
      <c r="D37" s="1006" t="s">
        <v>71</v>
      </c>
      <c r="E37" s="1006" t="s">
        <v>1314</v>
      </c>
      <c r="F37" s="1006"/>
      <c r="G37" s="1006">
        <v>2030</v>
      </c>
      <c r="H37" s="1066" t="s">
        <v>70</v>
      </c>
      <c r="I37" s="1006"/>
      <c r="J37" s="1067">
        <f>INDEX('86 AEC 100MW'!$C$6:$F$39,MATCH(SUP_H2_Production!J$10,'86 AEC 100MW'!$B$6:$B$39,0),MATCH(SUP_H2_Production!$G37,'86 AEC 100MW'!$C$4:$F$4,0))/100</f>
        <v>0.68</v>
      </c>
      <c r="K37" s="1067"/>
      <c r="L37" s="1067"/>
      <c r="M37" s="1067">
        <f>(100-INDEX('86 AEC 100MW'!$C$6:$F$39,MATCH(SUP_H2_Production!M$10,'86 AEC 100MW'!$B$6:$B$39,0),MATCH(SUP_H2_Production!$G37,'86 AEC 100MW'!$C$4:$F$4,0)))/100</f>
        <v>0.98</v>
      </c>
      <c r="N37" s="1069">
        <f>INDEX('86 AEC 100MW'!$C$6:$F$39,MATCH(SUP_H2_Production!N$10,'86 AEC 100MW'!$B$6:$B$39,0),MATCH(SUP_H2_Production!$G37,'86 AEC 100MW'!$C$4:$F$4,0))</f>
        <v>30</v>
      </c>
      <c r="O37" s="1070">
        <v>3.1536000000000002E-2</v>
      </c>
      <c r="P37" s="1067">
        <f>INDEX('86 AEC 100MW'!$C$6:$F$39,MATCH(SUP_H2_Production!P$10,'86 AEC 100MW'!$B$6:$B$39,0),MATCH(SUP_H2_Production!$G37,'86 AEC 100MW'!$C$4:$F$4,0))/$J37/1000*7.45</f>
        <v>4.930147058823529</v>
      </c>
      <c r="Q37" s="1067">
        <f>INDEX('86 AEC 100MW'!$C$6:$F$39,MATCH(SUP_H2_Production!Q$10,'86 AEC 100MW'!$B$6:$B$39,0),MATCH(SUP_H2_Production!$G37,'86 AEC 100MW'!$C$4:$F$4,0))/$J37/1000*7.45</f>
        <v>2.1911764705882353E-2</v>
      </c>
      <c r="R37" s="1067"/>
      <c r="S37" s="1006"/>
      <c r="T37" s="1006"/>
      <c r="U37" s="1006"/>
      <c r="W37" s="1232"/>
      <c r="X37" s="1232"/>
      <c r="Y37" s="1232"/>
    </row>
    <row r="38" spans="2:25" customFormat="1" ht="14.4">
      <c r="B38" s="1232"/>
      <c r="C38" s="1232"/>
      <c r="D38" s="1006"/>
      <c r="E38" s="1006"/>
      <c r="F38" s="1006" t="s">
        <v>216</v>
      </c>
      <c r="G38" s="1006"/>
      <c r="H38" s="1066"/>
      <c r="I38" s="1006"/>
      <c r="J38" s="1067"/>
      <c r="K38" s="1067"/>
      <c r="L38" s="1067">
        <f>INDEX('86 AEC 100MW'!$C$6:$F$39,MATCH(SUP_H2_Production!L$10,'86 AEC 100MW'!$B$6:$B$39,0),MATCH(SUP_H2_Production!$G37,'86 AEC 100MW'!$C$4:$F$4,0))/100</f>
        <v>0.16615961596159623</v>
      </c>
      <c r="M38" s="1006"/>
      <c r="N38" s="1069"/>
      <c r="O38" s="1070"/>
      <c r="P38" s="1067"/>
      <c r="Q38" s="1067"/>
      <c r="R38" s="1006"/>
      <c r="S38" s="1006"/>
      <c r="T38" s="1006"/>
      <c r="U38" s="1006"/>
      <c r="W38" s="1232"/>
      <c r="X38" s="1232"/>
      <c r="Y38" s="1232"/>
    </row>
    <row r="39" spans="2:25" customFormat="1" ht="14.4">
      <c r="B39" s="1232"/>
      <c r="C39" s="1232"/>
      <c r="D39" s="1006" t="s">
        <v>71</v>
      </c>
      <c r="E39" s="1006" t="s">
        <v>1314</v>
      </c>
      <c r="F39" s="1006"/>
      <c r="G39" s="1006">
        <v>2040</v>
      </c>
      <c r="H39" s="1066" t="s">
        <v>70</v>
      </c>
      <c r="I39" s="1006"/>
      <c r="J39" s="1067">
        <f>INDEX('86 AEC 100MW'!$C$6:$F$39,MATCH(SUP_H2_Production!J$10,'86 AEC 100MW'!$B$6:$B$39,0),MATCH(SUP_H2_Production!$G39,'86 AEC 100MW'!$C$4:$F$4,0))/100</f>
        <v>0.71499999999999997</v>
      </c>
      <c r="K39" s="1067"/>
      <c r="L39" s="1067"/>
      <c r="M39" s="1067">
        <f>(100-INDEX('86 AEC 100MW'!$C$6:$F$39,MATCH(SUP_H2_Production!M$10,'86 AEC 100MW'!$B$6:$B$39,0),MATCH(SUP_H2_Production!$G39,'86 AEC 100MW'!$C$4:$F$4,0)))/100</f>
        <v>0.98</v>
      </c>
      <c r="N39" s="1069">
        <f>INDEX('86 AEC 100MW'!$C$6:$F$39,MATCH(SUP_H2_Production!N$10,'86 AEC 100MW'!$B$6:$B$39,0),MATCH(SUP_H2_Production!$G39,'86 AEC 100MW'!$C$4:$F$4,0))</f>
        <v>32</v>
      </c>
      <c r="O39" s="1070">
        <v>3.1536000000000002E-2</v>
      </c>
      <c r="P39" s="1067">
        <f>INDEX('86 AEC 100MW'!$C$6:$F$39,MATCH(SUP_H2_Production!P$10,'86 AEC 100MW'!$B$6:$B$39,0),MATCH(SUP_H2_Production!$G39,'86 AEC 100MW'!$C$4:$F$4,0))/$J39/1000*7.45</f>
        <v>3.1258741258741258</v>
      </c>
      <c r="Q39" s="1067">
        <f>INDEX('86 AEC 100MW'!$C$6:$F$39,MATCH(SUP_H2_Production!Q$10,'86 AEC 100MW'!$B$6:$B$39,0),MATCH(SUP_H2_Production!$G39,'86 AEC 100MW'!$C$4:$F$4,0))/$J39/1000*7.45</f>
        <v>2.0839160839160844E-2</v>
      </c>
      <c r="R39" s="1067"/>
      <c r="S39" s="1006"/>
      <c r="T39" s="1006"/>
      <c r="U39" s="1006"/>
      <c r="W39" s="1232"/>
      <c r="X39" s="1232"/>
      <c r="Y39" s="1232"/>
    </row>
    <row r="40" spans="2:25" customFormat="1" ht="14.4">
      <c r="B40" s="1232"/>
      <c r="C40" s="1232"/>
      <c r="D40" s="1006"/>
      <c r="E40" s="1006"/>
      <c r="F40" s="1006" t="s">
        <v>216</v>
      </c>
      <c r="G40" s="1006"/>
      <c r="H40" s="1066"/>
      <c r="I40" s="1006"/>
      <c r="J40" s="1067"/>
      <c r="K40" s="1067"/>
      <c r="L40" s="1067">
        <f>INDEX('86 AEC 100MW'!$C$6:$F$39,MATCH(SUP_H2_Production!L$10,'86 AEC 100MW'!$B$6:$B$39,0),MATCH(SUP_H2_Production!$G39,'86 AEC 100MW'!$C$4:$F$4,0))/100</f>
        <v>0.12478547854785489</v>
      </c>
      <c r="M40" s="1006"/>
      <c r="N40" s="1069"/>
      <c r="O40" s="1070"/>
      <c r="P40" s="1067"/>
      <c r="Q40" s="1067"/>
      <c r="R40" s="1006"/>
      <c r="S40" s="1006"/>
      <c r="T40" s="1006"/>
      <c r="U40" s="1006"/>
      <c r="W40" s="1232"/>
      <c r="X40" s="1232"/>
      <c r="Y40" s="1232"/>
    </row>
    <row r="41" spans="2:25" customFormat="1" ht="14.4">
      <c r="B41" s="1232"/>
      <c r="C41" s="1232"/>
      <c r="D41" s="1006" t="s">
        <v>71</v>
      </c>
      <c r="E41" s="1006" t="s">
        <v>1314</v>
      </c>
      <c r="F41" s="1006"/>
      <c r="G41" s="1006">
        <v>2050</v>
      </c>
      <c r="H41" s="1066" t="s">
        <v>70</v>
      </c>
      <c r="I41" s="1006"/>
      <c r="J41" s="1067">
        <f>INDEX('86 AEC 100MW'!$C$6:$F$39,MATCH(SUP_H2_Production!J$10,'86 AEC 100MW'!$B$6:$B$39,0),MATCH(SUP_H2_Production!$G41,'86 AEC 100MW'!$C$4:$F$4,0))/100</f>
        <v>0.75</v>
      </c>
      <c r="K41" s="1067"/>
      <c r="L41" s="1067"/>
      <c r="M41" s="1067">
        <f>(100-INDEX('86 AEC 100MW'!$C$6:$F$39,MATCH(SUP_H2_Production!M$10,'86 AEC 100MW'!$B$6:$B$39,0),MATCH(SUP_H2_Production!$G41,'86 AEC 100MW'!$C$4:$F$4,0)))/100</f>
        <v>0.98</v>
      </c>
      <c r="N41" s="1069">
        <f>INDEX('86 AEC 100MW'!$C$6:$F$39,MATCH(SUP_H2_Production!N$10,'86 AEC 100MW'!$B$6:$B$39,0),MATCH(SUP_H2_Production!$G41,'86 AEC 100MW'!$C$4:$F$4,0))</f>
        <v>35</v>
      </c>
      <c r="O41" s="1070">
        <v>3.1536000000000002E-2</v>
      </c>
      <c r="P41" s="1067">
        <f>INDEX('86 AEC 100MW'!$C$6:$F$39,MATCH(SUP_H2_Production!P$10,'86 AEC 100MW'!$B$6:$B$39,0),MATCH(SUP_H2_Production!$G41,'86 AEC 100MW'!$C$4:$F$4,0))/$J41/1000*7.45</f>
        <v>2.4833333333333334</v>
      </c>
      <c r="Q41" s="1067">
        <f>INDEX('86 AEC 100MW'!$C$6:$F$39,MATCH(SUP_H2_Production!Q$10,'86 AEC 100MW'!$B$6:$B$39,0),MATCH(SUP_H2_Production!$G41,'86 AEC 100MW'!$C$4:$F$4,0))/$J41/1000*7.45</f>
        <v>1.9866666666666668E-2</v>
      </c>
      <c r="R41" s="1067"/>
      <c r="S41" s="1006"/>
      <c r="T41" s="1006"/>
      <c r="U41" s="1006"/>
      <c r="W41" s="1232"/>
      <c r="X41" s="1232"/>
      <c r="Y41" s="1232"/>
    </row>
    <row r="42" spans="2:25" customFormat="1" ht="15" thickBot="1">
      <c r="B42" s="107"/>
      <c r="C42" s="107"/>
      <c r="D42" s="107"/>
      <c r="E42" s="107"/>
      <c r="F42" s="107" t="s">
        <v>216</v>
      </c>
      <c r="G42" s="107"/>
      <c r="H42" s="256"/>
      <c r="I42" s="107"/>
      <c r="J42" s="151"/>
      <c r="K42" s="151"/>
      <c r="L42" s="151">
        <f>INDEX('86 AEC 100MW'!$C$6:$F$39,MATCH(SUP_H2_Production!L$10,'86 AEC 100MW'!$B$6:$B$39,0),MATCH(SUP_H2_Production!$G41,'86 AEC 100MW'!$C$4:$F$4,0))/100</f>
        <v>8.3411341134113429E-2</v>
      </c>
      <c r="M42" s="107"/>
      <c r="N42" s="107"/>
      <c r="O42" s="107"/>
      <c r="P42" s="257"/>
      <c r="Q42" s="257"/>
      <c r="R42" s="107"/>
      <c r="S42" s="107"/>
      <c r="T42" s="107"/>
      <c r="U42" s="1006"/>
      <c r="W42" s="1232"/>
      <c r="X42" s="1232"/>
      <c r="Y42" s="1232"/>
    </row>
    <row r="43" spans="2:25" customFormat="1" ht="14.4">
      <c r="B43" s="1232" t="s">
        <v>1740</v>
      </c>
      <c r="C43" s="1232" t="s">
        <v>1732</v>
      </c>
      <c r="D43" s="1006" t="s">
        <v>71</v>
      </c>
      <c r="E43" s="1006" t="s">
        <v>348</v>
      </c>
      <c r="F43" s="1006"/>
      <c r="G43" s="1006">
        <v>2020</v>
      </c>
      <c r="H43" s="1066" t="s">
        <v>70</v>
      </c>
      <c r="I43" s="1006">
        <v>2020</v>
      </c>
      <c r="J43" s="1067">
        <f>INDEX('86 AEC 100MW'!$C$6:$F$39,MATCH(SUP_H2_Production!J$10,'86 AEC 100MW'!$B$6:$B$39,0),MATCH(SUP_H2_Production!$G43,'86 AEC 100MW'!$C$4:$F$4,0))/100</f>
        <v>0.66500000000000004</v>
      </c>
      <c r="K43" s="1067"/>
      <c r="L43" s="1067"/>
      <c r="M43" s="1067">
        <f>(100-INDEX('86 AEC 100MW'!$C$6:$F$39,MATCH(SUP_H2_Production!M$10,'86 AEC 100MW'!$B$6:$B$39,0),MATCH(SUP_H2_Production!$G43,'86 AEC 100MW'!$C$4:$F$4,0)))/100</f>
        <v>0.98</v>
      </c>
      <c r="N43" s="1069">
        <f>INDEX('86 AEC 100MW'!$C$6:$F$39,MATCH(SUP_H2_Production!N$10,'86 AEC 100MW'!$B$6:$B$39,0),MATCH(SUP_H2_Production!$G43,'86 AEC 100MW'!$C$4:$F$4,0))</f>
        <v>25</v>
      </c>
      <c r="O43" s="1070">
        <v>3.1536000000000002E-2</v>
      </c>
      <c r="P43" s="1067">
        <f>INDEX('86 AEC 100MW'!$C$6:$F$39,MATCH(SUP_H2_Production!P$10,'86 AEC 100MW'!$B$6:$B$39,0),MATCH(SUP_H2_Production!$G43,'86 AEC 100MW'!$C$4:$F$4,0))/$J43/1000*7.45</f>
        <v>7.2819548872180446</v>
      </c>
      <c r="Q43" s="1067">
        <f>INDEX('86 AEC 100MW'!$C$6:$F$39,MATCH(SUP_H2_Production!Q$10,'86 AEC 100MW'!$B$6:$B$39,0),MATCH(SUP_H2_Production!$G43,'86 AEC 100MW'!$C$4:$F$4,0))/$J43/1000*7.45</f>
        <v>2.2406015037593985E-2</v>
      </c>
      <c r="R43" s="1067"/>
      <c r="S43" s="1006">
        <v>0.5</v>
      </c>
      <c r="T43" s="1006" t="s">
        <v>1734</v>
      </c>
      <c r="U43" s="1006"/>
      <c r="W43" s="1232"/>
      <c r="X43" s="1232"/>
      <c r="Y43" s="1232"/>
    </row>
    <row r="44" spans="2:25" customFormat="1" ht="14.4">
      <c r="B44" s="1232"/>
      <c r="C44" s="1232"/>
      <c r="D44" s="1232"/>
      <c r="E44" s="1232"/>
      <c r="F44" s="1232" t="s">
        <v>259</v>
      </c>
      <c r="G44" s="1232"/>
      <c r="H44" s="241"/>
      <c r="I44" s="1232"/>
      <c r="J44" s="1240" t="s">
        <v>124</v>
      </c>
      <c r="K44" s="141"/>
      <c r="L44" s="1067">
        <f>INDEX('86 AEC 100MW'!$C$6:$F$39,MATCH(SUP_H2_Production!L$10,'86 AEC 100MW'!$B$6:$B$39,0),MATCH(SUP_H2_Production!$G43,'86 AEC 100MW'!$C$4:$F$4,0))/100</f>
        <v>0.18389138913891387</v>
      </c>
      <c r="M44" s="1232"/>
      <c r="N44" s="281"/>
      <c r="O44" s="103"/>
      <c r="P44" s="141"/>
      <c r="Q44" s="141"/>
      <c r="R44" s="1232"/>
      <c r="S44" s="1232"/>
      <c r="T44" s="1232"/>
      <c r="U44" s="1232"/>
      <c r="W44" s="1232"/>
      <c r="X44" s="1232"/>
      <c r="Y44" s="1232"/>
    </row>
    <row r="45" spans="2:25" customFormat="1" ht="14.4">
      <c r="B45" s="1232"/>
      <c r="C45" s="1232"/>
      <c r="D45" s="1006" t="s">
        <v>71</v>
      </c>
      <c r="E45" s="1006" t="s">
        <v>348</v>
      </c>
      <c r="F45" s="1006"/>
      <c r="G45" s="1006">
        <v>2030</v>
      </c>
      <c r="H45" s="1066" t="s">
        <v>70</v>
      </c>
      <c r="I45" s="1006"/>
      <c r="J45" s="1067">
        <f>INDEX('86 AEC 100MW'!$C$6:$F$39,MATCH(SUP_H2_Production!J$10,'86 AEC 100MW'!$B$6:$B$39,0),MATCH(SUP_H2_Production!$G45,'86 AEC 100MW'!$C$4:$F$4,0))/100</f>
        <v>0.68</v>
      </c>
      <c r="K45" s="1067"/>
      <c r="L45" s="1067"/>
      <c r="M45" s="1067">
        <f>(100-INDEX('86 AEC 100MW'!$C$6:$F$39,MATCH(SUP_H2_Production!M$10,'86 AEC 100MW'!$B$6:$B$39,0),MATCH(SUP_H2_Production!$G45,'86 AEC 100MW'!$C$4:$F$4,0)))/100</f>
        <v>0.98</v>
      </c>
      <c r="N45" s="1069">
        <f>INDEX('86 AEC 100MW'!$C$6:$F$39,MATCH(SUP_H2_Production!N$10,'86 AEC 100MW'!$B$6:$B$39,0),MATCH(SUP_H2_Production!$G45,'86 AEC 100MW'!$C$4:$F$4,0))</f>
        <v>30</v>
      </c>
      <c r="O45" s="1070">
        <v>3.1536000000000002E-2</v>
      </c>
      <c r="P45" s="1067">
        <f>INDEX('86 AEC 100MW'!$C$6:$F$39,MATCH(SUP_H2_Production!P$10,'86 AEC 100MW'!$B$6:$B$39,0),MATCH(SUP_H2_Production!$G45,'86 AEC 100MW'!$C$4:$F$4,0))/$J45/1000*7.45</f>
        <v>4.930147058823529</v>
      </c>
      <c r="Q45" s="1067">
        <f>INDEX('86 AEC 100MW'!$C$6:$F$39,MATCH(SUP_H2_Production!Q$10,'86 AEC 100MW'!$B$6:$B$39,0),MATCH(SUP_H2_Production!$G45,'86 AEC 100MW'!$C$4:$F$4,0))/$J45/1000*7.45</f>
        <v>2.1911764705882353E-2</v>
      </c>
      <c r="R45" s="1067"/>
      <c r="S45" s="1006"/>
      <c r="T45" s="1006"/>
      <c r="U45" s="1006"/>
      <c r="W45" s="1232"/>
      <c r="X45" s="1232"/>
      <c r="Y45" s="1232"/>
    </row>
    <row r="46" spans="2:25">
      <c r="B46" s="1232"/>
      <c r="C46" s="1232"/>
      <c r="D46" s="1006"/>
      <c r="E46" s="1006"/>
      <c r="F46" s="1232" t="s">
        <v>259</v>
      </c>
      <c r="G46" s="1006"/>
      <c r="H46" s="1066"/>
      <c r="I46" s="1006"/>
      <c r="J46" s="1067"/>
      <c r="K46" s="1067"/>
      <c r="L46" s="1067">
        <f>INDEX('86 AEC 100MW'!$C$6:$F$39,MATCH(SUP_H2_Production!L$10,'86 AEC 100MW'!$B$6:$B$39,0),MATCH(SUP_H2_Production!$G45,'86 AEC 100MW'!$C$4:$F$4,0))/100</f>
        <v>0.16615961596159623</v>
      </c>
      <c r="M46" s="1006"/>
      <c r="N46" s="1069"/>
      <c r="O46" s="1070"/>
      <c r="P46" s="1067"/>
      <c r="Q46" s="1067"/>
      <c r="R46" s="1006"/>
      <c r="S46" s="1006"/>
      <c r="T46" s="1006"/>
      <c r="U46" s="1006"/>
    </row>
    <row r="47" spans="2:25">
      <c r="B47" s="1232"/>
      <c r="C47" s="1232"/>
      <c r="D47" s="1006" t="s">
        <v>71</v>
      </c>
      <c r="E47" s="1006" t="s">
        <v>348</v>
      </c>
      <c r="F47" s="1006"/>
      <c r="G47" s="1006">
        <v>2040</v>
      </c>
      <c r="H47" s="1066" t="s">
        <v>70</v>
      </c>
      <c r="I47" s="1006"/>
      <c r="J47" s="1067">
        <f>INDEX('86 AEC 100MW'!$C$6:$F$39,MATCH(SUP_H2_Production!J$10,'86 AEC 100MW'!$B$6:$B$39,0),MATCH(SUP_H2_Production!$G47,'86 AEC 100MW'!$C$4:$F$4,0))/100</f>
        <v>0.71499999999999997</v>
      </c>
      <c r="K47" s="1067"/>
      <c r="L47" s="1067"/>
      <c r="M47" s="1067">
        <f>(100-INDEX('86 AEC 100MW'!$C$6:$F$39,MATCH(SUP_H2_Production!M$10,'86 AEC 100MW'!$B$6:$B$39,0),MATCH(SUP_H2_Production!$G47,'86 AEC 100MW'!$C$4:$F$4,0)))/100</f>
        <v>0.98</v>
      </c>
      <c r="N47" s="1069">
        <f>INDEX('86 AEC 100MW'!$C$6:$F$39,MATCH(SUP_H2_Production!N$10,'86 AEC 100MW'!$B$6:$B$39,0),MATCH(SUP_H2_Production!$G47,'86 AEC 100MW'!$C$4:$F$4,0))</f>
        <v>32</v>
      </c>
      <c r="O47" s="1070">
        <v>3.1536000000000002E-2</v>
      </c>
      <c r="P47" s="1067">
        <f>INDEX('86 AEC 100MW'!$C$6:$F$39,MATCH(SUP_H2_Production!P$10,'86 AEC 100MW'!$B$6:$B$39,0),MATCH(SUP_H2_Production!$G47,'86 AEC 100MW'!$C$4:$F$4,0))/$J47/1000*7.45</f>
        <v>3.1258741258741258</v>
      </c>
      <c r="Q47" s="1067">
        <f>INDEX('86 AEC 100MW'!$C$6:$F$39,MATCH(SUP_H2_Production!Q$10,'86 AEC 100MW'!$B$6:$B$39,0),MATCH(SUP_H2_Production!$G47,'86 AEC 100MW'!$C$4:$F$4,0))/$J47/1000*7.45</f>
        <v>2.0839160839160844E-2</v>
      </c>
      <c r="R47" s="1067"/>
      <c r="S47" s="1006"/>
      <c r="T47" s="1006"/>
      <c r="U47" s="1006"/>
    </row>
    <row r="48" spans="2:25">
      <c r="B48" s="1232"/>
      <c r="C48" s="1232"/>
      <c r="D48" s="1006"/>
      <c r="E48" s="1006"/>
      <c r="F48" s="1232" t="s">
        <v>259</v>
      </c>
      <c r="G48" s="1006"/>
      <c r="H48" s="1066"/>
      <c r="I48" s="1006"/>
      <c r="J48" s="1067"/>
      <c r="K48" s="1067"/>
      <c r="L48" s="1067">
        <f>INDEX('86 AEC 100MW'!$C$6:$F$39,MATCH(SUP_H2_Production!L$10,'86 AEC 100MW'!$B$6:$B$39,0),MATCH(SUP_H2_Production!$G47,'86 AEC 100MW'!$C$4:$F$4,0))/100</f>
        <v>0.12478547854785489</v>
      </c>
      <c r="M48" s="1006"/>
      <c r="N48" s="1069"/>
      <c r="O48" s="1070"/>
      <c r="P48" s="1067"/>
      <c r="Q48" s="1067"/>
      <c r="R48" s="1006"/>
      <c r="S48" s="1006"/>
      <c r="T48" s="1006"/>
      <c r="U48" s="1006"/>
    </row>
    <row r="49" spans="2:22" ht="14.4">
      <c r="B49" s="1232"/>
      <c r="C49" s="1232"/>
      <c r="D49" s="1006" t="s">
        <v>71</v>
      </c>
      <c r="E49" s="1006" t="s">
        <v>348</v>
      </c>
      <c r="F49" s="1006"/>
      <c r="G49" s="1006">
        <v>2050</v>
      </c>
      <c r="H49" s="1066" t="s">
        <v>70</v>
      </c>
      <c r="I49" s="1006"/>
      <c r="J49" s="1067">
        <f>INDEX('86 AEC 100MW'!$C$6:$F$39,MATCH(SUP_H2_Production!J$10,'86 AEC 100MW'!$B$6:$B$39,0),MATCH(SUP_H2_Production!$G49,'86 AEC 100MW'!$C$4:$F$4,0))/100</f>
        <v>0.75</v>
      </c>
      <c r="K49" s="1067"/>
      <c r="L49" s="1067"/>
      <c r="M49" s="1067">
        <f>(100-INDEX('86 AEC 100MW'!$C$6:$F$39,MATCH(SUP_H2_Production!M$10,'86 AEC 100MW'!$B$6:$B$39,0),MATCH(SUP_H2_Production!$G49,'86 AEC 100MW'!$C$4:$F$4,0)))/100</f>
        <v>0.98</v>
      </c>
      <c r="N49" s="1069">
        <f>INDEX('86 AEC 100MW'!$C$6:$F$39,MATCH(SUP_H2_Production!N$10,'86 AEC 100MW'!$B$6:$B$39,0),MATCH(SUP_H2_Production!$G49,'86 AEC 100MW'!$C$4:$F$4,0))</f>
        <v>35</v>
      </c>
      <c r="O49" s="1070">
        <v>3.1536000000000002E-2</v>
      </c>
      <c r="P49" s="1067">
        <f>INDEX('86 AEC 100MW'!$C$6:$F$39,MATCH(SUP_H2_Production!P$10,'86 AEC 100MW'!$B$6:$B$39,0),MATCH(SUP_H2_Production!$G49,'86 AEC 100MW'!$C$4:$F$4,0))/$J49/1000*7.45</f>
        <v>2.4833333333333334</v>
      </c>
      <c r="Q49" s="1067">
        <f>INDEX('86 AEC 100MW'!$C$6:$F$39,MATCH(SUP_H2_Production!Q$10,'86 AEC 100MW'!$B$6:$B$39,0),MATCH(SUP_H2_Production!$G49,'86 AEC 100MW'!$C$4:$F$4,0))/$J49/1000*7.45</f>
        <v>1.9866666666666668E-2</v>
      </c>
      <c r="R49" s="1067"/>
      <c r="S49" s="1006"/>
      <c r="T49" s="1006"/>
      <c r="U49" s="1006"/>
      <c r="V49"/>
    </row>
    <row r="50" spans="2:22" ht="13.8" thickBot="1">
      <c r="B50" s="107"/>
      <c r="C50" s="107"/>
      <c r="D50" s="107"/>
      <c r="E50" s="107"/>
      <c r="F50" s="107" t="s">
        <v>259</v>
      </c>
      <c r="G50" s="107"/>
      <c r="H50" s="256"/>
      <c r="I50" s="107"/>
      <c r="J50" s="151"/>
      <c r="K50" s="151"/>
      <c r="L50" s="151">
        <f>INDEX('86 AEC 100MW'!$C$6:$F$39,MATCH(SUP_H2_Production!L$10,'86 AEC 100MW'!$B$6:$B$39,0),MATCH(SUP_H2_Production!$G49,'86 AEC 100MW'!$C$4:$F$4,0))/100</f>
        <v>8.3411341134113429E-2</v>
      </c>
      <c r="M50" s="107"/>
      <c r="N50" s="107"/>
      <c r="O50" s="107"/>
      <c r="P50" s="257"/>
      <c r="Q50" s="257"/>
      <c r="R50" s="107"/>
      <c r="S50" s="107"/>
      <c r="T50" s="107"/>
      <c r="U50" s="1006"/>
    </row>
    <row r="51" spans="2:22">
      <c r="B51" s="1232" t="s">
        <v>1741</v>
      </c>
      <c r="C51" s="1232" t="s">
        <v>1733</v>
      </c>
      <c r="D51" s="1006" t="s">
        <v>71</v>
      </c>
      <c r="E51" s="1006" t="s">
        <v>1314</v>
      </c>
      <c r="F51" s="1006"/>
      <c r="G51" s="1006">
        <v>2020</v>
      </c>
      <c r="H51" s="1066" t="s">
        <v>70</v>
      </c>
      <c r="I51" s="1006">
        <v>2020</v>
      </c>
      <c r="J51" s="1067">
        <f>INDEX('86 AEC 100MW'!$C$6:$F$39,MATCH(SUP_H2_Production!J$10,'86 AEC 100MW'!$B$6:$B$39,0),MATCH(SUP_H2_Production!$G51,'86 AEC 100MW'!$C$4:$F$4,0))/100</f>
        <v>0.66500000000000004</v>
      </c>
      <c r="K51" s="1067"/>
      <c r="L51" s="1067"/>
      <c r="M51" s="1067">
        <f>(100-INDEX('86 AEC 100MW'!$C$6:$F$39,MATCH(SUP_H2_Production!M$10,'86 AEC 100MW'!$B$6:$B$39,0),MATCH(SUP_H2_Production!$G51,'86 AEC 100MW'!$C$4:$F$4,0)))/100</f>
        <v>0.98</v>
      </c>
      <c r="N51" s="1069">
        <f>INDEX('86 AEC 100MW'!$C$6:$F$39,MATCH(SUP_H2_Production!N$10,'86 AEC 100MW'!$B$6:$B$39,0),MATCH(SUP_H2_Production!$G51,'86 AEC 100MW'!$C$4:$F$4,0))</f>
        <v>25</v>
      </c>
      <c r="O51" s="1070">
        <v>3.1536000000000002E-2</v>
      </c>
      <c r="P51" s="1067">
        <f>INDEX('86 AEC 100MW'!$C$6:$F$39,MATCH(SUP_H2_Production!P$10,'86 AEC 100MW'!$B$6:$B$39,0),MATCH(SUP_H2_Production!$G51,'86 AEC 100MW'!$C$4:$F$4,0))/$J51/1000*7.45</f>
        <v>7.2819548872180446</v>
      </c>
      <c r="Q51" s="1067">
        <f>INDEX('86 AEC 100MW'!$C$6:$F$39,MATCH(SUP_H2_Production!Q$10,'86 AEC 100MW'!$B$6:$B$39,0),MATCH(SUP_H2_Production!$G51,'86 AEC 100MW'!$C$4:$F$4,0))/$J51/1000*7.45</f>
        <v>2.2406015037593985E-2</v>
      </c>
      <c r="R51" s="1067"/>
      <c r="S51" s="1006">
        <v>0.5</v>
      </c>
      <c r="T51" s="1006" t="s">
        <v>1734</v>
      </c>
      <c r="U51" s="1006"/>
    </row>
    <row r="52" spans="2:22">
      <c r="B52" s="1232"/>
      <c r="C52" s="1232"/>
      <c r="D52" s="1232"/>
      <c r="E52" s="1232"/>
      <c r="F52" s="1232"/>
      <c r="G52" s="1232"/>
      <c r="H52" s="241"/>
      <c r="I52" s="1232"/>
      <c r="J52" s="1240" t="s">
        <v>124</v>
      </c>
      <c r="K52" s="141"/>
      <c r="L52" s="1067">
        <f>INDEX('86 AEC 100MW'!$C$6:$F$39,MATCH(SUP_H2_Production!L$10,'86 AEC 100MW'!$B$6:$B$39,0),MATCH(SUP_H2_Production!$G51,'86 AEC 100MW'!$C$4:$F$4,0))/100</f>
        <v>0.18389138913891387</v>
      </c>
      <c r="M52" s="1232"/>
      <c r="N52" s="281"/>
      <c r="O52" s="103"/>
      <c r="P52" s="141"/>
      <c r="Q52" s="141"/>
      <c r="R52" s="1232"/>
      <c r="S52" s="1232"/>
      <c r="T52" s="1232"/>
    </row>
    <row r="53" spans="2:22">
      <c r="B53" s="1232"/>
      <c r="C53" s="1232"/>
      <c r="D53" s="1006" t="s">
        <v>71</v>
      </c>
      <c r="E53" s="1006" t="s">
        <v>1314</v>
      </c>
      <c r="F53" s="1006"/>
      <c r="G53" s="1006">
        <v>2030</v>
      </c>
      <c r="H53" s="1066" t="s">
        <v>70</v>
      </c>
      <c r="I53" s="1006"/>
      <c r="J53" s="1067">
        <f>INDEX('86 AEC 100MW'!$C$6:$F$39,MATCH(SUP_H2_Production!J$10,'86 AEC 100MW'!$B$6:$B$39,0),MATCH(SUP_H2_Production!$G53,'86 AEC 100MW'!$C$4:$F$4,0))/100</f>
        <v>0.68</v>
      </c>
      <c r="K53" s="1067"/>
      <c r="L53" s="1067"/>
      <c r="M53" s="1067">
        <f>(100-INDEX('86 AEC 100MW'!$C$6:$F$39,MATCH(SUP_H2_Production!M$10,'86 AEC 100MW'!$B$6:$B$39,0),MATCH(SUP_H2_Production!$G53,'86 AEC 100MW'!$C$4:$F$4,0)))/100</f>
        <v>0.98</v>
      </c>
      <c r="N53" s="1069">
        <f>INDEX('86 AEC 100MW'!$C$6:$F$39,MATCH(SUP_H2_Production!N$10,'86 AEC 100MW'!$B$6:$B$39,0),MATCH(SUP_H2_Production!$G53,'86 AEC 100MW'!$C$4:$F$4,0))</f>
        <v>30</v>
      </c>
      <c r="O53" s="1070">
        <v>3.1536000000000002E-2</v>
      </c>
      <c r="P53" s="1067">
        <f>INDEX('86 AEC 100MW'!$C$6:$F$39,MATCH(SUP_H2_Production!P$10,'86 AEC 100MW'!$B$6:$B$39,0),MATCH(SUP_H2_Production!$G53,'86 AEC 100MW'!$C$4:$F$4,0))/$J53/1000*7.45</f>
        <v>4.930147058823529</v>
      </c>
      <c r="Q53" s="1067">
        <f>INDEX('86 AEC 100MW'!$C$6:$F$39,MATCH(SUP_H2_Production!Q$10,'86 AEC 100MW'!$B$6:$B$39,0),MATCH(SUP_H2_Production!$G53,'86 AEC 100MW'!$C$4:$F$4,0))/$J53/1000*7.45</f>
        <v>2.1911764705882353E-2</v>
      </c>
      <c r="R53" s="1067"/>
      <c r="S53" s="1006"/>
      <c r="T53" s="1006"/>
      <c r="U53" s="1006"/>
    </row>
    <row r="54" spans="2:22">
      <c r="B54" s="1232"/>
      <c r="C54" s="1232"/>
      <c r="D54" s="1006"/>
      <c r="E54" s="1006"/>
      <c r="F54" s="1006"/>
      <c r="G54" s="1006"/>
      <c r="H54" s="1066"/>
      <c r="I54" s="1006"/>
      <c r="J54" s="1067"/>
      <c r="K54" s="1067"/>
      <c r="L54" s="1067">
        <f>INDEX('86 AEC 100MW'!$C$6:$F$39,MATCH(SUP_H2_Production!L$10,'86 AEC 100MW'!$B$6:$B$39,0),MATCH(SUP_H2_Production!$G53,'86 AEC 100MW'!$C$4:$F$4,0))/100</f>
        <v>0.16615961596159623</v>
      </c>
      <c r="M54" s="1006"/>
      <c r="N54" s="1069"/>
      <c r="O54" s="1070"/>
      <c r="P54" s="1067"/>
      <c r="Q54" s="1067"/>
      <c r="R54" s="1006"/>
      <c r="S54" s="1006"/>
      <c r="T54" s="1006"/>
      <c r="U54" s="1006"/>
    </row>
    <row r="55" spans="2:22">
      <c r="B55" s="1232"/>
      <c r="C55" s="1232"/>
      <c r="D55" s="1006" t="s">
        <v>71</v>
      </c>
      <c r="E55" s="1006" t="s">
        <v>1314</v>
      </c>
      <c r="F55" s="1006"/>
      <c r="G55" s="1006">
        <v>2040</v>
      </c>
      <c r="H55" s="1066" t="s">
        <v>70</v>
      </c>
      <c r="I55" s="1006"/>
      <c r="J55" s="1067">
        <f>INDEX('86 AEC 100MW'!$C$6:$F$39,MATCH(SUP_H2_Production!J$10,'86 AEC 100MW'!$B$6:$B$39,0),MATCH(SUP_H2_Production!$G55,'86 AEC 100MW'!$C$4:$F$4,0))/100</f>
        <v>0.71499999999999997</v>
      </c>
      <c r="K55" s="1067"/>
      <c r="L55" s="1067"/>
      <c r="M55" s="1067">
        <f>(100-INDEX('86 AEC 100MW'!$C$6:$F$39,MATCH(SUP_H2_Production!M$10,'86 AEC 100MW'!$B$6:$B$39,0),MATCH(SUP_H2_Production!$G55,'86 AEC 100MW'!$C$4:$F$4,0)))/100</f>
        <v>0.98</v>
      </c>
      <c r="N55" s="1069">
        <f>INDEX('86 AEC 100MW'!$C$6:$F$39,MATCH(SUP_H2_Production!N$10,'86 AEC 100MW'!$B$6:$B$39,0),MATCH(SUP_H2_Production!$G55,'86 AEC 100MW'!$C$4:$F$4,0))</f>
        <v>32</v>
      </c>
      <c r="O55" s="1070">
        <v>3.1536000000000002E-2</v>
      </c>
      <c r="P55" s="1067">
        <f>INDEX('86 AEC 100MW'!$C$6:$F$39,MATCH(SUP_H2_Production!P$10,'86 AEC 100MW'!$B$6:$B$39,0),MATCH(SUP_H2_Production!$G55,'86 AEC 100MW'!$C$4:$F$4,0))/$J55/1000*7.45</f>
        <v>3.1258741258741258</v>
      </c>
      <c r="Q55" s="1067">
        <f>INDEX('86 AEC 100MW'!$C$6:$F$39,MATCH(SUP_H2_Production!Q$10,'86 AEC 100MW'!$B$6:$B$39,0),MATCH(SUP_H2_Production!$G55,'86 AEC 100MW'!$C$4:$F$4,0))/$J55/1000*7.45</f>
        <v>2.0839160839160844E-2</v>
      </c>
      <c r="R55" s="1067"/>
      <c r="S55" s="1006"/>
      <c r="T55" s="1006"/>
      <c r="U55" s="1006"/>
    </row>
    <row r="56" spans="2:22">
      <c r="B56" s="1232"/>
      <c r="C56" s="1232"/>
      <c r="D56" s="1006"/>
      <c r="E56" s="1006"/>
      <c r="F56" s="1006"/>
      <c r="G56" s="1006"/>
      <c r="H56" s="1066"/>
      <c r="I56" s="1006"/>
      <c r="J56" s="1067"/>
      <c r="K56" s="1067"/>
      <c r="L56" s="1067">
        <f>INDEX('86 AEC 100MW'!$C$6:$F$39,MATCH(SUP_H2_Production!L$10,'86 AEC 100MW'!$B$6:$B$39,0),MATCH(SUP_H2_Production!$G55,'86 AEC 100MW'!$C$4:$F$4,0))/100</f>
        <v>0.12478547854785489</v>
      </c>
      <c r="M56" s="1006"/>
      <c r="N56" s="1069"/>
      <c r="O56" s="1070"/>
      <c r="P56" s="1067"/>
      <c r="Q56" s="1067"/>
      <c r="R56" s="1006"/>
      <c r="S56" s="1006"/>
      <c r="T56" s="1006"/>
      <c r="U56" s="1006"/>
    </row>
    <row r="57" spans="2:22">
      <c r="B57" s="1232"/>
      <c r="C57" s="1232"/>
      <c r="D57" s="1006" t="s">
        <v>71</v>
      </c>
      <c r="E57" s="1006" t="s">
        <v>1314</v>
      </c>
      <c r="F57" s="1006"/>
      <c r="G57" s="1006">
        <v>2050</v>
      </c>
      <c r="H57" s="1066" t="s">
        <v>70</v>
      </c>
      <c r="I57" s="1006"/>
      <c r="J57" s="1067">
        <f>INDEX('86 AEC 100MW'!$C$6:$F$39,MATCH(SUP_H2_Production!J$10,'86 AEC 100MW'!$B$6:$B$39,0),MATCH(SUP_H2_Production!$G57,'86 AEC 100MW'!$C$4:$F$4,0))/100</f>
        <v>0.75</v>
      </c>
      <c r="K57" s="1067"/>
      <c r="L57" s="1067"/>
      <c r="M57" s="1067">
        <f>(100-INDEX('86 AEC 100MW'!$C$6:$F$39,MATCH(SUP_H2_Production!M$10,'86 AEC 100MW'!$B$6:$B$39,0),MATCH(SUP_H2_Production!$G57,'86 AEC 100MW'!$C$4:$F$4,0)))/100</f>
        <v>0.98</v>
      </c>
      <c r="N57" s="1069">
        <f>INDEX('86 AEC 100MW'!$C$6:$F$39,MATCH(SUP_H2_Production!N$10,'86 AEC 100MW'!$B$6:$B$39,0),MATCH(SUP_H2_Production!$G57,'86 AEC 100MW'!$C$4:$F$4,0))</f>
        <v>35</v>
      </c>
      <c r="O57" s="1070">
        <v>3.1536000000000002E-2</v>
      </c>
      <c r="P57" s="1067">
        <f>INDEX('86 AEC 100MW'!$C$6:$F$39,MATCH(SUP_H2_Production!P$10,'86 AEC 100MW'!$B$6:$B$39,0),MATCH(SUP_H2_Production!$G57,'86 AEC 100MW'!$C$4:$F$4,0))/$J57/1000*7.45</f>
        <v>2.4833333333333334</v>
      </c>
      <c r="Q57" s="1067">
        <f>INDEX('86 AEC 100MW'!$C$6:$F$39,MATCH(SUP_H2_Production!Q$10,'86 AEC 100MW'!$B$6:$B$39,0),MATCH(SUP_H2_Production!$G57,'86 AEC 100MW'!$C$4:$F$4,0))/$J57/1000*7.45</f>
        <v>1.9866666666666668E-2</v>
      </c>
      <c r="R57" s="1067"/>
      <c r="S57" s="1006"/>
      <c r="T57" s="1006"/>
      <c r="U57" s="1006"/>
    </row>
    <row r="58" spans="2:22" ht="13.8" thickBot="1">
      <c r="B58" s="107"/>
      <c r="C58" s="107"/>
      <c r="D58" s="107"/>
      <c r="E58" s="107"/>
      <c r="F58" s="107"/>
      <c r="G58" s="107"/>
      <c r="H58" s="256"/>
      <c r="I58" s="107"/>
      <c r="J58" s="151"/>
      <c r="K58" s="151"/>
      <c r="L58" s="151">
        <f>INDEX('86 AEC 100MW'!$C$6:$F$39,MATCH(SUP_H2_Production!L$10,'86 AEC 100MW'!$B$6:$B$39,0),MATCH(SUP_H2_Production!$G57,'86 AEC 100MW'!$C$4:$F$4,0))/100</f>
        <v>8.3411341134113429E-2</v>
      </c>
      <c r="M58" s="107"/>
      <c r="N58" s="107"/>
      <c r="O58" s="107"/>
      <c r="P58" s="257"/>
      <c r="Q58" s="257"/>
      <c r="R58" s="107"/>
      <c r="S58" s="107"/>
      <c r="T58" s="107"/>
      <c r="U58" s="1006"/>
    </row>
    <row r="59" spans="2:22">
      <c r="B59" s="1232" t="s">
        <v>1742</v>
      </c>
      <c r="C59" s="1232" t="s">
        <v>368</v>
      </c>
      <c r="D59" s="1006" t="s">
        <v>71</v>
      </c>
      <c r="E59" s="1006" t="s">
        <v>1314</v>
      </c>
      <c r="F59" s="1006"/>
      <c r="G59" s="1006">
        <v>2020</v>
      </c>
      <c r="H59" s="1066" t="s">
        <v>70</v>
      </c>
      <c r="I59" s="1006">
        <v>2020</v>
      </c>
      <c r="J59" s="1067">
        <f>INDEX('86 PEMEC 1MW'!$C$6:$F$39,MATCH(SUP_H2_Production!J$10,'86 PEMEC 1MW'!$B$6:$B$39,0),MATCH(SUP_H2_Production!$G59,'86 PEMEC 1MW'!$C$4:$F$4,0))/100</f>
        <v>0.57999999999999996</v>
      </c>
      <c r="K59" s="1067"/>
      <c r="L59" s="1067"/>
      <c r="M59" s="1067">
        <f>(100-INDEX('86 PEMEC 1MW'!$C$6:$F$39,MATCH(SUP_H2_Production!M$10,'86 PEMEC 1MW'!$B$6:$B$39,0),MATCH(SUP_H2_Production!$G59,'86 PEMEC 1MW'!$C$4:$F$4,0)))/100</f>
        <v>0.98</v>
      </c>
      <c r="N59" s="1069">
        <f>INDEX('86 PEMEC 1MW'!$C$6:$F$39,MATCH(SUP_H2_Production!N$10,'86 PEMEC 1MW'!$B$6:$B$39,0),MATCH(SUP_H2_Production!$G59,'86 PEMEC 1MW'!$C$4:$F$4,0))</f>
        <v>20</v>
      </c>
      <c r="O59" s="1070">
        <v>3.1536000000000002E-2</v>
      </c>
      <c r="P59" s="1067">
        <f>INDEX('86 PEMEC 1MW'!$C$6:$F$39,MATCH(SUP_H2_Production!P$10,'86 PEMEC 1MW'!$B$6:$B$39,0),MATCH(SUP_H2_Production!$G59,'86 PEMEC 1MW'!$C$4:$F$4,0))/$J59/1000*7.45</f>
        <v>11.881465517241381</v>
      </c>
      <c r="Q59" s="1067">
        <f>INDEX('86 PEMEC 1MW'!$C$6:$F$39,MATCH(SUP_H2_Production!Q$10,'86 PEMEC 1MW'!$B$6:$B$39,0),MATCH(SUP_H2_Production!$G59,'86 PEMEC 1MW'!$C$4:$F$4,0))/$J59/1000*7.45</f>
        <v>8.9913793103448283E-2</v>
      </c>
      <c r="R59" s="1067"/>
      <c r="S59" s="1006">
        <v>0.5</v>
      </c>
      <c r="T59" s="1006" t="s">
        <v>1734</v>
      </c>
      <c r="U59" s="1006"/>
    </row>
    <row r="60" spans="2:22">
      <c r="B60" s="1232"/>
      <c r="C60" s="1232"/>
      <c r="D60" s="1232"/>
      <c r="E60" s="1232"/>
      <c r="F60" s="1232" t="s">
        <v>216</v>
      </c>
      <c r="G60" s="1232"/>
      <c r="H60" s="241"/>
      <c r="I60" s="1232"/>
      <c r="J60" s="1240" t="s">
        <v>124</v>
      </c>
      <c r="K60" s="141"/>
      <c r="L60" s="1067">
        <f>INDEX('86 PEMEC 1MW'!$C$6:$F$39,MATCH(SUP_H2_Production!L$10,'86 PEMEC 1MW'!$B$6:$B$39,0),MATCH(SUP_H2_Production!$G59,'86 PEMEC 1MW'!$C$4:$F$4,0))/100</f>
        <v>0.26437143714371447</v>
      </c>
      <c r="M60" s="1232"/>
      <c r="N60" s="281"/>
      <c r="O60" s="103"/>
      <c r="P60" s="141"/>
      <c r="Q60" s="141"/>
      <c r="R60" s="1232"/>
      <c r="S60" s="1232"/>
      <c r="T60" s="1232"/>
    </row>
    <row r="61" spans="2:22">
      <c r="B61" s="1232"/>
      <c r="C61" s="1232"/>
      <c r="D61" s="1006" t="s">
        <v>71</v>
      </c>
      <c r="E61" s="1006" t="s">
        <v>1314</v>
      </c>
      <c r="F61" s="1006"/>
      <c r="G61" s="1006">
        <v>2030</v>
      </c>
      <c r="H61" s="1066" t="s">
        <v>70</v>
      </c>
      <c r="I61" s="1006"/>
      <c r="J61" s="1067">
        <f>INDEX('86 PEMEC 1MW'!$C$6:$F$39,MATCH(SUP_H2_Production!J$10,'86 PEMEC 1MW'!$B$6:$B$39,0),MATCH(SUP_H2_Production!$G61,'86 PEMEC 1MW'!$C$4:$F$4,0))/100</f>
        <v>0.65500000000000003</v>
      </c>
      <c r="K61" s="1067"/>
      <c r="L61" s="1067"/>
      <c r="M61" s="1067">
        <f>(100-INDEX('86 PEMEC 1MW'!$C$6:$F$39,MATCH(SUP_H2_Production!M$10,'86 PEMEC 1MW'!$B$6:$B$39,0),MATCH(SUP_H2_Production!$G61,'86 PEMEC 1MW'!$C$4:$F$4,0)))/100</f>
        <v>0.98</v>
      </c>
      <c r="N61" s="1069">
        <f>INDEX('86 PEMEC 1MW'!$C$6:$F$39,MATCH(SUP_H2_Production!N$10,'86 PEMEC 1MW'!$B$6:$B$39,0),MATCH(SUP_H2_Production!$G61,'86 PEMEC 1MW'!$C$4:$F$4,0))</f>
        <v>25</v>
      </c>
      <c r="O61" s="1070">
        <v>3.1536000000000002E-2</v>
      </c>
      <c r="P61" s="1067">
        <f>INDEX('86 PEMEC 1MW'!$C$6:$F$39,MATCH(SUP_H2_Production!P$10,'86 PEMEC 1MW'!$B$6:$B$39,0),MATCH(SUP_H2_Production!$G61,'86 PEMEC 1MW'!$C$4:$F$4,0))/$J61/1000*7.45</f>
        <v>7.3931297709923669</v>
      </c>
      <c r="Q61" s="1067">
        <f>INDEX('86 PEMEC 1MW'!$C$6:$F$39,MATCH(SUP_H2_Production!Q$10,'86 PEMEC 1MW'!$B$6:$B$39,0),MATCH(SUP_H2_Production!$G61,'86 PEMEC 1MW'!$C$4:$F$4,0))/$J61/1000*7.45</f>
        <v>7.9618320610687007E-2</v>
      </c>
      <c r="R61" s="1067"/>
      <c r="S61" s="1006"/>
      <c r="T61" s="1006"/>
      <c r="U61" s="1006"/>
    </row>
    <row r="62" spans="2:22">
      <c r="B62" s="1232"/>
      <c r="C62" s="1232"/>
      <c r="D62" s="1006"/>
      <c r="E62" s="1006"/>
      <c r="F62" s="1006" t="s">
        <v>216</v>
      </c>
      <c r="G62" s="1006"/>
      <c r="H62" s="1066"/>
      <c r="I62" s="1006"/>
      <c r="J62" s="1067"/>
      <c r="K62" s="1067"/>
      <c r="L62" s="1067">
        <f>INDEX('86 PEMEC 1MW'!$C$6:$F$39,MATCH(SUP_H2_Production!L$10,'86 PEMEC 1MW'!$B$6:$B$39,0),MATCH(SUP_H2_Production!$G61,'86 PEMEC 1MW'!$C$4:$F$4,0))/100</f>
        <v>0.17571257125712564</v>
      </c>
      <c r="M62" s="1006"/>
      <c r="N62" s="1069"/>
      <c r="O62" s="1070"/>
      <c r="P62" s="1067"/>
      <c r="Q62" s="1067"/>
      <c r="R62" s="1006"/>
      <c r="S62" s="1006"/>
      <c r="T62" s="1006"/>
      <c r="U62" s="1006"/>
    </row>
    <row r="63" spans="2:22">
      <c r="B63" s="1232"/>
      <c r="C63" s="1232"/>
      <c r="D63" s="1006" t="s">
        <v>71</v>
      </c>
      <c r="E63" s="1006" t="s">
        <v>1314</v>
      </c>
      <c r="F63" s="1006"/>
      <c r="G63" s="1006">
        <v>2040</v>
      </c>
      <c r="H63" s="1066" t="s">
        <v>70</v>
      </c>
      <c r="I63" s="1006"/>
      <c r="J63" s="1067">
        <f>INDEX('86 PEMEC 1MW'!$C$6:$F$39,MATCH(SUP_H2_Production!J$10,'86 PEMEC 1MW'!$B$6:$B$39,0),MATCH(SUP_H2_Production!$G63,'86 PEMEC 1MW'!$C$4:$F$4,0))/100</f>
        <v>0.68</v>
      </c>
      <c r="K63" s="1067"/>
      <c r="L63" s="1067"/>
      <c r="M63" s="1067">
        <f>(100-INDEX('86 PEMEC 1MW'!$C$6:$F$39,MATCH(SUP_H2_Production!M$10,'86 PEMEC 1MW'!$B$6:$B$39,0),MATCH(SUP_H2_Production!$G63,'86 PEMEC 1MW'!$C$4:$F$4,0)))/100</f>
        <v>0.98</v>
      </c>
      <c r="N63" s="1069">
        <f>INDEX('86 PEMEC 1MW'!$C$6:$F$39,MATCH(SUP_H2_Production!N$10,'86 PEMEC 1MW'!$B$6:$B$39,0),MATCH(SUP_H2_Production!$G63,'86 PEMEC 1MW'!$C$4:$F$4,0))</f>
        <v>28</v>
      </c>
      <c r="O63" s="1070">
        <v>3.1536000000000002E-2</v>
      </c>
      <c r="P63" s="1067">
        <f>INDEX('86 PEMEC 1MW'!$C$6:$F$39,MATCH(SUP_H2_Production!P$10,'86 PEMEC 1MW'!$B$6:$B$39,0),MATCH(SUP_H2_Production!$G63,'86 PEMEC 1MW'!$C$4:$F$4,0))/$J63/1000*7.45</f>
        <v>4.930147058823529</v>
      </c>
      <c r="Q63" s="1067">
        <f>INDEX('86 PEMEC 1MW'!$C$6:$F$39,MATCH(SUP_H2_Production!Q$10,'86 PEMEC 1MW'!$B$6:$B$39,0),MATCH(SUP_H2_Production!$G63,'86 PEMEC 1MW'!$C$4:$F$4,0))/$J63/1000*7.45</f>
        <v>7.6691176470588221E-2</v>
      </c>
      <c r="R63" s="1067"/>
      <c r="S63" s="1006"/>
      <c r="T63" s="1006"/>
      <c r="U63" s="1006"/>
    </row>
    <row r="64" spans="2:22">
      <c r="B64" s="1232"/>
      <c r="C64" s="1232"/>
      <c r="D64" s="1006"/>
      <c r="E64" s="1006"/>
      <c r="F64" s="1006" t="s">
        <v>216</v>
      </c>
      <c r="G64" s="1006"/>
      <c r="H64" s="1066"/>
      <c r="I64" s="1006"/>
      <c r="J64" s="1067"/>
      <c r="K64" s="1067"/>
      <c r="L64" s="1067">
        <f>INDEX('86 PEMEC 1MW'!$C$6:$F$39,MATCH(SUP_H2_Production!L$10,'86 PEMEC 1MW'!$B$6:$B$39,0),MATCH(SUP_H2_Production!$G63,'86 PEMEC 1MW'!$C$4:$F$4,0))/100</f>
        <v>0.14615961596159621</v>
      </c>
      <c r="M64" s="1006"/>
      <c r="N64" s="1069"/>
      <c r="O64" s="1070"/>
      <c r="P64" s="1067"/>
      <c r="Q64" s="1067"/>
      <c r="R64" s="1006"/>
      <c r="S64" s="1006"/>
      <c r="T64" s="1006"/>
      <c r="U64" s="1006"/>
    </row>
    <row r="65" spans="2:21">
      <c r="B65" s="1232"/>
      <c r="C65" s="1232"/>
      <c r="D65" s="1006" t="s">
        <v>71</v>
      </c>
      <c r="E65" s="1006" t="s">
        <v>1314</v>
      </c>
      <c r="F65" s="1006"/>
      <c r="G65" s="1006">
        <v>2050</v>
      </c>
      <c r="H65" s="1066" t="s">
        <v>70</v>
      </c>
      <c r="I65" s="1006"/>
      <c r="J65" s="1067">
        <f>INDEX('86 PEMEC 1MW'!$C$6:$F$39,MATCH(SUP_H2_Production!J$10,'86 PEMEC 1MW'!$B$6:$B$39,0),MATCH(SUP_H2_Production!$G65,'86 PEMEC 1MW'!$C$4:$F$4,0))/100</f>
        <v>0.70499999999999996</v>
      </c>
      <c r="K65" s="1067"/>
      <c r="L65" s="1067"/>
      <c r="M65" s="1067">
        <f>(100-INDEX('86 PEMEC 1MW'!$C$6:$F$39,MATCH(SUP_H2_Production!M$10,'86 PEMEC 1MW'!$B$6:$B$39,0),MATCH(SUP_H2_Production!$G65,'86 PEMEC 1MW'!$C$4:$F$4,0)))/100</f>
        <v>0.98</v>
      </c>
      <c r="N65" s="1069">
        <f>INDEX('86 PEMEC 1MW'!$C$6:$F$39,MATCH(SUP_H2_Production!N$10,'86 PEMEC 1MW'!$B$6:$B$39,0),MATCH(SUP_H2_Production!$G65,'86 PEMEC 1MW'!$C$4:$F$4,0))</f>
        <v>30</v>
      </c>
      <c r="O65" s="1070">
        <v>3.1536000000000002E-2</v>
      </c>
      <c r="P65" s="1067">
        <f>INDEX('86 PEMEC 1MW'!$C$6:$F$39,MATCH(SUP_H2_Production!P$10,'86 PEMEC 1MW'!$B$6:$B$39,0),MATCH(SUP_H2_Production!$G65,'86 PEMEC 1MW'!$C$4:$F$4,0))/$J65/1000*7.45</f>
        <v>4.2269503546099294</v>
      </c>
      <c r="Q65" s="1067">
        <f>INDEX('86 PEMEC 1MW'!$C$6:$F$39,MATCH(SUP_H2_Production!Q$10,'86 PEMEC 1MW'!$B$6:$B$39,0),MATCH(SUP_H2_Production!$G65,'86 PEMEC 1MW'!$C$4:$F$4,0))/$J65/1000*7.45</f>
        <v>7.3971631205673766E-2</v>
      </c>
      <c r="R65" s="1067"/>
      <c r="S65" s="1006"/>
      <c r="T65" s="1006"/>
      <c r="U65" s="1006"/>
    </row>
    <row r="66" spans="2:21" ht="13.8" thickBot="1">
      <c r="B66" s="107"/>
      <c r="C66" s="107"/>
      <c r="D66" s="107"/>
      <c r="E66" s="107"/>
      <c r="F66" s="107" t="s">
        <v>216</v>
      </c>
      <c r="G66" s="107"/>
      <c r="H66" s="256"/>
      <c r="I66" s="107"/>
      <c r="J66" s="151"/>
      <c r="K66" s="151"/>
      <c r="L66" s="151">
        <f>INDEX('86 PEMEC 1MW'!$C$6:$F$39,MATCH(SUP_H2_Production!L$10,'86 PEMEC 1MW'!$B$6:$B$39,0),MATCH(SUP_H2_Production!$G65,'86 PEMEC 1MW'!$C$4:$F$4,0))/100</f>
        <v>0.1166066606660668</v>
      </c>
      <c r="M66" s="107"/>
      <c r="N66" s="107"/>
      <c r="O66" s="107"/>
      <c r="P66" s="257"/>
      <c r="Q66" s="257"/>
      <c r="R66" s="107"/>
      <c r="S66" s="107"/>
      <c r="T66" s="107"/>
      <c r="U66" s="1006"/>
    </row>
    <row r="67" spans="2:21">
      <c r="B67" s="1232" t="s">
        <v>1743</v>
      </c>
      <c r="C67" s="1232" t="s">
        <v>369</v>
      </c>
      <c r="D67" s="1006" t="s">
        <v>71</v>
      </c>
      <c r="E67" s="1006" t="s">
        <v>348</v>
      </c>
      <c r="F67" s="1006"/>
      <c r="G67" s="1006">
        <v>2020</v>
      </c>
      <c r="H67" s="1066" t="s">
        <v>70</v>
      </c>
      <c r="I67" s="1006">
        <v>2020</v>
      </c>
      <c r="J67" s="1067">
        <f>INDEX('86 PEMEC 1MW'!$C$6:$F$39,MATCH(SUP_H2_Production!J$10,'86 PEMEC 1MW'!$B$6:$B$39,0),MATCH(SUP_H2_Production!$G67,'86 PEMEC 1MW'!$C$4:$F$4,0))/100</f>
        <v>0.57999999999999996</v>
      </c>
      <c r="K67" s="1067"/>
      <c r="L67" s="1067"/>
      <c r="M67" s="1067">
        <f>(100-INDEX('86 PEMEC 1MW'!$C$6:$F$39,MATCH(SUP_H2_Production!M$10,'86 PEMEC 1MW'!$B$6:$B$39,0),MATCH(SUP_H2_Production!$G67,'86 PEMEC 1MW'!$C$4:$F$4,0)))/100</f>
        <v>0.98</v>
      </c>
      <c r="N67" s="1069">
        <f>INDEX('86 PEMEC 1MW'!$C$6:$F$39,MATCH(SUP_H2_Production!N$10,'86 PEMEC 1MW'!$B$6:$B$39,0),MATCH(SUP_H2_Production!$G67,'86 PEMEC 1MW'!$C$4:$F$4,0))</f>
        <v>20</v>
      </c>
      <c r="O67" s="1070">
        <v>3.1536000000000002E-2</v>
      </c>
      <c r="P67" s="1067">
        <f>INDEX('86 PEMEC 1MW'!$C$6:$F$39,MATCH(SUP_H2_Production!P$10,'86 PEMEC 1MW'!$B$6:$B$39,0),MATCH(SUP_H2_Production!$G67,'86 PEMEC 1MW'!$C$4:$F$4,0))/$J67/1000*7.45</f>
        <v>11.881465517241381</v>
      </c>
      <c r="Q67" s="1067">
        <f>INDEX('86 PEMEC 1MW'!$C$6:$F$39,MATCH(SUP_H2_Production!Q$10,'86 PEMEC 1MW'!$B$6:$B$39,0),MATCH(SUP_H2_Production!$G67,'86 PEMEC 1MW'!$C$4:$F$4,0))/$J67/1000*7.45</f>
        <v>8.9913793103448283E-2</v>
      </c>
      <c r="R67" s="1067"/>
      <c r="S67" s="1006">
        <v>0.5</v>
      </c>
      <c r="T67" s="1006" t="s">
        <v>1734</v>
      </c>
      <c r="U67" s="1006"/>
    </row>
    <row r="68" spans="2:21">
      <c r="B68" s="1232"/>
      <c r="C68" s="1232"/>
      <c r="D68" s="1232"/>
      <c r="E68" s="1232"/>
      <c r="F68" s="1232" t="s">
        <v>259</v>
      </c>
      <c r="G68" s="1232"/>
      <c r="H68" s="241"/>
      <c r="I68" s="1232"/>
      <c r="J68" s="1240" t="s">
        <v>124</v>
      </c>
      <c r="K68" s="141"/>
      <c r="L68" s="1067">
        <f>INDEX('86 PEMEC 1MW'!$C$6:$F$39,MATCH(SUP_H2_Production!L$10,'86 PEMEC 1MW'!$B$6:$B$39,0),MATCH(SUP_H2_Production!$G67,'86 PEMEC 1MW'!$C$4:$F$4,0))/100</f>
        <v>0.26437143714371447</v>
      </c>
      <c r="M68" s="1232"/>
      <c r="N68" s="281"/>
      <c r="O68" s="103"/>
      <c r="P68" s="141"/>
      <c r="Q68" s="141"/>
      <c r="R68" s="1232"/>
      <c r="S68" s="1232"/>
      <c r="T68" s="1232"/>
    </row>
    <row r="69" spans="2:21">
      <c r="B69" s="1232"/>
      <c r="C69" s="1232"/>
      <c r="D69" s="1006" t="s">
        <v>71</v>
      </c>
      <c r="E69" s="1006" t="s">
        <v>348</v>
      </c>
      <c r="F69" s="1006"/>
      <c r="G69" s="1006">
        <v>2030</v>
      </c>
      <c r="H69" s="1066" t="s">
        <v>70</v>
      </c>
      <c r="I69" s="1006"/>
      <c r="J69" s="1067">
        <f>INDEX('86 PEMEC 1MW'!$C$6:$F$39,MATCH(SUP_H2_Production!J$10,'86 PEMEC 1MW'!$B$6:$B$39,0),MATCH(SUP_H2_Production!$G69,'86 PEMEC 1MW'!$C$4:$F$4,0))/100</f>
        <v>0.65500000000000003</v>
      </c>
      <c r="K69" s="1067"/>
      <c r="L69" s="1067"/>
      <c r="M69" s="1067">
        <f>(100-INDEX('86 PEMEC 1MW'!$C$6:$F$39,MATCH(SUP_H2_Production!M$10,'86 PEMEC 1MW'!$B$6:$B$39,0),MATCH(SUP_H2_Production!$G69,'86 PEMEC 1MW'!$C$4:$F$4,0)))/100</f>
        <v>0.98</v>
      </c>
      <c r="N69" s="1069">
        <f>INDEX('86 PEMEC 1MW'!$C$6:$F$39,MATCH(SUP_H2_Production!N$10,'86 PEMEC 1MW'!$B$6:$B$39,0),MATCH(SUP_H2_Production!$G69,'86 PEMEC 1MW'!$C$4:$F$4,0))</f>
        <v>25</v>
      </c>
      <c r="O69" s="1070">
        <v>3.1536000000000002E-2</v>
      </c>
      <c r="P69" s="1067">
        <f>INDEX('86 PEMEC 1MW'!$C$6:$F$39,MATCH(SUP_H2_Production!P$10,'86 PEMEC 1MW'!$B$6:$B$39,0),MATCH(SUP_H2_Production!$G69,'86 PEMEC 1MW'!$C$4:$F$4,0))/$J69/1000*7.45</f>
        <v>7.3931297709923669</v>
      </c>
      <c r="Q69" s="1067">
        <f>INDEX('86 PEMEC 1MW'!$C$6:$F$39,MATCH(SUP_H2_Production!Q$10,'86 PEMEC 1MW'!$B$6:$B$39,0),MATCH(SUP_H2_Production!$G69,'86 PEMEC 1MW'!$C$4:$F$4,0))/$J69/1000*7.45</f>
        <v>7.9618320610687007E-2</v>
      </c>
      <c r="R69" s="1067"/>
      <c r="S69" s="1006"/>
      <c r="T69" s="1006"/>
      <c r="U69" s="1006"/>
    </row>
    <row r="70" spans="2:21">
      <c r="B70" s="1232"/>
      <c r="C70" s="1232"/>
      <c r="D70" s="1006"/>
      <c r="E70" s="1006"/>
      <c r="F70" s="1232" t="s">
        <v>259</v>
      </c>
      <c r="G70" s="1006"/>
      <c r="H70" s="1066"/>
      <c r="I70" s="1006"/>
      <c r="J70" s="1067"/>
      <c r="K70" s="1067"/>
      <c r="L70" s="1067">
        <f>INDEX('86 PEMEC 1MW'!$C$6:$F$39,MATCH(SUP_H2_Production!L$10,'86 PEMEC 1MW'!$B$6:$B$39,0),MATCH(SUP_H2_Production!$G69,'86 PEMEC 1MW'!$C$4:$F$4,0))/100</f>
        <v>0.17571257125712564</v>
      </c>
      <c r="M70" s="1006"/>
      <c r="N70" s="1069"/>
      <c r="O70" s="1070"/>
      <c r="P70" s="1067"/>
      <c r="Q70" s="1067"/>
      <c r="R70" s="1006"/>
      <c r="S70" s="1006"/>
      <c r="T70" s="1006"/>
      <c r="U70" s="1006"/>
    </row>
    <row r="71" spans="2:21">
      <c r="B71" s="1232"/>
      <c r="C71" s="1232"/>
      <c r="D71" s="1006" t="s">
        <v>71</v>
      </c>
      <c r="E71" s="1006" t="s">
        <v>348</v>
      </c>
      <c r="F71" s="1006"/>
      <c r="G71" s="1006">
        <v>2040</v>
      </c>
      <c r="H71" s="1066" t="s">
        <v>70</v>
      </c>
      <c r="I71" s="1006"/>
      <c r="J71" s="1067">
        <f>INDEX('86 PEMEC 1MW'!$C$6:$F$39,MATCH(SUP_H2_Production!J$10,'86 PEMEC 1MW'!$B$6:$B$39,0),MATCH(SUP_H2_Production!$G71,'86 PEMEC 1MW'!$C$4:$F$4,0))/100</f>
        <v>0.68</v>
      </c>
      <c r="K71" s="1067"/>
      <c r="L71" s="1067"/>
      <c r="M71" s="1067">
        <f>(100-INDEX('86 PEMEC 1MW'!$C$6:$F$39,MATCH(SUP_H2_Production!M$10,'86 PEMEC 1MW'!$B$6:$B$39,0),MATCH(SUP_H2_Production!$G71,'86 PEMEC 1MW'!$C$4:$F$4,0)))/100</f>
        <v>0.98</v>
      </c>
      <c r="N71" s="1069">
        <f>INDEX('86 PEMEC 1MW'!$C$6:$F$39,MATCH(SUP_H2_Production!N$10,'86 PEMEC 1MW'!$B$6:$B$39,0),MATCH(SUP_H2_Production!$G71,'86 PEMEC 1MW'!$C$4:$F$4,0))</f>
        <v>28</v>
      </c>
      <c r="O71" s="1070">
        <v>3.1536000000000002E-2</v>
      </c>
      <c r="P71" s="1067">
        <f>INDEX('86 PEMEC 1MW'!$C$6:$F$39,MATCH(SUP_H2_Production!P$10,'86 PEMEC 1MW'!$B$6:$B$39,0),MATCH(SUP_H2_Production!$G71,'86 PEMEC 1MW'!$C$4:$F$4,0))/$J71/1000*7.45</f>
        <v>4.930147058823529</v>
      </c>
      <c r="Q71" s="1067">
        <f>INDEX('86 PEMEC 1MW'!$C$6:$F$39,MATCH(SUP_H2_Production!Q$10,'86 PEMEC 1MW'!$B$6:$B$39,0),MATCH(SUP_H2_Production!$G71,'86 PEMEC 1MW'!$C$4:$F$4,0))/$J71/1000*7.45</f>
        <v>7.6691176470588221E-2</v>
      </c>
      <c r="R71" s="1067"/>
      <c r="S71" s="1006"/>
      <c r="T71" s="1006"/>
      <c r="U71" s="1006"/>
    </row>
    <row r="72" spans="2:21">
      <c r="B72" s="1232"/>
      <c r="C72" s="1232"/>
      <c r="D72" s="1006"/>
      <c r="E72" s="1006"/>
      <c r="F72" s="1232" t="s">
        <v>259</v>
      </c>
      <c r="G72" s="1006"/>
      <c r="H72" s="1066"/>
      <c r="I72" s="1006"/>
      <c r="J72" s="1067"/>
      <c r="K72" s="1067"/>
      <c r="L72" s="1067">
        <f>INDEX('86 PEMEC 1MW'!$C$6:$F$39,MATCH(SUP_H2_Production!L$10,'86 PEMEC 1MW'!$B$6:$B$39,0),MATCH(SUP_H2_Production!$G71,'86 PEMEC 1MW'!$C$4:$F$4,0))/100</f>
        <v>0.14615961596159621</v>
      </c>
      <c r="M72" s="1006"/>
      <c r="N72" s="1069"/>
      <c r="O72" s="1070"/>
      <c r="P72" s="1067"/>
      <c r="Q72" s="1067"/>
      <c r="R72" s="1006"/>
      <c r="S72" s="1006"/>
      <c r="T72" s="1006"/>
      <c r="U72" s="1006"/>
    </row>
    <row r="73" spans="2:21">
      <c r="B73" s="1232"/>
      <c r="C73" s="1232"/>
      <c r="D73" s="1006" t="s">
        <v>71</v>
      </c>
      <c r="E73" s="1006" t="s">
        <v>348</v>
      </c>
      <c r="F73" s="1006"/>
      <c r="G73" s="1006">
        <v>2050</v>
      </c>
      <c r="H73" s="1066" t="s">
        <v>70</v>
      </c>
      <c r="I73" s="1006"/>
      <c r="J73" s="1067">
        <f>INDEX('86 PEMEC 1MW'!$C$6:$F$39,MATCH(SUP_H2_Production!J$10,'86 PEMEC 1MW'!$B$6:$B$39,0),MATCH(SUP_H2_Production!$G73,'86 PEMEC 1MW'!$C$4:$F$4,0))/100</f>
        <v>0.70499999999999996</v>
      </c>
      <c r="K73" s="1067"/>
      <c r="L73" s="1067"/>
      <c r="M73" s="1067">
        <f>(100-INDEX('86 PEMEC 1MW'!$C$6:$F$39,MATCH(SUP_H2_Production!M$10,'86 PEMEC 1MW'!$B$6:$B$39,0),MATCH(SUP_H2_Production!$G73,'86 PEMEC 1MW'!$C$4:$F$4,0)))/100</f>
        <v>0.98</v>
      </c>
      <c r="N73" s="1069">
        <f>INDEX('86 PEMEC 1MW'!$C$6:$F$39,MATCH(SUP_H2_Production!N$10,'86 PEMEC 1MW'!$B$6:$B$39,0),MATCH(SUP_H2_Production!$G73,'86 PEMEC 1MW'!$C$4:$F$4,0))</f>
        <v>30</v>
      </c>
      <c r="O73" s="1070">
        <v>3.1536000000000002E-2</v>
      </c>
      <c r="P73" s="1067">
        <f>INDEX('86 PEMEC 1MW'!$C$6:$F$39,MATCH(SUP_H2_Production!P$10,'86 PEMEC 1MW'!$B$6:$B$39,0),MATCH(SUP_H2_Production!$G73,'86 PEMEC 1MW'!$C$4:$F$4,0))/$J73/1000*7.45</f>
        <v>4.2269503546099294</v>
      </c>
      <c r="Q73" s="1067">
        <f>INDEX('86 PEMEC 1MW'!$C$6:$F$39,MATCH(SUP_H2_Production!Q$10,'86 PEMEC 1MW'!$B$6:$B$39,0),MATCH(SUP_H2_Production!$G73,'86 PEMEC 1MW'!$C$4:$F$4,0))/$J73/1000*7.45</f>
        <v>7.3971631205673766E-2</v>
      </c>
      <c r="R73" s="1067"/>
      <c r="S73" s="1006"/>
      <c r="T73" s="1006"/>
      <c r="U73" s="1006"/>
    </row>
    <row r="74" spans="2:21" ht="13.8" thickBot="1">
      <c r="B74" s="107"/>
      <c r="C74" s="107"/>
      <c r="D74" s="107"/>
      <c r="E74" s="107"/>
      <c r="F74" s="107" t="s">
        <v>259</v>
      </c>
      <c r="G74" s="107"/>
      <c r="H74" s="256"/>
      <c r="I74" s="107"/>
      <c r="J74" s="151"/>
      <c r="K74" s="151"/>
      <c r="L74" s="151">
        <f>INDEX('86 PEMEC 1MW'!$C$6:$F$39,MATCH(SUP_H2_Production!L$10,'86 PEMEC 1MW'!$B$6:$B$39,0),MATCH(SUP_H2_Production!$G73,'86 PEMEC 1MW'!$C$4:$F$4,0))/100</f>
        <v>0.1166066606660668</v>
      </c>
      <c r="M74" s="107"/>
      <c r="N74" s="107"/>
      <c r="O74" s="107"/>
      <c r="P74" s="257"/>
      <c r="Q74" s="257"/>
      <c r="R74" s="107"/>
      <c r="S74" s="107"/>
      <c r="T74" s="107"/>
      <c r="U74" s="1006"/>
    </row>
    <row r="75" spans="2:21">
      <c r="B75" s="1232" t="s">
        <v>1744</v>
      </c>
      <c r="C75" s="1232" t="s">
        <v>1735</v>
      </c>
      <c r="D75" s="1006" t="s">
        <v>71</v>
      </c>
      <c r="E75" s="1006" t="s">
        <v>1314</v>
      </c>
      <c r="F75" s="1006"/>
      <c r="G75" s="1006">
        <v>2020</v>
      </c>
      <c r="H75" s="1066" t="s">
        <v>70</v>
      </c>
      <c r="I75" s="1006">
        <v>2020</v>
      </c>
      <c r="J75" s="1067">
        <f>INDEX('86 PEMEC 1MW'!$C$6:$F$39,MATCH(SUP_H2_Production!J$10,'86 PEMEC 1MW'!$B$6:$B$39,0),MATCH(SUP_H2_Production!$G75,'86 PEMEC 1MW'!$C$4:$F$4,0))/100</f>
        <v>0.57999999999999996</v>
      </c>
      <c r="K75" s="1067"/>
      <c r="L75" s="1067"/>
      <c r="M75" s="1067">
        <f>(100-INDEX('86 PEMEC 1MW'!$C$6:$F$39,MATCH(SUP_H2_Production!M$10,'86 PEMEC 1MW'!$B$6:$B$39,0),MATCH(SUP_H2_Production!$G75,'86 PEMEC 1MW'!$C$4:$F$4,0)))/100</f>
        <v>0.98</v>
      </c>
      <c r="N75" s="1069">
        <f>INDEX('86 PEMEC 1MW'!$C$6:$F$39,MATCH(SUP_H2_Production!N$10,'86 PEMEC 1MW'!$B$6:$B$39,0),MATCH(SUP_H2_Production!$G75,'86 PEMEC 1MW'!$C$4:$F$4,0))</f>
        <v>20</v>
      </c>
      <c r="O75" s="1070">
        <v>3.1536000000000002E-2</v>
      </c>
      <c r="P75" s="1067">
        <f>INDEX('86 PEMEC 1MW'!$C$6:$F$39,MATCH(SUP_H2_Production!P$10,'86 PEMEC 1MW'!$B$6:$B$39,0),MATCH(SUP_H2_Production!$G75,'86 PEMEC 1MW'!$C$4:$F$4,0))/$J75/1000*7.45</f>
        <v>11.881465517241381</v>
      </c>
      <c r="Q75" s="1067">
        <f>INDEX('86 PEMEC 1MW'!$C$6:$F$39,MATCH(SUP_H2_Production!Q$10,'86 PEMEC 1MW'!$B$6:$B$39,0),MATCH(SUP_H2_Production!$G75,'86 PEMEC 1MW'!$C$4:$F$4,0))/$J75/1000*7.45</f>
        <v>8.9913793103448283E-2</v>
      </c>
      <c r="R75" s="1067"/>
      <c r="S75" s="1006">
        <v>0.5</v>
      </c>
      <c r="T75" s="1006" t="s">
        <v>1734</v>
      </c>
      <c r="U75" s="1006"/>
    </row>
    <row r="76" spans="2:21">
      <c r="B76" s="1232"/>
      <c r="C76" s="1232"/>
      <c r="D76" s="1232"/>
      <c r="E76" s="1232"/>
      <c r="F76" s="1232"/>
      <c r="G76" s="1232"/>
      <c r="H76" s="241"/>
      <c r="I76" s="1232"/>
      <c r="J76" s="1240" t="s">
        <v>124</v>
      </c>
      <c r="K76" s="141"/>
      <c r="L76" s="1067">
        <f>INDEX('86 PEMEC 1MW'!$C$6:$F$39,MATCH(SUP_H2_Production!L$10,'86 PEMEC 1MW'!$B$6:$B$39,0),MATCH(SUP_H2_Production!$G75,'86 PEMEC 1MW'!$C$4:$F$4,0))/100</f>
        <v>0.26437143714371447</v>
      </c>
      <c r="M76" s="1232"/>
      <c r="N76" s="281"/>
      <c r="O76" s="103"/>
      <c r="P76" s="141"/>
      <c r="Q76" s="141"/>
      <c r="R76" s="1232"/>
      <c r="S76" s="1232"/>
      <c r="T76" s="1232"/>
    </row>
    <row r="77" spans="2:21">
      <c r="B77" s="1232"/>
      <c r="C77" s="1232"/>
      <c r="D77" s="1006" t="s">
        <v>71</v>
      </c>
      <c r="E77" s="1006" t="s">
        <v>1314</v>
      </c>
      <c r="F77" s="1006"/>
      <c r="G77" s="1006">
        <v>2030</v>
      </c>
      <c r="H77" s="1066" t="s">
        <v>70</v>
      </c>
      <c r="I77" s="1006"/>
      <c r="J77" s="1067">
        <f>INDEX('86 PEMEC 1MW'!$C$6:$F$39,MATCH(SUP_H2_Production!J$10,'86 PEMEC 1MW'!$B$6:$B$39,0),MATCH(SUP_H2_Production!$G77,'86 PEMEC 1MW'!$C$4:$F$4,0))/100</f>
        <v>0.65500000000000003</v>
      </c>
      <c r="K77" s="1067"/>
      <c r="L77" s="1067"/>
      <c r="M77" s="1067">
        <f>(100-INDEX('86 PEMEC 1MW'!$C$6:$F$39,MATCH(SUP_H2_Production!M$10,'86 PEMEC 1MW'!$B$6:$B$39,0),MATCH(SUP_H2_Production!$G77,'86 PEMEC 1MW'!$C$4:$F$4,0)))/100</f>
        <v>0.98</v>
      </c>
      <c r="N77" s="1069">
        <f>INDEX('86 PEMEC 1MW'!$C$6:$F$39,MATCH(SUP_H2_Production!N$10,'86 PEMEC 1MW'!$B$6:$B$39,0),MATCH(SUP_H2_Production!$G77,'86 PEMEC 1MW'!$C$4:$F$4,0))</f>
        <v>25</v>
      </c>
      <c r="O77" s="1070">
        <v>3.1536000000000002E-2</v>
      </c>
      <c r="P77" s="1067">
        <f>INDEX('86 PEMEC 1MW'!$C$6:$F$39,MATCH(SUP_H2_Production!P$10,'86 PEMEC 1MW'!$B$6:$B$39,0),MATCH(SUP_H2_Production!$G77,'86 PEMEC 1MW'!$C$4:$F$4,0))/$J77/1000*7.45</f>
        <v>7.3931297709923669</v>
      </c>
      <c r="Q77" s="1067">
        <f>INDEX('86 PEMEC 1MW'!$C$6:$F$39,MATCH(SUP_H2_Production!Q$10,'86 PEMEC 1MW'!$B$6:$B$39,0),MATCH(SUP_H2_Production!$G77,'86 PEMEC 1MW'!$C$4:$F$4,0))/$J77/1000*7.45</f>
        <v>7.9618320610687007E-2</v>
      </c>
      <c r="R77" s="1067"/>
      <c r="S77" s="1006"/>
      <c r="T77" s="1006"/>
      <c r="U77" s="1006"/>
    </row>
    <row r="78" spans="2:21">
      <c r="B78" s="1232"/>
      <c r="C78" s="1232"/>
      <c r="D78" s="1006"/>
      <c r="E78" s="1006"/>
      <c r="F78" s="1006"/>
      <c r="G78" s="1006"/>
      <c r="H78" s="1066"/>
      <c r="I78" s="1006"/>
      <c r="J78" s="1067"/>
      <c r="K78" s="1067"/>
      <c r="L78" s="1067">
        <f>INDEX('86 PEMEC 1MW'!$C$6:$F$39,MATCH(SUP_H2_Production!L$10,'86 PEMEC 1MW'!$B$6:$B$39,0),MATCH(SUP_H2_Production!$G77,'86 PEMEC 1MW'!$C$4:$F$4,0))/100</f>
        <v>0.17571257125712564</v>
      </c>
      <c r="M78" s="1006"/>
      <c r="N78" s="1069"/>
      <c r="O78" s="1070"/>
      <c r="P78" s="1067"/>
      <c r="Q78" s="1067"/>
      <c r="R78" s="1006"/>
      <c r="S78" s="1006"/>
      <c r="T78" s="1006"/>
      <c r="U78" s="1006"/>
    </row>
    <row r="79" spans="2:21">
      <c r="B79" s="1232"/>
      <c r="C79" s="1232"/>
      <c r="D79" s="1006" t="s">
        <v>71</v>
      </c>
      <c r="E79" s="1006" t="s">
        <v>1314</v>
      </c>
      <c r="F79" s="1006"/>
      <c r="G79" s="1006">
        <v>2040</v>
      </c>
      <c r="H79" s="1066" t="s">
        <v>70</v>
      </c>
      <c r="I79" s="1006"/>
      <c r="J79" s="1067">
        <f>INDEX('86 PEMEC 1MW'!$C$6:$F$39,MATCH(SUP_H2_Production!J$10,'86 PEMEC 1MW'!$B$6:$B$39,0),MATCH(SUP_H2_Production!$G79,'86 PEMEC 1MW'!$C$4:$F$4,0))/100</f>
        <v>0.68</v>
      </c>
      <c r="K79" s="1067"/>
      <c r="L79" s="1067"/>
      <c r="M79" s="1067">
        <f>(100-INDEX('86 PEMEC 1MW'!$C$6:$F$39,MATCH(SUP_H2_Production!M$10,'86 PEMEC 1MW'!$B$6:$B$39,0),MATCH(SUP_H2_Production!$G79,'86 PEMEC 1MW'!$C$4:$F$4,0)))/100</f>
        <v>0.98</v>
      </c>
      <c r="N79" s="1069">
        <f>INDEX('86 PEMEC 1MW'!$C$6:$F$39,MATCH(SUP_H2_Production!N$10,'86 PEMEC 1MW'!$B$6:$B$39,0),MATCH(SUP_H2_Production!$G79,'86 PEMEC 1MW'!$C$4:$F$4,0))</f>
        <v>28</v>
      </c>
      <c r="O79" s="1070">
        <v>3.1536000000000002E-2</v>
      </c>
      <c r="P79" s="1067">
        <f>INDEX('86 PEMEC 1MW'!$C$6:$F$39,MATCH(SUP_H2_Production!P$10,'86 PEMEC 1MW'!$B$6:$B$39,0),MATCH(SUP_H2_Production!$G79,'86 PEMEC 1MW'!$C$4:$F$4,0))/$J79/1000*7.45</f>
        <v>4.930147058823529</v>
      </c>
      <c r="Q79" s="1067">
        <f>INDEX('86 PEMEC 1MW'!$C$6:$F$39,MATCH(SUP_H2_Production!Q$10,'86 PEMEC 1MW'!$B$6:$B$39,0),MATCH(SUP_H2_Production!$G79,'86 PEMEC 1MW'!$C$4:$F$4,0))/$J79/1000*7.45</f>
        <v>7.6691176470588221E-2</v>
      </c>
      <c r="R79" s="1067"/>
      <c r="S79" s="1006"/>
      <c r="T79" s="1006"/>
      <c r="U79" s="1006"/>
    </row>
    <row r="80" spans="2:21">
      <c r="B80" s="1232"/>
      <c r="C80" s="1232"/>
      <c r="D80" s="1006"/>
      <c r="E80" s="1006"/>
      <c r="F80" s="1006"/>
      <c r="G80" s="1006"/>
      <c r="H80" s="1066"/>
      <c r="I80" s="1006"/>
      <c r="J80" s="1067"/>
      <c r="K80" s="1067"/>
      <c r="L80" s="1067">
        <f>INDEX('86 PEMEC 1MW'!$C$6:$F$39,MATCH(SUP_H2_Production!L$10,'86 PEMEC 1MW'!$B$6:$B$39,0),MATCH(SUP_H2_Production!$G79,'86 PEMEC 1MW'!$C$4:$F$4,0))/100</f>
        <v>0.14615961596159621</v>
      </c>
      <c r="M80" s="1006"/>
      <c r="N80" s="1069"/>
      <c r="O80" s="1070"/>
      <c r="P80" s="1067"/>
      <c r="Q80" s="1067"/>
      <c r="R80" s="1006"/>
      <c r="S80" s="1006"/>
      <c r="T80" s="1006"/>
      <c r="U80" s="1006"/>
    </row>
    <row r="81" spans="2:21">
      <c r="B81" s="1232"/>
      <c r="C81" s="1232"/>
      <c r="D81" s="1006" t="s">
        <v>71</v>
      </c>
      <c r="E81" s="1006" t="s">
        <v>1314</v>
      </c>
      <c r="F81" s="1006"/>
      <c r="G81" s="1006">
        <v>2050</v>
      </c>
      <c r="H81" s="1066" t="s">
        <v>70</v>
      </c>
      <c r="I81" s="1006"/>
      <c r="J81" s="1067">
        <f>INDEX('86 PEMEC 1MW'!$C$6:$F$39,MATCH(SUP_H2_Production!J$10,'86 PEMEC 1MW'!$B$6:$B$39,0),MATCH(SUP_H2_Production!$G81,'86 PEMEC 1MW'!$C$4:$F$4,0))/100</f>
        <v>0.70499999999999996</v>
      </c>
      <c r="K81" s="1067"/>
      <c r="L81" s="1067"/>
      <c r="M81" s="1067">
        <f>(100-INDEX('86 PEMEC 1MW'!$C$6:$F$39,MATCH(SUP_H2_Production!M$10,'86 PEMEC 1MW'!$B$6:$B$39,0),MATCH(SUP_H2_Production!$G81,'86 PEMEC 1MW'!$C$4:$F$4,0)))/100</f>
        <v>0.98</v>
      </c>
      <c r="N81" s="1069">
        <f>INDEX('86 PEMEC 1MW'!$C$6:$F$39,MATCH(SUP_H2_Production!N$10,'86 PEMEC 1MW'!$B$6:$B$39,0),MATCH(SUP_H2_Production!$G81,'86 PEMEC 1MW'!$C$4:$F$4,0))</f>
        <v>30</v>
      </c>
      <c r="O81" s="1070">
        <v>3.1536000000000002E-2</v>
      </c>
      <c r="P81" s="1067">
        <f>INDEX('86 PEMEC 1MW'!$C$6:$F$39,MATCH(SUP_H2_Production!P$10,'86 PEMEC 1MW'!$B$6:$B$39,0),MATCH(SUP_H2_Production!$G81,'86 PEMEC 1MW'!$C$4:$F$4,0))/$J81/1000*7.45</f>
        <v>4.2269503546099294</v>
      </c>
      <c r="Q81" s="1067">
        <f>INDEX('86 PEMEC 1MW'!$C$6:$F$39,MATCH(SUP_H2_Production!Q$10,'86 PEMEC 1MW'!$B$6:$B$39,0),MATCH(SUP_H2_Production!$G81,'86 PEMEC 1MW'!$C$4:$F$4,0))/$J81/1000*7.45</f>
        <v>7.3971631205673766E-2</v>
      </c>
      <c r="R81" s="1067"/>
      <c r="S81" s="1006"/>
      <c r="T81" s="1006"/>
      <c r="U81" s="1006"/>
    </row>
    <row r="82" spans="2:21" ht="13.8" thickBot="1">
      <c r="B82" s="107"/>
      <c r="C82" s="107"/>
      <c r="D82" s="107"/>
      <c r="E82" s="107"/>
      <c r="F82" s="107"/>
      <c r="G82" s="107"/>
      <c r="H82" s="256"/>
      <c r="I82" s="107"/>
      <c r="J82" s="151"/>
      <c r="K82" s="151"/>
      <c r="L82" s="151">
        <f>INDEX('86 PEMEC 1MW'!$C$6:$F$39,MATCH(SUP_H2_Production!L$10,'86 PEMEC 1MW'!$B$6:$B$39,0),MATCH(SUP_H2_Production!$G81,'86 PEMEC 1MW'!$C$4:$F$4,0))/100</f>
        <v>0.1166066606660668</v>
      </c>
      <c r="M82" s="107"/>
      <c r="N82" s="107"/>
      <c r="O82" s="107"/>
      <c r="P82" s="257"/>
      <c r="Q82" s="257"/>
      <c r="R82" s="107"/>
      <c r="S82" s="107"/>
      <c r="T82" s="107"/>
      <c r="U82" s="1006"/>
    </row>
    <row r="83" spans="2:21">
      <c r="B83" s="1232" t="s">
        <v>1745</v>
      </c>
      <c r="C83" s="1232" t="s">
        <v>368</v>
      </c>
      <c r="D83" s="1006" t="s">
        <v>71</v>
      </c>
      <c r="E83" s="1006" t="s">
        <v>1314</v>
      </c>
      <c r="F83" s="1006"/>
      <c r="G83" s="1006">
        <v>2020</v>
      </c>
      <c r="H83" s="1066" t="s">
        <v>70</v>
      </c>
      <c r="I83" s="1006">
        <v>2020</v>
      </c>
      <c r="J83" s="1067">
        <f>INDEX('86 PEMEC 100MW'!$C$6:$F$39,MATCH(SUP_H2_Production!J$10,'86 PEMEC 100MW'!$B$6:$B$39,0),MATCH(SUP_H2_Production!$G83,'86 PEMEC 100MW'!$C$4:$F$4,0))/100</f>
        <v>0.57999999999999996</v>
      </c>
      <c r="K83" s="1067"/>
      <c r="L83" s="1067"/>
      <c r="M83" s="1067">
        <f>(100-INDEX('86 PEMEC 100MW'!$C$6:$F$39,MATCH(SUP_H2_Production!M$10,'86 PEMEC 100MW'!$B$6:$B$39,0),MATCH(SUP_H2_Production!$G83,'86 PEMEC 100MW'!$C$4:$F$4,0)))/100</f>
        <v>0.98</v>
      </c>
      <c r="N83" s="1069">
        <f>INDEX('86 PEMEC 100MW'!$C$6:$F$39,MATCH(SUP_H2_Production!N$10,'86 PEMEC 100MW'!$B$6:$B$39,0),MATCH(SUP_H2_Production!$G83,'86 PEMEC 100MW'!$C$4:$F$4,0))</f>
        <v>20</v>
      </c>
      <c r="O83" s="1070">
        <v>3.1536000000000002E-2</v>
      </c>
      <c r="P83" s="1067">
        <f>INDEX('86 PEMEC 100MW'!$C$6:$F$39,MATCH(SUP_H2_Production!P$10,'86 PEMEC 100MW'!$B$6:$B$39,0),MATCH(SUP_H2_Production!$G83,'86 PEMEC 100MW'!$C$4:$F$4,0))/$J83/1000*7.45</f>
        <v>11.881465517241381</v>
      </c>
      <c r="Q83" s="1067">
        <f>INDEX('86 PEMEC 100MW'!$C$6:$F$39,MATCH(SUP_H2_Production!Q$10,'86 PEMEC 100MW'!$B$6:$B$39,0),MATCH(SUP_H2_Production!$G83,'86 PEMEC 100MW'!$C$4:$F$4,0))/$J83/1000*7.45</f>
        <v>5.1379310344827595E-2</v>
      </c>
      <c r="R83" s="1067"/>
      <c r="S83" s="1006">
        <v>0.5</v>
      </c>
      <c r="T83" s="1006" t="s">
        <v>1734</v>
      </c>
      <c r="U83" s="1006"/>
    </row>
    <row r="84" spans="2:21">
      <c r="B84" s="1232"/>
      <c r="C84" s="1232"/>
      <c r="D84" s="1232"/>
      <c r="E84" s="1232"/>
      <c r="F84" s="1232" t="s">
        <v>216</v>
      </c>
      <c r="G84" s="1232"/>
      <c r="H84" s="241"/>
      <c r="I84" s="1232"/>
      <c r="J84" s="1240" t="s">
        <v>124</v>
      </c>
      <c r="K84" s="141"/>
      <c r="L84" s="1067">
        <f>INDEX('86 PEMEC 100MW'!$C$6:$F$39,MATCH(SUP_H2_Production!L$10,'86 PEMEC 100MW'!$B$6:$B$39,0),MATCH(SUP_H2_Production!$G83,'86 PEMEC 100MW'!$C$4:$F$4,0))/100</f>
        <v>0.28437143714371443</v>
      </c>
      <c r="M84" s="1232"/>
      <c r="N84" s="281"/>
      <c r="O84" s="103"/>
      <c r="P84" s="141"/>
      <c r="Q84" s="141"/>
      <c r="R84" s="1232"/>
      <c r="S84" s="1232"/>
      <c r="T84" s="1232"/>
    </row>
    <row r="85" spans="2:21">
      <c r="B85" s="1232"/>
      <c r="C85" s="1232"/>
      <c r="D85" s="1006" t="s">
        <v>71</v>
      </c>
      <c r="E85" s="1006" t="s">
        <v>1314</v>
      </c>
      <c r="F85" s="1006"/>
      <c r="G85" s="1006">
        <v>2030</v>
      </c>
      <c r="H85" s="1066" t="s">
        <v>70</v>
      </c>
      <c r="I85" s="1006"/>
      <c r="J85" s="1067">
        <f>INDEX('86 PEMEC 100MW'!$C$6:$F$39,MATCH(SUP_H2_Production!J$10,'86 PEMEC 100MW'!$B$6:$B$39,0),MATCH(SUP_H2_Production!$G85,'86 PEMEC 100MW'!$C$4:$F$4,0))/100</f>
        <v>0.65500000000000003</v>
      </c>
      <c r="K85" s="1067"/>
      <c r="L85" s="1067"/>
      <c r="M85" s="1067">
        <f>(100-INDEX('86 PEMEC 100MW'!$C$6:$F$39,MATCH(SUP_H2_Production!M$10,'86 PEMEC 100MW'!$B$6:$B$39,0),MATCH(SUP_H2_Production!$G85,'86 PEMEC 100MW'!$C$4:$F$4,0)))/100</f>
        <v>0.98</v>
      </c>
      <c r="N85" s="1069">
        <f>INDEX('86 PEMEC 100MW'!$C$6:$F$39,MATCH(SUP_H2_Production!N$10,'86 PEMEC 100MW'!$B$6:$B$39,0),MATCH(SUP_H2_Production!$G85,'86 PEMEC 100MW'!$C$4:$F$4,0))</f>
        <v>25</v>
      </c>
      <c r="O85" s="1070">
        <v>3.1536000000000002E-2</v>
      </c>
      <c r="P85" s="1067">
        <f>INDEX('86 PEMEC 100MW'!$C$6:$F$39,MATCH(SUP_H2_Production!P$10,'86 PEMEC 100MW'!$B$6:$B$39,0),MATCH(SUP_H2_Production!$G85,'86 PEMEC 100MW'!$C$4:$F$4,0))/$J85/1000*7.45</f>
        <v>7.3931297709923669</v>
      </c>
      <c r="Q85" s="1067">
        <f>INDEX('86 PEMEC 100MW'!$C$6:$F$39,MATCH(SUP_H2_Production!Q$10,'86 PEMEC 100MW'!$B$6:$B$39,0),MATCH(SUP_H2_Production!$G85,'86 PEMEC 100MW'!$C$4:$F$4,0))/$J85/1000*7.45</f>
        <v>4.549618320610687E-2</v>
      </c>
      <c r="R85" s="1067"/>
      <c r="S85" s="1006"/>
      <c r="T85" s="1006"/>
      <c r="U85" s="1006"/>
    </row>
    <row r="86" spans="2:21">
      <c r="B86" s="1232"/>
      <c r="C86" s="1232"/>
      <c r="D86" s="1006"/>
      <c r="E86" s="1006"/>
      <c r="F86" s="1006" t="s">
        <v>216</v>
      </c>
      <c r="G86" s="1006"/>
      <c r="H86" s="1066"/>
      <c r="I86" s="1006"/>
      <c r="J86" s="1067"/>
      <c r="K86" s="1067"/>
      <c r="L86" s="1067">
        <f>INDEX('86 PEMEC 100MW'!$C$6:$F$39,MATCH(SUP_H2_Production!L$10,'86 PEMEC 100MW'!$B$6:$B$39,0),MATCH(SUP_H2_Production!$G85,'86 PEMEC 100MW'!$C$4:$F$4,0))/100</f>
        <v>0.19571257125712563</v>
      </c>
      <c r="M86" s="1006"/>
      <c r="N86" s="1069"/>
      <c r="O86" s="1070"/>
      <c r="P86" s="1067"/>
      <c r="Q86" s="1067"/>
      <c r="R86" s="1006"/>
      <c r="S86" s="1006"/>
      <c r="T86" s="1006"/>
      <c r="U86" s="1006"/>
    </row>
    <row r="87" spans="2:21">
      <c r="B87" s="1232"/>
      <c r="C87" s="1232"/>
      <c r="D87" s="1006" t="s">
        <v>71</v>
      </c>
      <c r="E87" s="1006" t="s">
        <v>1314</v>
      </c>
      <c r="F87" s="1006"/>
      <c r="G87" s="1006">
        <v>2040</v>
      </c>
      <c r="H87" s="1066" t="s">
        <v>70</v>
      </c>
      <c r="I87" s="1006"/>
      <c r="J87" s="1067">
        <f>INDEX('86 PEMEC 100MW'!$C$6:$F$39,MATCH(SUP_H2_Production!J$10,'86 PEMEC 100MW'!$B$6:$B$39,0),MATCH(SUP_H2_Production!$G87,'86 PEMEC 100MW'!$C$4:$F$4,0))/100</f>
        <v>0.68</v>
      </c>
      <c r="K87" s="1067"/>
      <c r="L87" s="1067"/>
      <c r="M87" s="1067">
        <f>(100-INDEX('86 PEMEC 100MW'!$C$6:$F$39,MATCH(SUP_H2_Production!M$10,'86 PEMEC 100MW'!$B$6:$B$39,0),MATCH(SUP_H2_Production!$G87,'86 PEMEC 100MW'!$C$4:$F$4,0)))/100</f>
        <v>0.98</v>
      </c>
      <c r="N87" s="1069">
        <f>INDEX('86 PEMEC 100MW'!$C$6:$F$39,MATCH(SUP_H2_Production!N$10,'86 PEMEC 100MW'!$B$6:$B$39,0),MATCH(SUP_H2_Production!$G87,'86 PEMEC 100MW'!$C$4:$F$4,0))</f>
        <v>28</v>
      </c>
      <c r="O87" s="1070">
        <v>3.1536000000000002E-2</v>
      </c>
      <c r="P87" s="1067">
        <f>INDEX('86 PEMEC 100MW'!$C$6:$F$39,MATCH(SUP_H2_Production!P$10,'86 PEMEC 100MW'!$B$6:$B$39,0),MATCH(SUP_H2_Production!$G87,'86 PEMEC 100MW'!$C$4:$F$4,0))/$J87/1000*7.45</f>
        <v>4.930147058823529</v>
      </c>
      <c r="Q87" s="1067">
        <f>INDEX('86 PEMEC 100MW'!$C$6:$F$39,MATCH(SUP_H2_Production!Q$10,'86 PEMEC 100MW'!$B$6:$B$39,0),MATCH(SUP_H2_Production!$G87,'86 PEMEC 100MW'!$C$4:$F$4,0))/$J87/1000*7.45</f>
        <v>4.3823529411764706E-2</v>
      </c>
      <c r="R87" s="1067"/>
      <c r="S87" s="1006"/>
      <c r="T87" s="1006"/>
      <c r="U87" s="1006"/>
    </row>
    <row r="88" spans="2:21">
      <c r="B88" s="1232"/>
      <c r="C88" s="1232"/>
      <c r="D88" s="1006"/>
      <c r="E88" s="1006"/>
      <c r="F88" s="1006" t="s">
        <v>216</v>
      </c>
      <c r="G88" s="1006"/>
      <c r="H88" s="1066"/>
      <c r="I88" s="1006"/>
      <c r="J88" s="1067"/>
      <c r="K88" s="1067"/>
      <c r="L88" s="1067">
        <f>INDEX('86 PEMEC 100MW'!$C$6:$F$39,MATCH(SUP_H2_Production!L$10,'86 PEMEC 100MW'!$B$6:$B$39,0),MATCH(SUP_H2_Production!$G87,'86 PEMEC 100MW'!$C$4:$F$4,0))/100</f>
        <v>0.16615961596159623</v>
      </c>
      <c r="M88" s="1006"/>
      <c r="N88" s="1069"/>
      <c r="O88" s="1070"/>
      <c r="P88" s="1067"/>
      <c r="Q88" s="1067"/>
      <c r="R88" s="1006"/>
      <c r="S88" s="1006"/>
      <c r="T88" s="1006"/>
      <c r="U88" s="1006"/>
    </row>
    <row r="89" spans="2:21">
      <c r="B89" s="1232"/>
      <c r="C89" s="1232"/>
      <c r="D89" s="1006" t="s">
        <v>71</v>
      </c>
      <c r="E89" s="1006" t="s">
        <v>1314</v>
      </c>
      <c r="F89" s="1006"/>
      <c r="G89" s="1006">
        <v>2050</v>
      </c>
      <c r="H89" s="1066" t="s">
        <v>70</v>
      </c>
      <c r="I89" s="1006"/>
      <c r="J89" s="1067">
        <f>INDEX('86 PEMEC 100MW'!$C$6:$F$39,MATCH(SUP_H2_Production!J$10,'86 PEMEC 100MW'!$B$6:$B$39,0),MATCH(SUP_H2_Production!$G89,'86 PEMEC 100MW'!$C$4:$F$4,0))/100</f>
        <v>0.70499999999999996</v>
      </c>
      <c r="K89" s="1067"/>
      <c r="L89" s="1067"/>
      <c r="M89" s="1067">
        <f>(100-INDEX('86 PEMEC 100MW'!$C$6:$F$39,MATCH(SUP_H2_Production!M$10,'86 PEMEC 100MW'!$B$6:$B$39,0),MATCH(SUP_H2_Production!$G89,'86 PEMEC 100MW'!$C$4:$F$4,0)))/100</f>
        <v>0.98</v>
      </c>
      <c r="N89" s="1069">
        <f>INDEX('86 PEMEC 100MW'!$C$6:$F$39,MATCH(SUP_H2_Production!N$10,'86 PEMEC 100MW'!$B$6:$B$39,0),MATCH(SUP_H2_Production!$G89,'86 PEMEC 100MW'!$C$4:$F$4,0))</f>
        <v>30</v>
      </c>
      <c r="O89" s="1070">
        <v>3.1536000000000002E-2</v>
      </c>
      <c r="P89" s="1067">
        <f>INDEX('86 PEMEC 100MW'!$C$6:$F$39,MATCH(SUP_H2_Production!P$10,'86 PEMEC 100MW'!$B$6:$B$39,0),MATCH(SUP_H2_Production!$G89,'86 PEMEC 100MW'!$C$4:$F$4,0))/$J89/1000*7.45</f>
        <v>4.2269503546099294</v>
      </c>
      <c r="Q89" s="1067">
        <f>INDEX('86 PEMEC 100MW'!$C$6:$F$39,MATCH(SUP_H2_Production!Q$10,'86 PEMEC 100MW'!$B$6:$B$39,0),MATCH(SUP_H2_Production!$G89,'86 PEMEC 100MW'!$C$4:$F$4,0))/$J89/1000*7.45</f>
        <v>4.2269503546099298E-2</v>
      </c>
      <c r="R89" s="1067"/>
      <c r="S89" s="1006"/>
      <c r="T89" s="1006"/>
      <c r="U89" s="1006"/>
    </row>
    <row r="90" spans="2:21" ht="13.8" thickBot="1">
      <c r="B90" s="107"/>
      <c r="C90" s="107"/>
      <c r="D90" s="107"/>
      <c r="E90" s="107"/>
      <c r="F90" s="107" t="s">
        <v>216</v>
      </c>
      <c r="G90" s="107"/>
      <c r="H90" s="256"/>
      <c r="I90" s="107"/>
      <c r="J90" s="151"/>
      <c r="K90" s="151"/>
      <c r="L90" s="151">
        <f>INDEX('86 PEMEC 100MW'!$C$6:$F$39,MATCH(SUP_H2_Production!L$10,'86 PEMEC 100MW'!$B$6:$B$39,0),MATCH(SUP_H2_Production!$G89,'86 PEMEC 100MW'!$C$4:$F$4,0))/100</f>
        <v>0.1366066606660668</v>
      </c>
      <c r="M90" s="107"/>
      <c r="N90" s="107"/>
      <c r="O90" s="107"/>
      <c r="P90" s="257"/>
      <c r="Q90" s="257"/>
      <c r="R90" s="107"/>
      <c r="S90" s="107"/>
      <c r="T90" s="107"/>
      <c r="U90" s="1006"/>
    </row>
    <row r="91" spans="2:21">
      <c r="B91" s="1232" t="s">
        <v>1746</v>
      </c>
      <c r="C91" s="1232" t="s">
        <v>369</v>
      </c>
      <c r="D91" s="1006" t="s">
        <v>71</v>
      </c>
      <c r="E91" s="1006" t="s">
        <v>348</v>
      </c>
      <c r="F91" s="1006"/>
      <c r="G91" s="1006">
        <v>2020</v>
      </c>
      <c r="H91" s="1066" t="s">
        <v>70</v>
      </c>
      <c r="I91" s="1006">
        <v>2020</v>
      </c>
      <c r="J91" s="1067">
        <f>INDEX('86 PEMEC 100MW'!$C$6:$F$39,MATCH(SUP_H2_Production!J$10,'86 PEMEC 100MW'!$B$6:$B$39,0),MATCH(SUP_H2_Production!$G91,'86 PEMEC 100MW'!$C$4:$F$4,0))/100</f>
        <v>0.57999999999999996</v>
      </c>
      <c r="K91" s="1067"/>
      <c r="L91" s="1067"/>
      <c r="M91" s="1067">
        <f>(100-INDEX('86 PEMEC 100MW'!$C$6:$F$39,MATCH(SUP_H2_Production!M$10,'86 PEMEC 100MW'!$B$6:$B$39,0),MATCH(SUP_H2_Production!$G91,'86 PEMEC 100MW'!$C$4:$F$4,0)))/100</f>
        <v>0.98</v>
      </c>
      <c r="N91" s="1069">
        <f>INDEX('86 PEMEC 100MW'!$C$6:$F$39,MATCH(SUP_H2_Production!N$10,'86 PEMEC 100MW'!$B$6:$B$39,0),MATCH(SUP_H2_Production!$G91,'86 PEMEC 100MW'!$C$4:$F$4,0))</f>
        <v>20</v>
      </c>
      <c r="O91" s="1070">
        <v>3.1536000000000002E-2</v>
      </c>
      <c r="P91" s="1067">
        <f>INDEX('86 PEMEC 100MW'!$C$6:$F$39,MATCH(SUP_H2_Production!P$10,'86 PEMEC 100MW'!$B$6:$B$39,0),MATCH(SUP_H2_Production!$G91,'86 PEMEC 100MW'!$C$4:$F$4,0))/$J91/1000*7.45</f>
        <v>11.881465517241381</v>
      </c>
      <c r="Q91" s="1067">
        <f>INDEX('86 PEMEC 100MW'!$C$6:$F$39,MATCH(SUP_H2_Production!Q$10,'86 PEMEC 100MW'!$B$6:$B$39,0),MATCH(SUP_H2_Production!$G91,'86 PEMEC 100MW'!$C$4:$F$4,0))/$J91/1000*7.45</f>
        <v>5.1379310344827595E-2</v>
      </c>
      <c r="R91" s="1067"/>
      <c r="S91" s="1006">
        <v>0.5</v>
      </c>
      <c r="T91" s="1006" t="s">
        <v>1734</v>
      </c>
      <c r="U91" s="1006"/>
    </row>
    <row r="92" spans="2:21">
      <c r="B92" s="1232"/>
      <c r="C92" s="1232"/>
      <c r="D92" s="1232"/>
      <c r="E92" s="1232"/>
      <c r="F92" s="1232" t="s">
        <v>259</v>
      </c>
      <c r="G92" s="1232"/>
      <c r="H92" s="241"/>
      <c r="I92" s="1232"/>
      <c r="J92" s="1240" t="s">
        <v>124</v>
      </c>
      <c r="K92" s="141"/>
      <c r="L92" s="1067">
        <f>INDEX('86 PEMEC 100MW'!$C$6:$F$39,MATCH(SUP_H2_Production!L$10,'86 PEMEC 100MW'!$B$6:$B$39,0),MATCH(SUP_H2_Production!$G91,'86 PEMEC 100MW'!$C$4:$F$4,0))/100</f>
        <v>0.28437143714371443</v>
      </c>
      <c r="M92" s="1232"/>
      <c r="N92" s="281"/>
      <c r="O92" s="103"/>
      <c r="P92" s="141"/>
      <c r="Q92" s="141"/>
      <c r="R92" s="1232"/>
      <c r="S92" s="1232"/>
      <c r="T92" s="1232"/>
    </row>
    <row r="93" spans="2:21">
      <c r="B93" s="1232"/>
      <c r="C93" s="1232"/>
      <c r="D93" s="1006" t="s">
        <v>71</v>
      </c>
      <c r="E93" s="1006" t="s">
        <v>348</v>
      </c>
      <c r="F93" s="1006"/>
      <c r="G93" s="1006">
        <v>2030</v>
      </c>
      <c r="H93" s="1066" t="s">
        <v>70</v>
      </c>
      <c r="I93" s="1006"/>
      <c r="J93" s="1067">
        <f>INDEX('86 PEMEC 100MW'!$C$6:$F$39,MATCH(SUP_H2_Production!J$10,'86 PEMEC 100MW'!$B$6:$B$39,0),MATCH(SUP_H2_Production!$G93,'86 PEMEC 100MW'!$C$4:$F$4,0))/100</f>
        <v>0.65500000000000003</v>
      </c>
      <c r="K93" s="1067"/>
      <c r="L93" s="1067"/>
      <c r="M93" s="1067">
        <f>(100-INDEX('86 PEMEC 100MW'!$C$6:$F$39,MATCH(SUP_H2_Production!M$10,'86 PEMEC 100MW'!$B$6:$B$39,0),MATCH(SUP_H2_Production!$G93,'86 PEMEC 100MW'!$C$4:$F$4,0)))/100</f>
        <v>0.98</v>
      </c>
      <c r="N93" s="1069">
        <f>INDEX('86 PEMEC 100MW'!$C$6:$F$39,MATCH(SUP_H2_Production!N$10,'86 PEMEC 100MW'!$B$6:$B$39,0),MATCH(SUP_H2_Production!$G93,'86 PEMEC 100MW'!$C$4:$F$4,0))</f>
        <v>25</v>
      </c>
      <c r="O93" s="1070">
        <v>3.1536000000000002E-2</v>
      </c>
      <c r="P93" s="1067">
        <f>INDEX('86 PEMEC 100MW'!$C$6:$F$39,MATCH(SUP_H2_Production!P$10,'86 PEMEC 100MW'!$B$6:$B$39,0),MATCH(SUP_H2_Production!$G93,'86 PEMEC 100MW'!$C$4:$F$4,0))/$J93/1000*7.45</f>
        <v>7.3931297709923669</v>
      </c>
      <c r="Q93" s="1067">
        <f>INDEX('86 PEMEC 100MW'!$C$6:$F$39,MATCH(SUP_H2_Production!Q$10,'86 PEMEC 100MW'!$B$6:$B$39,0),MATCH(SUP_H2_Production!$G93,'86 PEMEC 100MW'!$C$4:$F$4,0))/$J93/1000*7.45</f>
        <v>4.549618320610687E-2</v>
      </c>
      <c r="R93" s="1067"/>
      <c r="S93" s="1006"/>
      <c r="T93" s="1006"/>
      <c r="U93" s="1006"/>
    </row>
    <row r="94" spans="2:21">
      <c r="B94" s="1232"/>
      <c r="C94" s="1232"/>
      <c r="D94" s="1006"/>
      <c r="E94" s="1006"/>
      <c r="F94" s="1232" t="s">
        <v>259</v>
      </c>
      <c r="G94" s="1006"/>
      <c r="H94" s="1066"/>
      <c r="I94" s="1006"/>
      <c r="J94" s="1067"/>
      <c r="K94" s="1067"/>
      <c r="L94" s="1067">
        <f>INDEX('86 PEMEC 100MW'!$C$6:$F$39,MATCH(SUP_H2_Production!L$10,'86 PEMEC 100MW'!$B$6:$B$39,0),MATCH(SUP_H2_Production!$G93,'86 PEMEC 100MW'!$C$4:$F$4,0))/100</f>
        <v>0.19571257125712563</v>
      </c>
      <c r="M94" s="1006"/>
      <c r="N94" s="1069"/>
      <c r="O94" s="1070"/>
      <c r="P94" s="1067"/>
      <c r="Q94" s="1067"/>
      <c r="R94" s="1006"/>
      <c r="S94" s="1006"/>
      <c r="T94" s="1006"/>
      <c r="U94" s="1006"/>
    </row>
    <row r="95" spans="2:21">
      <c r="B95" s="1232"/>
      <c r="C95" s="1232"/>
      <c r="D95" s="1006" t="s">
        <v>71</v>
      </c>
      <c r="E95" s="1006" t="s">
        <v>348</v>
      </c>
      <c r="F95" s="1006"/>
      <c r="G95" s="1006">
        <v>2040</v>
      </c>
      <c r="H95" s="1066" t="s">
        <v>70</v>
      </c>
      <c r="I95" s="1006"/>
      <c r="J95" s="1067">
        <f>INDEX('86 PEMEC 100MW'!$C$6:$F$39,MATCH(SUP_H2_Production!J$10,'86 PEMEC 100MW'!$B$6:$B$39,0),MATCH(SUP_H2_Production!$G95,'86 PEMEC 100MW'!$C$4:$F$4,0))/100</f>
        <v>0.68</v>
      </c>
      <c r="K95" s="1067"/>
      <c r="L95" s="1067"/>
      <c r="M95" s="1067">
        <f>(100-INDEX('86 PEMEC 100MW'!$C$6:$F$39,MATCH(SUP_H2_Production!M$10,'86 PEMEC 100MW'!$B$6:$B$39,0),MATCH(SUP_H2_Production!$G95,'86 PEMEC 100MW'!$C$4:$F$4,0)))/100</f>
        <v>0.98</v>
      </c>
      <c r="N95" s="1069">
        <f>INDEX('86 PEMEC 100MW'!$C$6:$F$39,MATCH(SUP_H2_Production!N$10,'86 PEMEC 100MW'!$B$6:$B$39,0),MATCH(SUP_H2_Production!$G95,'86 PEMEC 100MW'!$C$4:$F$4,0))</f>
        <v>28</v>
      </c>
      <c r="O95" s="1070">
        <v>3.1536000000000002E-2</v>
      </c>
      <c r="P95" s="1067">
        <f>INDEX('86 PEMEC 100MW'!$C$6:$F$39,MATCH(SUP_H2_Production!P$10,'86 PEMEC 100MW'!$B$6:$B$39,0),MATCH(SUP_H2_Production!$G95,'86 PEMEC 100MW'!$C$4:$F$4,0))/$J95/1000*7.45</f>
        <v>4.930147058823529</v>
      </c>
      <c r="Q95" s="1067">
        <f>INDEX('86 PEMEC 100MW'!$C$6:$F$39,MATCH(SUP_H2_Production!Q$10,'86 PEMEC 100MW'!$B$6:$B$39,0),MATCH(SUP_H2_Production!$G95,'86 PEMEC 100MW'!$C$4:$F$4,0))/$J95/1000*7.45</f>
        <v>4.3823529411764706E-2</v>
      </c>
      <c r="R95" s="1067"/>
      <c r="S95" s="1006"/>
      <c r="T95" s="1006"/>
      <c r="U95" s="1006"/>
    </row>
    <row r="96" spans="2:21">
      <c r="B96" s="1232"/>
      <c r="C96" s="1232"/>
      <c r="D96" s="1006"/>
      <c r="E96" s="1006"/>
      <c r="F96" s="1232" t="s">
        <v>259</v>
      </c>
      <c r="G96" s="1006"/>
      <c r="H96" s="1066"/>
      <c r="I96" s="1006"/>
      <c r="J96" s="1067"/>
      <c r="K96" s="1067"/>
      <c r="L96" s="1067">
        <f>INDEX('86 PEMEC 100MW'!$C$6:$F$39,MATCH(SUP_H2_Production!L$10,'86 PEMEC 100MW'!$B$6:$B$39,0),MATCH(SUP_H2_Production!$G95,'86 PEMEC 100MW'!$C$4:$F$4,0))/100</f>
        <v>0.16615961596159623</v>
      </c>
      <c r="M96" s="1006"/>
      <c r="N96" s="1069"/>
      <c r="O96" s="1070"/>
      <c r="P96" s="1067"/>
      <c r="Q96" s="1067"/>
      <c r="R96" s="1006"/>
      <c r="S96" s="1006"/>
      <c r="T96" s="1006"/>
      <c r="U96" s="1006"/>
    </row>
    <row r="97" spans="2:21">
      <c r="B97" s="1232"/>
      <c r="C97" s="1232"/>
      <c r="D97" s="1006" t="s">
        <v>71</v>
      </c>
      <c r="E97" s="1006" t="s">
        <v>348</v>
      </c>
      <c r="F97" s="1006"/>
      <c r="G97" s="1006">
        <v>2050</v>
      </c>
      <c r="H97" s="1066" t="s">
        <v>70</v>
      </c>
      <c r="I97" s="1006"/>
      <c r="J97" s="1067">
        <f>INDEX('86 PEMEC 100MW'!$C$6:$F$39,MATCH(SUP_H2_Production!J$10,'86 PEMEC 100MW'!$B$6:$B$39,0),MATCH(SUP_H2_Production!$G97,'86 PEMEC 100MW'!$C$4:$F$4,0))/100</f>
        <v>0.70499999999999996</v>
      </c>
      <c r="K97" s="1067"/>
      <c r="L97" s="1067"/>
      <c r="M97" s="1067">
        <f>(100-INDEX('86 PEMEC 100MW'!$C$6:$F$39,MATCH(SUP_H2_Production!M$10,'86 PEMEC 100MW'!$B$6:$B$39,0),MATCH(SUP_H2_Production!$G97,'86 PEMEC 100MW'!$C$4:$F$4,0)))/100</f>
        <v>0.98</v>
      </c>
      <c r="N97" s="1069">
        <f>INDEX('86 PEMEC 100MW'!$C$6:$F$39,MATCH(SUP_H2_Production!N$10,'86 PEMEC 100MW'!$B$6:$B$39,0),MATCH(SUP_H2_Production!$G97,'86 PEMEC 100MW'!$C$4:$F$4,0))</f>
        <v>30</v>
      </c>
      <c r="O97" s="1070">
        <v>3.1536000000000002E-2</v>
      </c>
      <c r="P97" s="1067">
        <f>INDEX('86 PEMEC 100MW'!$C$6:$F$39,MATCH(SUP_H2_Production!P$10,'86 PEMEC 100MW'!$B$6:$B$39,0),MATCH(SUP_H2_Production!$G97,'86 PEMEC 100MW'!$C$4:$F$4,0))/$J97/1000*7.45</f>
        <v>4.2269503546099294</v>
      </c>
      <c r="Q97" s="1067">
        <f>INDEX('86 PEMEC 100MW'!$C$6:$F$39,MATCH(SUP_H2_Production!Q$10,'86 PEMEC 100MW'!$B$6:$B$39,0),MATCH(SUP_H2_Production!$G97,'86 PEMEC 100MW'!$C$4:$F$4,0))/$J97/1000*7.45</f>
        <v>4.2269503546099298E-2</v>
      </c>
      <c r="R97" s="1067"/>
      <c r="S97" s="1006"/>
      <c r="T97" s="1006"/>
      <c r="U97" s="1006"/>
    </row>
    <row r="98" spans="2:21" ht="13.8" thickBot="1">
      <c r="B98" s="107"/>
      <c r="C98" s="107"/>
      <c r="D98" s="107"/>
      <c r="E98" s="107"/>
      <c r="F98" s="107" t="s">
        <v>259</v>
      </c>
      <c r="G98" s="107"/>
      <c r="H98" s="256"/>
      <c r="I98" s="107"/>
      <c r="J98" s="151"/>
      <c r="K98" s="151"/>
      <c r="L98" s="151">
        <f>INDEX('86 PEMEC 100MW'!$C$6:$F$39,MATCH(SUP_H2_Production!L$10,'86 PEMEC 100MW'!$B$6:$B$39,0),MATCH(SUP_H2_Production!$G97,'86 PEMEC 100MW'!$C$4:$F$4,0))/100</f>
        <v>0.1366066606660668</v>
      </c>
      <c r="M98" s="107"/>
      <c r="N98" s="107"/>
      <c r="O98" s="107"/>
      <c r="P98" s="257"/>
      <c r="Q98" s="257"/>
      <c r="R98" s="107"/>
      <c r="S98" s="107"/>
      <c r="T98" s="107"/>
      <c r="U98" s="1006"/>
    </row>
    <row r="99" spans="2:21">
      <c r="B99" s="1232" t="s">
        <v>1747</v>
      </c>
      <c r="C99" s="1232" t="s">
        <v>1735</v>
      </c>
      <c r="D99" s="1006" t="s">
        <v>71</v>
      </c>
      <c r="E99" s="1006" t="s">
        <v>1314</v>
      </c>
      <c r="F99" s="1006"/>
      <c r="G99" s="1006">
        <v>2020</v>
      </c>
      <c r="H99" s="1066" t="s">
        <v>70</v>
      </c>
      <c r="I99" s="1006">
        <v>2020</v>
      </c>
      <c r="J99" s="1067">
        <f>INDEX('86 PEMEC 100MW'!$C$6:$F$39,MATCH(SUP_H2_Production!J$10,'86 PEMEC 100MW'!$B$6:$B$39,0),MATCH(SUP_H2_Production!$G99,'86 PEMEC 100MW'!$C$4:$F$4,0))/100</f>
        <v>0.57999999999999996</v>
      </c>
      <c r="K99" s="1067"/>
      <c r="L99" s="1067"/>
      <c r="M99" s="1067">
        <f>(100-INDEX('86 PEMEC 100MW'!$C$6:$F$39,MATCH(SUP_H2_Production!M$10,'86 PEMEC 100MW'!$B$6:$B$39,0),MATCH(SUP_H2_Production!$G99,'86 PEMEC 100MW'!$C$4:$F$4,0)))/100</f>
        <v>0.98</v>
      </c>
      <c r="N99" s="1069">
        <f>INDEX('86 PEMEC 100MW'!$C$6:$F$39,MATCH(SUP_H2_Production!N$10,'86 PEMEC 100MW'!$B$6:$B$39,0),MATCH(SUP_H2_Production!$G99,'86 PEMEC 100MW'!$C$4:$F$4,0))</f>
        <v>20</v>
      </c>
      <c r="O99" s="1070">
        <v>3.1536000000000002E-2</v>
      </c>
      <c r="P99" s="1067">
        <f>INDEX('86 PEMEC 100MW'!$C$6:$F$39,MATCH(SUP_H2_Production!P$10,'86 PEMEC 100MW'!$B$6:$B$39,0),MATCH(SUP_H2_Production!$G99,'86 PEMEC 100MW'!$C$4:$F$4,0))/$J99/1000*7.45</f>
        <v>11.881465517241381</v>
      </c>
      <c r="Q99" s="1067">
        <f>INDEX('86 PEMEC 100MW'!$C$6:$F$39,MATCH(SUP_H2_Production!Q$10,'86 PEMEC 100MW'!$B$6:$B$39,0),MATCH(SUP_H2_Production!$G99,'86 PEMEC 100MW'!$C$4:$F$4,0))/$J99/1000*7.45</f>
        <v>5.1379310344827595E-2</v>
      </c>
      <c r="R99" s="1067"/>
      <c r="S99" s="1006">
        <v>0.5</v>
      </c>
      <c r="T99" s="1006" t="s">
        <v>1734</v>
      </c>
      <c r="U99" s="1006"/>
    </row>
    <row r="100" spans="2:21">
      <c r="B100" s="1232"/>
      <c r="C100" s="1232"/>
      <c r="D100" s="1232"/>
      <c r="E100" s="1232"/>
      <c r="F100" s="1232"/>
      <c r="G100" s="1232"/>
      <c r="H100" s="241"/>
      <c r="I100" s="1232"/>
      <c r="J100" s="1240" t="s">
        <v>124</v>
      </c>
      <c r="K100" s="141"/>
      <c r="L100" s="1067">
        <f>INDEX('86 PEMEC 100MW'!$C$6:$F$39,MATCH(SUP_H2_Production!L$10,'86 PEMEC 100MW'!$B$6:$B$39,0),MATCH(SUP_H2_Production!$G99,'86 PEMEC 100MW'!$C$4:$F$4,0))/100</f>
        <v>0.28437143714371443</v>
      </c>
      <c r="M100" s="1232"/>
      <c r="N100" s="281"/>
      <c r="O100" s="103"/>
      <c r="P100" s="141"/>
      <c r="Q100" s="141"/>
      <c r="R100" s="1232"/>
      <c r="S100" s="1232"/>
      <c r="T100" s="1232"/>
    </row>
    <row r="101" spans="2:21">
      <c r="B101" s="1232"/>
      <c r="C101" s="1232"/>
      <c r="D101" s="1006" t="s">
        <v>71</v>
      </c>
      <c r="E101" s="1006" t="s">
        <v>1314</v>
      </c>
      <c r="F101" s="1006"/>
      <c r="G101" s="1006">
        <v>2030</v>
      </c>
      <c r="H101" s="1066" t="s">
        <v>70</v>
      </c>
      <c r="I101" s="1006"/>
      <c r="J101" s="1067">
        <f>INDEX('86 PEMEC 100MW'!$C$6:$F$39,MATCH(SUP_H2_Production!J$10,'86 PEMEC 100MW'!$B$6:$B$39,0),MATCH(SUP_H2_Production!$G101,'86 PEMEC 100MW'!$C$4:$F$4,0))/100</f>
        <v>0.65500000000000003</v>
      </c>
      <c r="K101" s="1067"/>
      <c r="L101" s="1067"/>
      <c r="M101" s="1067">
        <f>(100-INDEX('86 PEMEC 100MW'!$C$6:$F$39,MATCH(SUP_H2_Production!M$10,'86 PEMEC 100MW'!$B$6:$B$39,0),MATCH(SUP_H2_Production!$G101,'86 PEMEC 100MW'!$C$4:$F$4,0)))/100</f>
        <v>0.98</v>
      </c>
      <c r="N101" s="1069">
        <f>INDEX('86 PEMEC 100MW'!$C$6:$F$39,MATCH(SUP_H2_Production!N$10,'86 PEMEC 100MW'!$B$6:$B$39,0),MATCH(SUP_H2_Production!$G101,'86 PEMEC 100MW'!$C$4:$F$4,0))</f>
        <v>25</v>
      </c>
      <c r="O101" s="1070">
        <v>3.1536000000000002E-2</v>
      </c>
      <c r="P101" s="1067">
        <f>INDEX('86 PEMEC 100MW'!$C$6:$F$39,MATCH(SUP_H2_Production!P$10,'86 PEMEC 100MW'!$B$6:$B$39,0),MATCH(SUP_H2_Production!$G101,'86 PEMEC 100MW'!$C$4:$F$4,0))/$J101/1000*7.45</f>
        <v>7.3931297709923669</v>
      </c>
      <c r="Q101" s="1067">
        <f>INDEX('86 PEMEC 100MW'!$C$6:$F$39,MATCH(SUP_H2_Production!Q$10,'86 PEMEC 100MW'!$B$6:$B$39,0),MATCH(SUP_H2_Production!$G101,'86 PEMEC 100MW'!$C$4:$F$4,0))/$J101/1000*7.45</f>
        <v>4.549618320610687E-2</v>
      </c>
      <c r="R101" s="1067"/>
      <c r="S101" s="1006"/>
      <c r="T101" s="1006"/>
      <c r="U101" s="1006"/>
    </row>
    <row r="102" spans="2:21">
      <c r="B102" s="1232"/>
      <c r="C102" s="1232"/>
      <c r="D102" s="1006"/>
      <c r="E102" s="1006"/>
      <c r="F102" s="1006"/>
      <c r="G102" s="1006"/>
      <c r="H102" s="1066"/>
      <c r="I102" s="1006"/>
      <c r="J102" s="1067"/>
      <c r="K102" s="1067"/>
      <c r="L102" s="1067">
        <f>INDEX('86 PEMEC 100MW'!$C$6:$F$39,MATCH(SUP_H2_Production!L$10,'86 PEMEC 100MW'!$B$6:$B$39,0),MATCH(SUP_H2_Production!$G101,'86 PEMEC 100MW'!$C$4:$F$4,0))/100</f>
        <v>0.19571257125712563</v>
      </c>
      <c r="M102" s="1006"/>
      <c r="N102" s="1069"/>
      <c r="O102" s="1070"/>
      <c r="P102" s="1067"/>
      <c r="Q102" s="1067"/>
      <c r="R102" s="1006"/>
      <c r="S102" s="1006"/>
      <c r="T102" s="1006"/>
      <c r="U102" s="1006"/>
    </row>
    <row r="103" spans="2:21">
      <c r="B103" s="1232"/>
      <c r="C103" s="1232"/>
      <c r="D103" s="1006" t="s">
        <v>71</v>
      </c>
      <c r="E103" s="1006" t="s">
        <v>1314</v>
      </c>
      <c r="F103" s="1006"/>
      <c r="G103" s="1006">
        <v>2040</v>
      </c>
      <c r="H103" s="1066" t="s">
        <v>70</v>
      </c>
      <c r="I103" s="1006"/>
      <c r="J103" s="1067">
        <f>INDEX('86 PEMEC 100MW'!$C$6:$F$39,MATCH(SUP_H2_Production!J$10,'86 PEMEC 100MW'!$B$6:$B$39,0),MATCH(SUP_H2_Production!$G103,'86 PEMEC 100MW'!$C$4:$F$4,0))/100</f>
        <v>0.68</v>
      </c>
      <c r="K103" s="1067"/>
      <c r="L103" s="1067"/>
      <c r="M103" s="1067">
        <f>(100-INDEX('86 PEMEC 100MW'!$C$6:$F$39,MATCH(SUP_H2_Production!M$10,'86 PEMEC 100MW'!$B$6:$B$39,0),MATCH(SUP_H2_Production!$G103,'86 PEMEC 100MW'!$C$4:$F$4,0)))/100</f>
        <v>0.98</v>
      </c>
      <c r="N103" s="1069">
        <f>INDEX('86 PEMEC 100MW'!$C$6:$F$39,MATCH(SUP_H2_Production!N$10,'86 PEMEC 100MW'!$B$6:$B$39,0),MATCH(SUP_H2_Production!$G103,'86 PEMEC 100MW'!$C$4:$F$4,0))</f>
        <v>28</v>
      </c>
      <c r="O103" s="1070">
        <v>3.1536000000000002E-2</v>
      </c>
      <c r="P103" s="1067">
        <f>INDEX('86 PEMEC 100MW'!$C$6:$F$39,MATCH(SUP_H2_Production!P$10,'86 PEMEC 100MW'!$B$6:$B$39,0),MATCH(SUP_H2_Production!$G103,'86 PEMEC 100MW'!$C$4:$F$4,0))/$J103/1000*7.45</f>
        <v>4.930147058823529</v>
      </c>
      <c r="Q103" s="1067">
        <f>INDEX('86 PEMEC 100MW'!$C$6:$F$39,MATCH(SUP_H2_Production!Q$10,'86 PEMEC 100MW'!$B$6:$B$39,0),MATCH(SUP_H2_Production!$G103,'86 PEMEC 100MW'!$C$4:$F$4,0))/$J103/1000*7.45</f>
        <v>4.3823529411764706E-2</v>
      </c>
      <c r="R103" s="1067"/>
      <c r="S103" s="1006"/>
      <c r="T103" s="1006"/>
      <c r="U103" s="1006"/>
    </row>
    <row r="104" spans="2:21">
      <c r="B104" s="1232"/>
      <c r="C104" s="1232"/>
      <c r="D104" s="1006"/>
      <c r="E104" s="1006"/>
      <c r="F104" s="1006"/>
      <c r="G104" s="1006"/>
      <c r="H104" s="1066"/>
      <c r="I104" s="1006"/>
      <c r="J104" s="1067"/>
      <c r="K104" s="1067"/>
      <c r="L104" s="1067">
        <f>INDEX('86 PEMEC 100MW'!$C$6:$F$39,MATCH(SUP_H2_Production!L$10,'86 PEMEC 100MW'!$B$6:$B$39,0),MATCH(SUP_H2_Production!$G103,'86 PEMEC 100MW'!$C$4:$F$4,0))/100</f>
        <v>0.16615961596159623</v>
      </c>
      <c r="M104" s="1006"/>
      <c r="N104" s="1069"/>
      <c r="O104" s="1070"/>
      <c r="P104" s="1067"/>
      <c r="Q104" s="1067"/>
      <c r="R104" s="1006"/>
      <c r="S104" s="1006"/>
      <c r="T104" s="1006"/>
      <c r="U104" s="1006"/>
    </row>
    <row r="105" spans="2:21">
      <c r="B105" s="1232"/>
      <c r="C105" s="1232"/>
      <c r="D105" s="1006" t="s">
        <v>71</v>
      </c>
      <c r="E105" s="1006" t="s">
        <v>1314</v>
      </c>
      <c r="F105" s="1006"/>
      <c r="G105" s="1006">
        <v>2050</v>
      </c>
      <c r="H105" s="1066" t="s">
        <v>70</v>
      </c>
      <c r="I105" s="1006"/>
      <c r="J105" s="1067">
        <f>INDEX('86 PEMEC 100MW'!$C$6:$F$39,MATCH(SUP_H2_Production!J$10,'86 PEMEC 100MW'!$B$6:$B$39,0),MATCH(SUP_H2_Production!$G105,'86 PEMEC 100MW'!$C$4:$F$4,0))/100</f>
        <v>0.70499999999999996</v>
      </c>
      <c r="K105" s="1067"/>
      <c r="L105" s="1067"/>
      <c r="M105" s="1067">
        <f>(100-INDEX('86 PEMEC 100MW'!$C$6:$F$39,MATCH(SUP_H2_Production!M$10,'86 PEMEC 100MW'!$B$6:$B$39,0),MATCH(SUP_H2_Production!$G105,'86 PEMEC 100MW'!$C$4:$F$4,0)))/100</f>
        <v>0.98</v>
      </c>
      <c r="N105" s="1069">
        <f>INDEX('86 PEMEC 100MW'!$C$6:$F$39,MATCH(SUP_H2_Production!N$10,'86 PEMEC 100MW'!$B$6:$B$39,0),MATCH(SUP_H2_Production!$G105,'86 PEMEC 100MW'!$C$4:$F$4,0))</f>
        <v>30</v>
      </c>
      <c r="O105" s="1070">
        <v>3.1536000000000002E-2</v>
      </c>
      <c r="P105" s="1067">
        <f>INDEX('86 PEMEC 100MW'!$C$6:$F$39,MATCH(SUP_H2_Production!P$10,'86 PEMEC 100MW'!$B$6:$B$39,0),MATCH(SUP_H2_Production!$G105,'86 PEMEC 100MW'!$C$4:$F$4,0))/$J105/1000*7.45</f>
        <v>4.2269503546099294</v>
      </c>
      <c r="Q105" s="1067">
        <f>INDEX('86 PEMEC 100MW'!$C$6:$F$39,MATCH(SUP_H2_Production!Q$10,'86 PEMEC 100MW'!$B$6:$B$39,0),MATCH(SUP_H2_Production!$G105,'86 PEMEC 100MW'!$C$4:$F$4,0))/$J105/1000*7.45</f>
        <v>4.2269503546099298E-2</v>
      </c>
      <c r="R105" s="1067"/>
      <c r="S105" s="1006"/>
      <c r="T105" s="1006"/>
      <c r="U105" s="1006"/>
    </row>
    <row r="106" spans="2:21" ht="13.8" thickBot="1">
      <c r="B106" s="107"/>
      <c r="C106" s="107"/>
      <c r="D106" s="107"/>
      <c r="E106" s="107"/>
      <c r="F106" s="107"/>
      <c r="G106" s="107"/>
      <c r="H106" s="256"/>
      <c r="I106" s="107"/>
      <c r="J106" s="151"/>
      <c r="K106" s="151"/>
      <c r="L106" s="151">
        <f>INDEX('86 PEMEC 100MW'!$C$6:$F$39,MATCH(SUP_H2_Production!L$10,'86 PEMEC 100MW'!$B$6:$B$39,0),MATCH(SUP_H2_Production!$G105,'86 PEMEC 100MW'!$C$4:$F$4,0))/100</f>
        <v>0.1366066606660668</v>
      </c>
      <c r="M106" s="107"/>
      <c r="N106" s="107"/>
      <c r="O106" s="107"/>
      <c r="P106" s="257"/>
      <c r="Q106" s="257"/>
      <c r="R106" s="107"/>
      <c r="S106" s="107"/>
      <c r="T106" s="107"/>
      <c r="U106" s="1006"/>
    </row>
    <row r="107" spans="2:21">
      <c r="B107" s="1232" t="s">
        <v>1753</v>
      </c>
      <c r="C107" s="1232" t="s">
        <v>1748</v>
      </c>
      <c r="D107" s="1006" t="s">
        <v>71</v>
      </c>
      <c r="E107" s="1006" t="s">
        <v>1314</v>
      </c>
      <c r="F107" s="1006"/>
      <c r="G107" s="1006">
        <v>2020</v>
      </c>
      <c r="H107" s="1066" t="s">
        <v>70</v>
      </c>
      <c r="I107" s="1006">
        <v>2020</v>
      </c>
      <c r="J107" s="1067">
        <f>INDEX('86 SOEC 1MW'!$C$6:$F$39,MATCH(SUP_H2_Production!J$10,'86 SOEC 1MW'!$B$6:$B$39,0),MATCH(SUP_H2_Production!$G107,'86 SOEC 1MW'!$C$4:$F$4,0))/100</f>
        <v>0.77500000000000002</v>
      </c>
      <c r="K107" s="1067"/>
      <c r="L107" s="1067"/>
      <c r="M107" s="1067">
        <f>(100-INDEX('86 SOEC 1MW'!$C$6:$F$39,MATCH(SUP_H2_Production!M$10,'86 SOEC 1MW'!$B$6:$B$39,0),MATCH(SUP_H2_Production!$G107,'86 SOEC 1MW'!$C$4:$F$4,0)))/100</f>
        <v>0.98599999999999999</v>
      </c>
      <c r="N107" s="1069">
        <f>INDEX('86 SOEC 1MW'!$C$6:$F$39,MATCH(SUP_H2_Production!N$10,'86 SOEC 1MW'!$B$6:$B$39,0),MATCH(SUP_H2_Production!$G107,'86 SOEC 1MW'!$C$4:$F$4,0))</f>
        <v>10</v>
      </c>
      <c r="O107" s="1070">
        <v>3.1536000000000002E-2</v>
      </c>
      <c r="P107" s="1067">
        <f>INDEX('86 SOEC 1MW'!$C$6:$F$39,MATCH(SUP_H2_Production!P$10,'86 SOEC 1MW'!$B$6:$B$39,0),MATCH(SUP_H2_Production!$G107,'86 SOEC 1MW'!$C$4:$F$4,0))/$J107/1000*7.45</f>
        <v>43.167376749847833</v>
      </c>
      <c r="Q107" s="1067">
        <f>INDEX('86 SOEC 1MW'!$C$6:$F$39,MATCH(SUP_H2_Production!Q$10,'86 SOEC 1MW'!$B$6:$B$39,0),MATCH(SUP_H2_Production!$G107,'86 SOEC 1MW'!$C$4:$F$4,0))/$J107/1000*7.45</f>
        <v>0.11535483870967742</v>
      </c>
      <c r="R107" s="1067"/>
      <c r="S107" s="1006">
        <v>0.5</v>
      </c>
      <c r="T107" s="1006" t="s">
        <v>1734</v>
      </c>
      <c r="U107" s="1006"/>
    </row>
    <row r="108" spans="2:21">
      <c r="B108" s="1232"/>
      <c r="C108" s="1232"/>
      <c r="D108" s="1232"/>
      <c r="E108" s="1232"/>
      <c r="F108" s="1232" t="s">
        <v>216</v>
      </c>
      <c r="G108" s="1232"/>
      <c r="H108" s="241"/>
      <c r="I108" s="1232"/>
      <c r="J108" s="1240" t="s">
        <v>124</v>
      </c>
      <c r="K108" s="1067">
        <f>INDEX('86 SOEC 1MW'!$C$6:$F$39,MATCH(SUP_H2_Production!K$10,'86 SOEC 1MW'!$B$6:$B$39,0),MATCH(SUP_H2_Production!$G107,'86 SOEC 1MW'!$C$4:$F$4,0))/100</f>
        <v>0.20499999999999999</v>
      </c>
      <c r="L108" s="1067"/>
      <c r="M108" s="1232"/>
      <c r="N108" s="281"/>
      <c r="O108" s="103"/>
      <c r="P108" s="141"/>
      <c r="Q108" s="141"/>
      <c r="R108" s="1232"/>
      <c r="S108" s="1232"/>
      <c r="T108" s="1232"/>
    </row>
    <row r="109" spans="2:21">
      <c r="B109" s="1232"/>
      <c r="C109" s="1232"/>
      <c r="D109" s="1006" t="s">
        <v>71</v>
      </c>
      <c r="E109" s="1006" t="s">
        <v>1314</v>
      </c>
      <c r="F109" s="1006"/>
      <c r="G109" s="1006">
        <v>2030</v>
      </c>
      <c r="H109" s="1066" t="s">
        <v>70</v>
      </c>
      <c r="I109" s="1006"/>
      <c r="J109" s="1067">
        <f>INDEX('86 SOEC 1MW'!$C$6:$F$39,MATCH(SUP_H2_Production!J$10,'86 SOEC 1MW'!$B$6:$B$39,0),MATCH(SUP_H2_Production!$G109,'86 SOEC 1MW'!$C$4:$F$4,0))/100</f>
        <v>0.80500000000000005</v>
      </c>
      <c r="K109" s="1067"/>
      <c r="L109" s="1067"/>
      <c r="M109" s="1067">
        <f>(100-INDEX('86 SOEC 1MW'!$C$6:$F$39,MATCH(SUP_H2_Production!M$10,'86 SOEC 1MW'!$B$6:$B$39,0),MATCH(SUP_H2_Production!$G109,'86 SOEC 1MW'!$C$4:$F$4,0)))/100</f>
        <v>0.98599999999999999</v>
      </c>
      <c r="N109" s="1069">
        <f>INDEX('86 SOEC 1MW'!$C$6:$F$39,MATCH(SUP_H2_Production!N$10,'86 SOEC 1MW'!$B$6:$B$39,0),MATCH(SUP_H2_Production!$G109,'86 SOEC 1MW'!$C$4:$F$4,0))</f>
        <v>20</v>
      </c>
      <c r="O109" s="1070">
        <v>3.1536000000000002E-2</v>
      </c>
      <c r="P109" s="1067">
        <f>INDEX('86 SOEC 1MW'!$C$6:$F$39,MATCH(SUP_H2_Production!P$10,'86 SOEC 1MW'!$B$6:$B$39,0),MATCH(SUP_H2_Production!$G109,'86 SOEC 1MW'!$C$4:$F$4,0))/$J109/1000*7.45</f>
        <v>17.589599166698815</v>
      </c>
      <c r="Q109" s="1067">
        <f>INDEX('86 SOEC 1MW'!$C$6:$F$39,MATCH(SUP_H2_Production!Q$10,'86 SOEC 1MW'!$B$6:$B$39,0),MATCH(SUP_H2_Production!$G109,'86 SOEC 1MW'!$C$4:$F$4,0))/$J109/1000*7.45</f>
        <v>0.11105590062111802</v>
      </c>
      <c r="R109" s="1067"/>
      <c r="S109" s="1006"/>
      <c r="T109" s="1006"/>
      <c r="U109" s="1006"/>
    </row>
    <row r="110" spans="2:21">
      <c r="B110" s="1232"/>
      <c r="C110" s="1232"/>
      <c r="D110" s="1006"/>
      <c r="E110" s="1006"/>
      <c r="F110" s="1006" t="s">
        <v>216</v>
      </c>
      <c r="G110" s="1006"/>
      <c r="H110" s="1066"/>
      <c r="I110" s="1006"/>
      <c r="J110" s="1067"/>
      <c r="K110" s="1067">
        <f>INDEX('86 SOEC 1MW'!$C$6:$F$39,MATCH(SUP_H2_Production!K$10,'86 SOEC 1MW'!$B$6:$B$39,0),MATCH(SUP_H2_Production!$G109,'86 SOEC 1MW'!$C$4:$F$4,0))/100</f>
        <v>0.19500000000000001</v>
      </c>
      <c r="L110" s="1067"/>
      <c r="M110" s="1006"/>
      <c r="N110" s="1069"/>
      <c r="O110" s="1070"/>
      <c r="P110" s="1067"/>
      <c r="Q110" s="1067"/>
      <c r="R110" s="1006"/>
      <c r="S110" s="1006"/>
      <c r="T110" s="1006"/>
      <c r="U110" s="1006"/>
    </row>
    <row r="111" spans="2:21">
      <c r="B111" s="1232"/>
      <c r="C111" s="1232"/>
      <c r="D111" s="1006" t="s">
        <v>71</v>
      </c>
      <c r="E111" s="1006" t="s">
        <v>1314</v>
      </c>
      <c r="F111" s="1006"/>
      <c r="G111" s="1006">
        <v>2040</v>
      </c>
      <c r="H111" s="1066" t="s">
        <v>70</v>
      </c>
      <c r="I111" s="1006"/>
      <c r="J111" s="1067">
        <f>INDEX('86 SOEC 1MW'!$C$6:$F$39,MATCH(SUP_H2_Production!J$10,'86 SOEC 1MW'!$B$6:$B$39,0),MATCH(SUP_H2_Production!$G111,'86 SOEC 1MW'!$C$4:$F$4,0))/100</f>
        <v>0.82</v>
      </c>
      <c r="K111" s="1067"/>
      <c r="L111" s="1067"/>
      <c r="M111" s="1067">
        <f>(100-INDEX('86 SOEC 1MW'!$C$6:$F$39,MATCH(SUP_H2_Production!M$10,'86 SOEC 1MW'!$B$6:$B$39,0),MATCH(SUP_H2_Production!$G111,'86 SOEC 1MW'!$C$4:$F$4,0)))/100</f>
        <v>0.98599999999999999</v>
      </c>
      <c r="N111" s="1069">
        <f>INDEX('86 SOEC 1MW'!$C$6:$F$39,MATCH(SUP_H2_Production!N$10,'86 SOEC 1MW'!$B$6:$B$39,0),MATCH(SUP_H2_Production!$G111,'86 SOEC 1MW'!$C$4:$F$4,0))</f>
        <v>20</v>
      </c>
      <c r="O111" s="1070">
        <v>3.1536000000000002E-2</v>
      </c>
      <c r="P111" s="1067">
        <f>INDEX('86 SOEC 1MW'!$C$6:$F$39,MATCH(SUP_H2_Production!P$10,'86 SOEC 1MW'!$B$6:$B$39,0),MATCH(SUP_H2_Production!$G111,'86 SOEC 1MW'!$C$4:$F$4,0))/$J111/1000*7.45</f>
        <v>12.191609970308276</v>
      </c>
      <c r="Q111" s="1067">
        <f>INDEX('86 SOEC 1MW'!$C$6:$F$39,MATCH(SUP_H2_Production!Q$10,'86 SOEC 1MW'!$B$6:$B$39,0),MATCH(SUP_H2_Production!$G111,'86 SOEC 1MW'!$C$4:$F$4,0))/$J111/1000*7.45</f>
        <v>0.10902439024390245</v>
      </c>
      <c r="R111" s="1067"/>
      <c r="S111" s="1006"/>
      <c r="T111" s="1006"/>
      <c r="U111" s="1006"/>
    </row>
    <row r="112" spans="2:21">
      <c r="B112" s="1232"/>
      <c r="C112" s="1232"/>
      <c r="D112" s="1006"/>
      <c r="E112" s="1006"/>
      <c r="F112" s="1006" t="s">
        <v>216</v>
      </c>
      <c r="G112" s="1006"/>
      <c r="H112" s="1066"/>
      <c r="I112" s="1006"/>
      <c r="J112" s="1067"/>
      <c r="K112" s="1067">
        <f>INDEX('86 SOEC 1MW'!$C$6:$F$39,MATCH(SUP_H2_Production!K$10,'86 SOEC 1MW'!$B$6:$B$39,0),MATCH(SUP_H2_Production!$G111,'86 SOEC 1MW'!$C$4:$F$4,0))/100</f>
        <v>0.18599999999999994</v>
      </c>
      <c r="L112" s="1067"/>
      <c r="M112" s="1006"/>
      <c r="N112" s="1069"/>
      <c r="O112" s="1070"/>
      <c r="P112" s="1067"/>
      <c r="Q112" s="1067"/>
      <c r="R112" s="1006"/>
      <c r="S112" s="1006"/>
      <c r="T112" s="1006"/>
      <c r="U112" s="1006"/>
    </row>
    <row r="113" spans="2:21">
      <c r="B113" s="1232"/>
      <c r="C113" s="1232"/>
      <c r="D113" s="1006" t="s">
        <v>71</v>
      </c>
      <c r="E113" s="1006" t="s">
        <v>1314</v>
      </c>
      <c r="F113" s="1006"/>
      <c r="G113" s="1006">
        <v>2050</v>
      </c>
      <c r="H113" s="1066" t="s">
        <v>70</v>
      </c>
      <c r="I113" s="1006"/>
      <c r="J113" s="1067">
        <f>INDEX('86 SOEC 1MW'!$C$6:$F$39,MATCH(SUP_H2_Production!J$10,'86 SOEC 1MW'!$B$6:$B$39,0),MATCH(SUP_H2_Production!$G113,'86 SOEC 1MW'!$C$4:$F$4,0))/100</f>
        <v>0.83499999999999996</v>
      </c>
      <c r="K113" s="1067"/>
      <c r="L113" s="1067"/>
      <c r="M113" s="1067">
        <f>(100-INDEX('86 SOEC 1MW'!$C$6:$F$39,MATCH(SUP_H2_Production!M$10,'86 SOEC 1MW'!$B$6:$B$39,0),MATCH(SUP_H2_Production!$G113,'86 SOEC 1MW'!$C$4:$F$4,0)))/100</f>
        <v>0.98599999999999999</v>
      </c>
      <c r="N113" s="1069">
        <f>INDEX('86 SOEC 1MW'!$C$6:$F$39,MATCH(SUP_H2_Production!N$10,'86 SOEC 1MW'!$B$6:$B$39,0),MATCH(SUP_H2_Production!$G113,'86 SOEC 1MW'!$C$4:$F$4,0))</f>
        <v>20</v>
      </c>
      <c r="O113" s="1070">
        <v>3.1536000000000002E-2</v>
      </c>
      <c r="P113" s="1067">
        <f>INDEX('86 SOEC 1MW'!$C$6:$F$39,MATCH(SUP_H2_Production!P$10,'86 SOEC 1MW'!$B$6:$B$39,0),MATCH(SUP_H2_Production!$G113,'86 SOEC 1MW'!$C$4:$F$4,0))/$J113/1000*7.45</f>
        <v>6.987560505524578</v>
      </c>
      <c r="Q113" s="1067">
        <f>INDEX('86 SOEC 1MW'!$C$6:$F$39,MATCH(SUP_H2_Production!Q$10,'86 SOEC 1MW'!$B$6:$B$39,0),MATCH(SUP_H2_Production!$G113,'86 SOEC 1MW'!$C$4:$F$4,0))/$J113/1000*7.45</f>
        <v>0.10706586826347307</v>
      </c>
      <c r="R113" s="1067"/>
      <c r="S113" s="1006"/>
      <c r="T113" s="1006"/>
      <c r="U113" s="1006"/>
    </row>
    <row r="114" spans="2:21" ht="13.8" thickBot="1">
      <c r="B114" s="107"/>
      <c r="C114" s="107"/>
      <c r="D114" s="107"/>
      <c r="E114" s="107"/>
      <c r="F114" s="107" t="s">
        <v>216</v>
      </c>
      <c r="G114" s="107"/>
      <c r="H114" s="256"/>
      <c r="I114" s="107"/>
      <c r="J114" s="151"/>
      <c r="K114" s="151">
        <f>INDEX('86 SOEC 1MW'!$C$6:$F$39,MATCH(SUP_H2_Production!K$10,'86 SOEC 1MW'!$B$6:$B$39,0),MATCH(SUP_H2_Production!$G113,'86 SOEC 1MW'!$C$4:$F$4,0))/100</f>
        <v>0.18599999999999994</v>
      </c>
      <c r="L114" s="151"/>
      <c r="M114" s="107"/>
      <c r="N114" s="107"/>
      <c r="O114" s="107"/>
      <c r="P114" s="257"/>
      <c r="Q114" s="257"/>
      <c r="R114" s="107"/>
      <c r="S114" s="107"/>
      <c r="T114" s="107"/>
      <c r="U114" s="1006"/>
    </row>
    <row r="115" spans="2:21">
      <c r="B115" s="1232" t="s">
        <v>1752</v>
      </c>
      <c r="C115" s="1232" t="s">
        <v>1749</v>
      </c>
      <c r="D115" s="1006" t="s">
        <v>71</v>
      </c>
      <c r="E115" s="1006" t="s">
        <v>348</v>
      </c>
      <c r="F115" s="1006"/>
      <c r="G115" s="1006">
        <v>2020</v>
      </c>
      <c r="H115" s="1066" t="s">
        <v>70</v>
      </c>
      <c r="I115" s="1006">
        <v>2020</v>
      </c>
      <c r="J115" s="1067">
        <f>INDEX('86 SOEC 1MW'!$C$6:$F$39,MATCH(SUP_H2_Production!J$10,'86 SOEC 1MW'!$B$6:$B$39,0),MATCH(SUP_H2_Production!$G115,'86 SOEC 1MW'!$C$4:$F$4,0))/100</f>
        <v>0.77500000000000002</v>
      </c>
      <c r="K115" s="1067"/>
      <c r="L115" s="1067"/>
      <c r="M115" s="1067">
        <f>(100-INDEX('86 SOEC 1MW'!$C$6:$F$39,MATCH(SUP_H2_Production!M$10,'86 SOEC 1MW'!$B$6:$B$39,0),MATCH(SUP_H2_Production!$G115,'86 SOEC 1MW'!$C$4:$F$4,0)))/100</f>
        <v>0.98599999999999999</v>
      </c>
      <c r="N115" s="1069">
        <f>INDEX('86 SOEC 1MW'!$C$6:$F$39,MATCH(SUP_H2_Production!N$10,'86 SOEC 1MW'!$B$6:$B$39,0),MATCH(SUP_H2_Production!$G115,'86 SOEC 1MW'!$C$4:$F$4,0))</f>
        <v>10</v>
      </c>
      <c r="O115" s="1070">
        <v>3.1536000000000002E-2</v>
      </c>
      <c r="P115" s="1067">
        <f>INDEX('86 SOEC 1MW'!$C$6:$F$39,MATCH(SUP_H2_Production!P$10,'86 SOEC 1MW'!$B$6:$B$39,0),MATCH(SUP_H2_Production!$G115,'86 SOEC 1MW'!$C$4:$F$4,0))/$J115/1000*7.45</f>
        <v>43.167376749847833</v>
      </c>
      <c r="Q115" s="1067">
        <f>INDEX('86 SOEC 1MW'!$C$6:$F$39,MATCH(SUP_H2_Production!Q$10,'86 SOEC 1MW'!$B$6:$B$39,0),MATCH(SUP_H2_Production!$G115,'86 SOEC 1MW'!$C$4:$F$4,0))/$J115/1000*7.45</f>
        <v>0.11535483870967742</v>
      </c>
      <c r="R115" s="1067"/>
      <c r="S115" s="1006">
        <v>0.5</v>
      </c>
      <c r="T115" s="1006" t="s">
        <v>1734</v>
      </c>
      <c r="U115" s="1006"/>
    </row>
    <row r="116" spans="2:21">
      <c r="B116" s="1232"/>
      <c r="C116" s="1232"/>
      <c r="D116" s="1232"/>
      <c r="E116" s="1232"/>
      <c r="F116" s="1232" t="s">
        <v>259</v>
      </c>
      <c r="G116" s="1232"/>
      <c r="H116" s="241"/>
      <c r="I116" s="1232"/>
      <c r="J116" s="1240" t="s">
        <v>124</v>
      </c>
      <c r="K116" s="1067">
        <f>INDEX('86 SOEC 1MW'!$C$6:$F$39,MATCH(SUP_H2_Production!K$10,'86 SOEC 1MW'!$B$6:$B$39,0),MATCH(SUP_H2_Production!$G115,'86 SOEC 1MW'!$C$4:$F$4,0))/100</f>
        <v>0.20499999999999999</v>
      </c>
      <c r="L116" s="1067"/>
      <c r="M116" s="1232"/>
      <c r="N116" s="281"/>
      <c r="O116" s="103"/>
      <c r="P116" s="141"/>
      <c r="Q116" s="141"/>
      <c r="R116" s="1232"/>
      <c r="S116" s="1232"/>
      <c r="T116" s="1232"/>
    </row>
    <row r="117" spans="2:21">
      <c r="B117" s="1232"/>
      <c r="C117" s="1232"/>
      <c r="D117" s="1006" t="s">
        <v>71</v>
      </c>
      <c r="E117" s="1006" t="s">
        <v>348</v>
      </c>
      <c r="F117" s="1006"/>
      <c r="G117" s="1006">
        <v>2030</v>
      </c>
      <c r="H117" s="1066" t="s">
        <v>70</v>
      </c>
      <c r="I117" s="1006"/>
      <c r="J117" s="1067">
        <f>INDEX('86 SOEC 1MW'!$C$6:$F$39,MATCH(SUP_H2_Production!J$10,'86 SOEC 1MW'!$B$6:$B$39,0),MATCH(SUP_H2_Production!$G117,'86 SOEC 1MW'!$C$4:$F$4,0))/100</f>
        <v>0.80500000000000005</v>
      </c>
      <c r="K117" s="1067"/>
      <c r="L117" s="1067"/>
      <c r="M117" s="1067">
        <f>(100-INDEX('86 SOEC 1MW'!$C$6:$F$39,MATCH(SUP_H2_Production!M$10,'86 SOEC 1MW'!$B$6:$B$39,0),MATCH(SUP_H2_Production!$G117,'86 SOEC 1MW'!$C$4:$F$4,0)))/100</f>
        <v>0.98599999999999999</v>
      </c>
      <c r="N117" s="1069">
        <f>INDEX('86 SOEC 1MW'!$C$6:$F$39,MATCH(SUP_H2_Production!N$10,'86 SOEC 1MW'!$B$6:$B$39,0),MATCH(SUP_H2_Production!$G117,'86 SOEC 1MW'!$C$4:$F$4,0))</f>
        <v>20</v>
      </c>
      <c r="O117" s="1070">
        <v>3.1536000000000002E-2</v>
      </c>
      <c r="P117" s="1067">
        <f>INDEX('86 SOEC 1MW'!$C$6:$F$39,MATCH(SUP_H2_Production!P$10,'86 SOEC 1MW'!$B$6:$B$39,0),MATCH(SUP_H2_Production!$G117,'86 SOEC 1MW'!$C$4:$F$4,0))/$J117/1000*7.45</f>
        <v>17.589599166698815</v>
      </c>
      <c r="Q117" s="1067">
        <f>INDEX('86 SOEC 1MW'!$C$6:$F$39,MATCH(SUP_H2_Production!Q$10,'86 SOEC 1MW'!$B$6:$B$39,0),MATCH(SUP_H2_Production!$G117,'86 SOEC 1MW'!$C$4:$F$4,0))/$J117/1000*7.45</f>
        <v>0.11105590062111802</v>
      </c>
      <c r="R117" s="1067"/>
      <c r="S117" s="1006"/>
      <c r="T117" s="1006"/>
      <c r="U117" s="1006"/>
    </row>
    <row r="118" spans="2:21">
      <c r="B118" s="1232"/>
      <c r="C118" s="1232"/>
      <c r="D118" s="1006"/>
      <c r="E118" s="1006"/>
      <c r="F118" s="1232" t="s">
        <v>259</v>
      </c>
      <c r="G118" s="1006"/>
      <c r="H118" s="1066"/>
      <c r="I118" s="1006"/>
      <c r="J118" s="1067"/>
      <c r="K118" s="1067">
        <f>INDEX('86 SOEC 1MW'!$C$6:$F$39,MATCH(SUP_H2_Production!K$10,'86 SOEC 1MW'!$B$6:$B$39,0),MATCH(SUP_H2_Production!$G117,'86 SOEC 1MW'!$C$4:$F$4,0))/100</f>
        <v>0.19500000000000001</v>
      </c>
      <c r="L118" s="1067"/>
      <c r="M118" s="1006"/>
      <c r="N118" s="1069"/>
      <c r="O118" s="1070"/>
      <c r="P118" s="1067"/>
      <c r="Q118" s="1067"/>
      <c r="R118" s="1006"/>
      <c r="S118" s="1006"/>
      <c r="T118" s="1006"/>
      <c r="U118" s="1006"/>
    </row>
    <row r="119" spans="2:21">
      <c r="B119" s="1232"/>
      <c r="C119" s="1232"/>
      <c r="D119" s="1006" t="s">
        <v>71</v>
      </c>
      <c r="E119" s="1006" t="s">
        <v>348</v>
      </c>
      <c r="F119" s="1006"/>
      <c r="G119" s="1006">
        <v>2040</v>
      </c>
      <c r="H119" s="1066" t="s">
        <v>70</v>
      </c>
      <c r="I119" s="1006"/>
      <c r="J119" s="1067">
        <f>INDEX('86 SOEC 1MW'!$C$6:$F$39,MATCH(SUP_H2_Production!J$10,'86 SOEC 1MW'!$B$6:$B$39,0),MATCH(SUP_H2_Production!$G119,'86 SOEC 1MW'!$C$4:$F$4,0))/100</f>
        <v>0.82</v>
      </c>
      <c r="K119" s="1067"/>
      <c r="L119" s="1067"/>
      <c r="M119" s="1067">
        <f>(100-INDEX('86 SOEC 1MW'!$C$6:$F$39,MATCH(SUP_H2_Production!M$10,'86 SOEC 1MW'!$B$6:$B$39,0),MATCH(SUP_H2_Production!$G119,'86 SOEC 1MW'!$C$4:$F$4,0)))/100</f>
        <v>0.98599999999999999</v>
      </c>
      <c r="N119" s="1069">
        <f>INDEX('86 SOEC 1MW'!$C$6:$F$39,MATCH(SUP_H2_Production!N$10,'86 SOEC 1MW'!$B$6:$B$39,0),MATCH(SUP_H2_Production!$G119,'86 SOEC 1MW'!$C$4:$F$4,0))</f>
        <v>20</v>
      </c>
      <c r="O119" s="1070">
        <v>3.1536000000000002E-2</v>
      </c>
      <c r="P119" s="1067">
        <f>INDEX('86 SOEC 1MW'!$C$6:$F$39,MATCH(SUP_H2_Production!P$10,'86 SOEC 1MW'!$B$6:$B$39,0),MATCH(SUP_H2_Production!$G119,'86 SOEC 1MW'!$C$4:$F$4,0))/$J119/1000*7.45</f>
        <v>12.191609970308276</v>
      </c>
      <c r="Q119" s="1067">
        <f>INDEX('86 SOEC 1MW'!$C$6:$F$39,MATCH(SUP_H2_Production!Q$10,'86 SOEC 1MW'!$B$6:$B$39,0),MATCH(SUP_H2_Production!$G119,'86 SOEC 1MW'!$C$4:$F$4,0))/$J119/1000*7.45</f>
        <v>0.10902439024390245</v>
      </c>
      <c r="R119" s="1067"/>
      <c r="S119" s="1006"/>
      <c r="T119" s="1006"/>
      <c r="U119" s="1006"/>
    </row>
    <row r="120" spans="2:21">
      <c r="B120" s="1232"/>
      <c r="C120" s="1232"/>
      <c r="D120" s="1006"/>
      <c r="E120" s="1006"/>
      <c r="F120" s="1232" t="s">
        <v>259</v>
      </c>
      <c r="G120" s="1006"/>
      <c r="H120" s="1066"/>
      <c r="I120" s="1006"/>
      <c r="J120" s="1067"/>
      <c r="K120" s="1067">
        <f>INDEX('86 SOEC 1MW'!$C$6:$F$39,MATCH(SUP_H2_Production!K$10,'86 SOEC 1MW'!$B$6:$B$39,0),MATCH(SUP_H2_Production!$G119,'86 SOEC 1MW'!$C$4:$F$4,0))/100</f>
        <v>0.18599999999999994</v>
      </c>
      <c r="L120" s="1067"/>
      <c r="M120" s="1006"/>
      <c r="N120" s="1069"/>
      <c r="O120" s="1070"/>
      <c r="P120" s="1067"/>
      <c r="Q120" s="1067"/>
      <c r="R120" s="1006"/>
      <c r="S120" s="1006"/>
      <c r="T120" s="1006"/>
      <c r="U120" s="1006"/>
    </row>
    <row r="121" spans="2:21">
      <c r="B121" s="1232"/>
      <c r="C121" s="1232"/>
      <c r="D121" s="1006" t="s">
        <v>71</v>
      </c>
      <c r="E121" s="1006" t="s">
        <v>348</v>
      </c>
      <c r="F121" s="1006"/>
      <c r="G121" s="1006">
        <v>2050</v>
      </c>
      <c r="H121" s="1066" t="s">
        <v>70</v>
      </c>
      <c r="I121" s="1006"/>
      <c r="J121" s="1067">
        <f>INDEX('86 SOEC 1MW'!$C$6:$F$39,MATCH(SUP_H2_Production!J$10,'86 SOEC 1MW'!$B$6:$B$39,0),MATCH(SUP_H2_Production!$G121,'86 SOEC 1MW'!$C$4:$F$4,0))/100</f>
        <v>0.83499999999999996</v>
      </c>
      <c r="K121" s="1067"/>
      <c r="L121" s="1067"/>
      <c r="M121" s="1067">
        <f>(100-INDEX('86 SOEC 1MW'!$C$6:$F$39,MATCH(SUP_H2_Production!M$10,'86 SOEC 1MW'!$B$6:$B$39,0),MATCH(SUP_H2_Production!$G121,'86 SOEC 1MW'!$C$4:$F$4,0)))/100</f>
        <v>0.98599999999999999</v>
      </c>
      <c r="N121" s="1069">
        <f>INDEX('86 SOEC 1MW'!$C$6:$F$39,MATCH(SUP_H2_Production!N$10,'86 SOEC 1MW'!$B$6:$B$39,0),MATCH(SUP_H2_Production!$G121,'86 SOEC 1MW'!$C$4:$F$4,0))</f>
        <v>20</v>
      </c>
      <c r="O121" s="1070">
        <v>3.1536000000000002E-2</v>
      </c>
      <c r="P121" s="1067">
        <f>INDEX('86 SOEC 1MW'!$C$6:$F$39,MATCH(SUP_H2_Production!P$10,'86 SOEC 1MW'!$B$6:$B$39,0),MATCH(SUP_H2_Production!$G121,'86 SOEC 1MW'!$C$4:$F$4,0))/$J121/1000*7.45</f>
        <v>6.987560505524578</v>
      </c>
      <c r="Q121" s="1067">
        <f>INDEX('86 SOEC 1MW'!$C$6:$F$39,MATCH(SUP_H2_Production!Q$10,'86 SOEC 1MW'!$B$6:$B$39,0),MATCH(SUP_H2_Production!$G121,'86 SOEC 1MW'!$C$4:$F$4,0))/$J121/1000*7.45</f>
        <v>0.10706586826347307</v>
      </c>
      <c r="R121" s="1067"/>
      <c r="S121" s="1006"/>
      <c r="T121" s="1006"/>
      <c r="U121" s="1006"/>
    </row>
    <row r="122" spans="2:21" ht="13.8" thickBot="1">
      <c r="B122" s="107"/>
      <c r="C122" s="107"/>
      <c r="D122" s="107"/>
      <c r="E122" s="107"/>
      <c r="F122" s="107" t="s">
        <v>259</v>
      </c>
      <c r="G122" s="107"/>
      <c r="H122" s="256"/>
      <c r="I122" s="107"/>
      <c r="J122" s="151"/>
      <c r="K122" s="151">
        <f>INDEX('86 SOEC 1MW'!$C$6:$F$39,MATCH(SUP_H2_Production!K$10,'86 SOEC 1MW'!$B$6:$B$39,0),MATCH(SUP_H2_Production!$G121,'86 SOEC 1MW'!$C$4:$F$4,0))/100</f>
        <v>0.18599999999999994</v>
      </c>
      <c r="L122" s="151"/>
      <c r="M122" s="107"/>
      <c r="N122" s="107"/>
      <c r="O122" s="107"/>
      <c r="P122" s="257"/>
      <c r="Q122" s="257"/>
      <c r="R122" s="107"/>
      <c r="S122" s="107"/>
      <c r="T122" s="107"/>
      <c r="U122" s="1006"/>
    </row>
    <row r="123" spans="2:21">
      <c r="B123" s="1232" t="s">
        <v>1751</v>
      </c>
      <c r="C123" s="1232" t="s">
        <v>1750</v>
      </c>
      <c r="D123" s="1006" t="s">
        <v>71</v>
      </c>
      <c r="E123" s="1006" t="s">
        <v>1314</v>
      </c>
      <c r="F123" s="1006"/>
      <c r="G123" s="1006">
        <v>2020</v>
      </c>
      <c r="H123" s="1066" t="s">
        <v>70</v>
      </c>
      <c r="I123" s="1006">
        <v>2020</v>
      </c>
      <c r="J123" s="1067">
        <f>INDEX('86 SOEC 1MW'!$C$6:$F$39,MATCH(SUP_H2_Production!J$10,'86 SOEC 1MW'!$B$6:$B$39,0),MATCH(SUP_H2_Production!$G123,'86 SOEC 1MW'!$C$4:$F$4,0))/100</f>
        <v>0.77500000000000002</v>
      </c>
      <c r="K123" s="1067"/>
      <c r="L123" s="1067"/>
      <c r="M123" s="1067">
        <f>(100-INDEX('86 SOEC 1MW'!$C$6:$F$39,MATCH(SUP_H2_Production!M$10,'86 SOEC 1MW'!$B$6:$B$39,0),MATCH(SUP_H2_Production!$G123,'86 SOEC 1MW'!$C$4:$F$4,0)))/100</f>
        <v>0.98599999999999999</v>
      </c>
      <c r="N123" s="1069">
        <f>INDEX('86 SOEC 1MW'!$C$6:$F$39,MATCH(SUP_H2_Production!N$10,'86 SOEC 1MW'!$B$6:$B$39,0),MATCH(SUP_H2_Production!$G123,'86 SOEC 1MW'!$C$4:$F$4,0))</f>
        <v>10</v>
      </c>
      <c r="O123" s="1070">
        <v>3.1536000000000002E-2</v>
      </c>
      <c r="P123" s="1067">
        <f>INDEX('86 SOEC 1MW'!$C$6:$F$39,MATCH(SUP_H2_Production!P$10,'86 SOEC 1MW'!$B$6:$B$39,0),MATCH(SUP_H2_Production!$G123,'86 SOEC 1MW'!$C$4:$F$4,0))/$J123/1000*7.45</f>
        <v>43.167376749847833</v>
      </c>
      <c r="Q123" s="1067">
        <f>INDEX('86 SOEC 1MW'!$C$6:$F$39,MATCH(SUP_H2_Production!Q$10,'86 SOEC 1MW'!$B$6:$B$39,0),MATCH(SUP_H2_Production!$G123,'86 SOEC 1MW'!$C$4:$F$4,0))/$J123/1000*7.45</f>
        <v>0.11535483870967742</v>
      </c>
      <c r="R123" s="1067"/>
      <c r="S123" s="1006">
        <v>0.5</v>
      </c>
      <c r="T123" s="1006" t="s">
        <v>1734</v>
      </c>
      <c r="U123" s="1006"/>
    </row>
    <row r="124" spans="2:21">
      <c r="B124" s="1232"/>
      <c r="C124" s="1232"/>
      <c r="D124" s="1232"/>
      <c r="E124" s="1232"/>
      <c r="F124" s="1232"/>
      <c r="G124" s="1232"/>
      <c r="H124" s="241"/>
      <c r="I124" s="1232"/>
      <c r="J124" s="1240" t="s">
        <v>124</v>
      </c>
      <c r="K124" s="1067">
        <f>INDEX('86 SOEC 1MW'!$C$6:$F$39,MATCH(SUP_H2_Production!K$10,'86 SOEC 1MW'!$B$6:$B$39,0),MATCH(SUP_H2_Production!$G123,'86 SOEC 1MW'!$C$4:$F$4,0))/100</f>
        <v>0.20499999999999999</v>
      </c>
      <c r="L124" s="1067"/>
      <c r="M124" s="1232"/>
      <c r="N124" s="281"/>
      <c r="O124" s="103"/>
      <c r="P124" s="141"/>
      <c r="Q124" s="141"/>
      <c r="R124" s="1232"/>
      <c r="S124" s="1232"/>
      <c r="T124" s="1232"/>
    </row>
    <row r="125" spans="2:21">
      <c r="B125" s="1232"/>
      <c r="C125" s="1232"/>
      <c r="D125" s="1006" t="s">
        <v>71</v>
      </c>
      <c r="E125" s="1006" t="s">
        <v>1314</v>
      </c>
      <c r="F125" s="1006"/>
      <c r="G125" s="1006">
        <v>2030</v>
      </c>
      <c r="H125" s="1066" t="s">
        <v>70</v>
      </c>
      <c r="I125" s="1006"/>
      <c r="J125" s="1067">
        <f>INDEX('86 SOEC 1MW'!$C$6:$F$39,MATCH(SUP_H2_Production!J$10,'86 SOEC 1MW'!$B$6:$B$39,0),MATCH(SUP_H2_Production!$G125,'86 SOEC 1MW'!$C$4:$F$4,0))/100</f>
        <v>0.80500000000000005</v>
      </c>
      <c r="K125" s="1067"/>
      <c r="L125" s="1067"/>
      <c r="M125" s="1067">
        <f>(100-INDEX('86 SOEC 1MW'!$C$6:$F$39,MATCH(SUP_H2_Production!M$10,'86 SOEC 1MW'!$B$6:$B$39,0),MATCH(SUP_H2_Production!$G125,'86 SOEC 1MW'!$C$4:$F$4,0)))/100</f>
        <v>0.98599999999999999</v>
      </c>
      <c r="N125" s="1069">
        <f>INDEX('86 SOEC 1MW'!$C$6:$F$39,MATCH(SUP_H2_Production!N$10,'86 SOEC 1MW'!$B$6:$B$39,0),MATCH(SUP_H2_Production!$G125,'86 SOEC 1MW'!$C$4:$F$4,0))</f>
        <v>20</v>
      </c>
      <c r="O125" s="1070">
        <v>3.1536000000000002E-2</v>
      </c>
      <c r="P125" s="1067">
        <f>INDEX('86 SOEC 1MW'!$C$6:$F$39,MATCH(SUP_H2_Production!P$10,'86 SOEC 1MW'!$B$6:$B$39,0),MATCH(SUP_H2_Production!$G125,'86 SOEC 1MW'!$C$4:$F$4,0))/$J125/1000*7.45</f>
        <v>17.589599166698815</v>
      </c>
      <c r="Q125" s="1067">
        <f>INDEX('86 SOEC 1MW'!$C$6:$F$39,MATCH(SUP_H2_Production!Q$10,'86 SOEC 1MW'!$B$6:$B$39,0),MATCH(SUP_H2_Production!$G125,'86 SOEC 1MW'!$C$4:$F$4,0))/$J125/1000*7.45</f>
        <v>0.11105590062111802</v>
      </c>
      <c r="R125" s="1067"/>
      <c r="S125" s="1006"/>
      <c r="T125" s="1006"/>
      <c r="U125" s="1006"/>
    </row>
    <row r="126" spans="2:21">
      <c r="B126" s="1232"/>
      <c r="C126" s="1232"/>
      <c r="D126" s="1006"/>
      <c r="E126" s="1006"/>
      <c r="F126" s="1006"/>
      <c r="G126" s="1006"/>
      <c r="H126" s="1066"/>
      <c r="I126" s="1006"/>
      <c r="J126" s="1067"/>
      <c r="K126" s="1067">
        <f>INDEX('86 SOEC 1MW'!$C$6:$F$39,MATCH(SUP_H2_Production!K$10,'86 SOEC 1MW'!$B$6:$B$39,0),MATCH(SUP_H2_Production!$G125,'86 SOEC 1MW'!$C$4:$F$4,0))/100</f>
        <v>0.19500000000000001</v>
      </c>
      <c r="L126" s="1067"/>
      <c r="M126" s="1006"/>
      <c r="N126" s="1069"/>
      <c r="O126" s="1070"/>
      <c r="P126" s="1067"/>
      <c r="Q126" s="1067"/>
      <c r="R126" s="1006"/>
      <c r="S126" s="1006"/>
      <c r="T126" s="1006"/>
      <c r="U126" s="1006"/>
    </row>
    <row r="127" spans="2:21">
      <c r="B127" s="1232"/>
      <c r="C127" s="1232"/>
      <c r="D127" s="1006" t="s">
        <v>71</v>
      </c>
      <c r="E127" s="1006" t="s">
        <v>1314</v>
      </c>
      <c r="F127" s="1006"/>
      <c r="G127" s="1006">
        <v>2040</v>
      </c>
      <c r="H127" s="1066" t="s">
        <v>70</v>
      </c>
      <c r="I127" s="1006"/>
      <c r="J127" s="1067">
        <f>INDEX('86 SOEC 1MW'!$C$6:$F$39,MATCH(SUP_H2_Production!J$10,'86 SOEC 1MW'!$B$6:$B$39,0),MATCH(SUP_H2_Production!$G127,'86 SOEC 1MW'!$C$4:$F$4,0))/100</f>
        <v>0.82</v>
      </c>
      <c r="K127" s="1067"/>
      <c r="L127" s="1067"/>
      <c r="M127" s="1067">
        <f>(100-INDEX('86 SOEC 1MW'!$C$6:$F$39,MATCH(SUP_H2_Production!M$10,'86 SOEC 1MW'!$B$6:$B$39,0),MATCH(SUP_H2_Production!$G127,'86 SOEC 1MW'!$C$4:$F$4,0)))/100</f>
        <v>0.98599999999999999</v>
      </c>
      <c r="N127" s="1069">
        <f>INDEX('86 SOEC 1MW'!$C$6:$F$39,MATCH(SUP_H2_Production!N$10,'86 SOEC 1MW'!$B$6:$B$39,0),MATCH(SUP_H2_Production!$G127,'86 SOEC 1MW'!$C$4:$F$4,0))</f>
        <v>20</v>
      </c>
      <c r="O127" s="1070">
        <v>3.1536000000000002E-2</v>
      </c>
      <c r="P127" s="1067">
        <f>INDEX('86 SOEC 1MW'!$C$6:$F$39,MATCH(SUP_H2_Production!P$10,'86 SOEC 1MW'!$B$6:$B$39,0),MATCH(SUP_H2_Production!$G127,'86 SOEC 1MW'!$C$4:$F$4,0))/$J127/1000*7.45</f>
        <v>12.191609970308276</v>
      </c>
      <c r="Q127" s="1067">
        <f>INDEX('86 SOEC 1MW'!$C$6:$F$39,MATCH(SUP_H2_Production!Q$10,'86 SOEC 1MW'!$B$6:$B$39,0),MATCH(SUP_H2_Production!$G127,'86 SOEC 1MW'!$C$4:$F$4,0))/$J127/1000*7.45</f>
        <v>0.10902439024390245</v>
      </c>
      <c r="R127" s="1067"/>
      <c r="S127" s="1006"/>
      <c r="T127" s="1006"/>
      <c r="U127" s="1006"/>
    </row>
    <row r="128" spans="2:21">
      <c r="B128" s="1232"/>
      <c r="C128" s="1232"/>
      <c r="D128" s="1006"/>
      <c r="E128" s="1006"/>
      <c r="F128" s="1006"/>
      <c r="G128" s="1006"/>
      <c r="H128" s="1066"/>
      <c r="I128" s="1006"/>
      <c r="J128" s="1067"/>
      <c r="K128" s="1067">
        <f>INDEX('86 SOEC 1MW'!$C$6:$F$39,MATCH(SUP_H2_Production!K$10,'86 SOEC 1MW'!$B$6:$B$39,0),MATCH(SUP_H2_Production!$G127,'86 SOEC 1MW'!$C$4:$F$4,0))/100</f>
        <v>0.18599999999999994</v>
      </c>
      <c r="L128" s="1067"/>
      <c r="M128" s="1006"/>
      <c r="N128" s="1069"/>
      <c r="O128" s="1070"/>
      <c r="P128" s="1067"/>
      <c r="Q128" s="1067"/>
      <c r="R128" s="1006"/>
      <c r="S128" s="1006"/>
      <c r="T128" s="1006"/>
      <c r="U128" s="1006"/>
    </row>
    <row r="129" spans="2:22">
      <c r="B129" s="1232"/>
      <c r="C129" s="1232"/>
      <c r="D129" s="1006" t="s">
        <v>71</v>
      </c>
      <c r="E129" s="1006" t="s">
        <v>1314</v>
      </c>
      <c r="F129" s="1006"/>
      <c r="G129" s="1006">
        <v>2050</v>
      </c>
      <c r="H129" s="1066" t="s">
        <v>70</v>
      </c>
      <c r="I129" s="1006"/>
      <c r="J129" s="1067">
        <f>INDEX('86 SOEC 1MW'!$C$6:$F$39,MATCH(SUP_H2_Production!J$10,'86 SOEC 1MW'!$B$6:$B$39,0),MATCH(SUP_H2_Production!$G129,'86 SOEC 1MW'!$C$4:$F$4,0))/100</f>
        <v>0.83499999999999996</v>
      </c>
      <c r="K129" s="1067"/>
      <c r="L129" s="1067"/>
      <c r="M129" s="1067">
        <f>(100-INDEX('86 SOEC 1MW'!$C$6:$F$39,MATCH(SUP_H2_Production!M$10,'86 SOEC 1MW'!$B$6:$B$39,0),MATCH(SUP_H2_Production!$G129,'86 SOEC 1MW'!$C$4:$F$4,0)))/100</f>
        <v>0.98599999999999999</v>
      </c>
      <c r="N129" s="1069">
        <f>INDEX('86 SOEC 1MW'!$C$6:$F$39,MATCH(SUP_H2_Production!N$10,'86 SOEC 1MW'!$B$6:$B$39,0),MATCH(SUP_H2_Production!$G129,'86 SOEC 1MW'!$C$4:$F$4,0))</f>
        <v>20</v>
      </c>
      <c r="O129" s="1070">
        <v>3.1536000000000002E-2</v>
      </c>
      <c r="P129" s="1067">
        <f>INDEX('86 SOEC 1MW'!$C$6:$F$39,MATCH(SUP_H2_Production!P$10,'86 SOEC 1MW'!$B$6:$B$39,0),MATCH(SUP_H2_Production!$G129,'86 SOEC 1MW'!$C$4:$F$4,0))/$J129/1000*7.45</f>
        <v>6.987560505524578</v>
      </c>
      <c r="Q129" s="1067">
        <f>INDEX('86 SOEC 1MW'!$C$6:$F$39,MATCH(SUP_H2_Production!Q$10,'86 SOEC 1MW'!$B$6:$B$39,0),MATCH(SUP_H2_Production!$G129,'86 SOEC 1MW'!$C$4:$F$4,0))/$J129/1000*7.45</f>
        <v>0.10706586826347307</v>
      </c>
      <c r="R129" s="1067"/>
      <c r="S129" s="1006"/>
      <c r="T129" s="1006"/>
      <c r="U129" s="1006"/>
    </row>
    <row r="130" spans="2:22" ht="13.8" thickBot="1">
      <c r="B130" s="107"/>
      <c r="C130" s="107"/>
      <c r="D130" s="107"/>
      <c r="E130" s="107"/>
      <c r="F130" s="107"/>
      <c r="G130" s="107"/>
      <c r="H130" s="256"/>
      <c r="I130" s="107"/>
      <c r="J130" s="151"/>
      <c r="K130" s="151">
        <f>INDEX('86 SOEC 1MW'!$C$6:$F$39,MATCH(SUP_H2_Production!K$10,'86 SOEC 1MW'!$B$6:$B$39,0),MATCH(SUP_H2_Production!$G129,'86 SOEC 1MW'!$C$4:$F$4,0))/100</f>
        <v>0.18599999999999994</v>
      </c>
      <c r="L130" s="151"/>
      <c r="M130" s="107"/>
      <c r="N130" s="107"/>
      <c r="O130" s="107"/>
      <c r="P130" s="257"/>
      <c r="Q130" s="257"/>
      <c r="R130" s="107"/>
      <c r="S130" s="107"/>
      <c r="T130" s="107"/>
      <c r="U130" s="1006"/>
    </row>
    <row r="131" spans="2:22" s="1232" customFormat="1">
      <c r="B131" s="1006"/>
      <c r="C131" s="1006"/>
      <c r="D131" s="1006"/>
      <c r="E131" s="1006"/>
      <c r="F131" s="1006"/>
      <c r="G131" s="1006"/>
      <c r="H131" s="1066"/>
      <c r="I131" s="1006"/>
      <c r="J131" s="1067"/>
      <c r="K131" s="1067"/>
      <c r="L131" s="1067"/>
      <c r="M131" s="1006"/>
      <c r="N131" s="1006"/>
      <c r="O131" s="1006"/>
      <c r="P131" s="1068"/>
      <c r="Q131" s="1068"/>
      <c r="R131" s="1006"/>
      <c r="S131" s="1006"/>
      <c r="T131" s="1006"/>
      <c r="U131" s="1006"/>
    </row>
    <row r="132" spans="2:22" s="1232" customFormat="1" ht="28.2">
      <c r="B132" s="1243" t="s">
        <v>1757</v>
      </c>
      <c r="C132" s="1006"/>
      <c r="D132" s="1006"/>
      <c r="E132" s="1006"/>
      <c r="F132" s="1006"/>
      <c r="G132" s="1006"/>
      <c r="H132" s="1066"/>
      <c r="I132" s="1006"/>
      <c r="J132" s="1067"/>
      <c r="K132" s="1067"/>
      <c r="L132" s="1067"/>
      <c r="M132" s="1006"/>
      <c r="N132" s="1006"/>
      <c r="O132" s="1006"/>
      <c r="P132" s="1068"/>
      <c r="Q132" s="1068"/>
      <c r="R132" s="1006"/>
      <c r="S132" s="1006"/>
      <c r="T132" s="1006"/>
      <c r="U132" s="1006"/>
    </row>
    <row r="133" spans="2:22" s="1232" customFormat="1">
      <c r="B133" s="1006"/>
      <c r="C133" s="1006"/>
      <c r="D133" s="1006"/>
      <c r="E133" s="1006"/>
      <c r="F133" s="1006"/>
      <c r="G133" s="1006"/>
      <c r="H133" s="1066"/>
      <c r="I133" s="1006"/>
      <c r="J133" s="1067"/>
      <c r="K133" s="1067"/>
      <c r="L133" s="1067"/>
      <c r="M133" s="1006"/>
      <c r="N133" s="1006"/>
      <c r="O133" s="1006"/>
      <c r="P133" s="1068"/>
      <c r="Q133" s="1068"/>
      <c r="R133" s="1006"/>
      <c r="S133" s="1006"/>
      <c r="T133" s="1006"/>
      <c r="U133" s="1006"/>
    </row>
    <row r="134" spans="2:22" s="1232" customFormat="1">
      <c r="F134" s="121"/>
      <c r="G134" s="121"/>
      <c r="H134" s="121" t="s">
        <v>1452</v>
      </c>
      <c r="I134" s="121"/>
      <c r="J134" s="121"/>
      <c r="K134" s="121"/>
    </row>
    <row r="135" spans="2:22" s="1232" customFormat="1" ht="26.4">
      <c r="B135" s="120" t="s">
        <v>2</v>
      </c>
      <c r="C135" s="120" t="s">
        <v>11</v>
      </c>
      <c r="D135" s="120" t="s">
        <v>32</v>
      </c>
      <c r="E135" s="120" t="s">
        <v>189</v>
      </c>
      <c r="F135" s="120" t="s">
        <v>3</v>
      </c>
      <c r="G135" s="120" t="s">
        <v>33</v>
      </c>
      <c r="H135" s="120" t="s">
        <v>158</v>
      </c>
      <c r="I135" s="120" t="s">
        <v>34</v>
      </c>
      <c r="J135" s="120" t="s">
        <v>4</v>
      </c>
      <c r="K135" s="120" t="s">
        <v>187</v>
      </c>
      <c r="L135" s="120" t="s">
        <v>188</v>
      </c>
      <c r="M135" s="155" t="s">
        <v>239</v>
      </c>
      <c r="N135" s="155" t="s">
        <v>186</v>
      </c>
      <c r="O135" s="155" t="s">
        <v>185</v>
      </c>
      <c r="P135" s="155" t="s">
        <v>9</v>
      </c>
      <c r="Q135" s="155" t="s">
        <v>6</v>
      </c>
      <c r="R135" s="155" t="s">
        <v>7</v>
      </c>
      <c r="S135" s="155" t="s">
        <v>8</v>
      </c>
      <c r="T135" s="117" t="s">
        <v>327</v>
      </c>
      <c r="U135" s="117" t="s">
        <v>1756</v>
      </c>
      <c r="V135" s="116" t="s">
        <v>41</v>
      </c>
    </row>
    <row r="136" spans="2:22" s="1232" customFormat="1" ht="39.6">
      <c r="B136" s="251" t="s">
        <v>184</v>
      </c>
      <c r="C136" s="251" t="s">
        <v>19</v>
      </c>
      <c r="D136" s="251" t="s">
        <v>183</v>
      </c>
      <c r="E136" s="251" t="s">
        <v>182</v>
      </c>
      <c r="F136" s="251" t="s">
        <v>181</v>
      </c>
      <c r="G136" s="251" t="s">
        <v>234</v>
      </c>
      <c r="H136" s="251"/>
      <c r="I136" s="251"/>
      <c r="J136" s="251"/>
      <c r="K136" s="251" t="s">
        <v>233</v>
      </c>
      <c r="L136" s="251" t="s">
        <v>180</v>
      </c>
      <c r="M136" s="251" t="s">
        <v>232</v>
      </c>
      <c r="N136" s="251" t="s">
        <v>178</v>
      </c>
      <c r="O136" s="251" t="s">
        <v>177</v>
      </c>
      <c r="P136" s="251" t="s">
        <v>176</v>
      </c>
      <c r="Q136" s="251" t="s">
        <v>175</v>
      </c>
      <c r="R136" s="251" t="s">
        <v>174</v>
      </c>
      <c r="S136" s="251" t="s">
        <v>173</v>
      </c>
      <c r="T136" s="252" t="s">
        <v>364</v>
      </c>
      <c r="U136" s="252"/>
      <c r="V136" s="113"/>
    </row>
    <row r="137" spans="2:22" s="1232" customFormat="1" ht="27" thickBot="1">
      <c r="B137" s="112" t="s">
        <v>172</v>
      </c>
      <c r="C137" s="111"/>
      <c r="D137" s="111"/>
      <c r="E137" s="111"/>
      <c r="F137" s="111"/>
      <c r="G137" s="111"/>
      <c r="H137" s="111"/>
      <c r="I137" s="111"/>
      <c r="J137" s="111"/>
      <c r="K137" s="111" t="s">
        <v>338</v>
      </c>
      <c r="L137" s="111" t="s">
        <v>339</v>
      </c>
      <c r="M137" s="111" t="s">
        <v>339</v>
      </c>
      <c r="N137" s="111"/>
      <c r="O137" s="111" t="s">
        <v>62</v>
      </c>
      <c r="P137" s="111" t="s">
        <v>228</v>
      </c>
      <c r="Q137" s="110" t="s">
        <v>365</v>
      </c>
      <c r="R137" s="110" t="s">
        <v>366</v>
      </c>
      <c r="S137" s="110" t="s">
        <v>367</v>
      </c>
      <c r="T137" s="110" t="s">
        <v>165</v>
      </c>
      <c r="U137" s="110"/>
      <c r="V137" s="109"/>
    </row>
    <row r="138" spans="2:22" s="1232" customFormat="1" ht="13.8" thickBot="1">
      <c r="B138" s="112" t="s">
        <v>1730</v>
      </c>
      <c r="C138" s="1237"/>
      <c r="D138" s="1237"/>
      <c r="E138" s="1237"/>
      <c r="F138" s="1237"/>
      <c r="G138" s="1237"/>
      <c r="H138" s="1237"/>
      <c r="I138" s="1237"/>
      <c r="J138" s="1237"/>
      <c r="K138" s="1237" t="str">
        <f>'104 Methane pyrolysis, MBR'!B15</f>
        <v>Hydrogen Gas (% total input (MWh/MWh))</v>
      </c>
      <c r="L138" s="1237" t="str">
        <f>'104 Methane pyrolysis, MBR'!B12</f>
        <v>Electricity (% total input(MWh/MWh))</v>
      </c>
      <c r="M138" s="1237" t="str">
        <f>'104 Methane pyrolysis, MBR'!B18</f>
        <v>Recovered Heat (% total input (MWh/MWh))</v>
      </c>
      <c r="N138" s="1237" t="str">
        <f>'104 Methane pyrolysis, MBR'!B21</f>
        <v>Forced outage (%)</v>
      </c>
      <c r="O138" s="1237" t="str">
        <f>'104 Methane pyrolysis, MBR'!B23</f>
        <v>Technical lifetime (years)</v>
      </c>
      <c r="P138" s="1237"/>
      <c r="Q138" s="1238" t="str">
        <f>'104 Methane pyrolysis, MBR'!B27</f>
        <v>Specific investment (M€/MW of total H2 output)</v>
      </c>
      <c r="R138" s="1238" t="str">
        <f>'104 Methane pyrolysis, MBR'!B30</f>
        <v>Fixed O&amp;M (€ / MW of total H2 output)</v>
      </c>
      <c r="S138" s="1238" t="str">
        <f>'104 Methane pyrolysis, MBR'!B31</f>
        <v>Variable O&amp;M (€ / MWh of total H2 output)</v>
      </c>
      <c r="T138" s="1238"/>
      <c r="U138" s="1238"/>
      <c r="V138" s="1239"/>
    </row>
    <row r="139" spans="2:22" s="1232" customFormat="1" ht="13.8" thickBot="1">
      <c r="B139" s="112" t="s">
        <v>1730</v>
      </c>
      <c r="C139" s="1237"/>
      <c r="D139" s="1237"/>
      <c r="E139" s="1237"/>
      <c r="F139" s="1237"/>
      <c r="G139" s="1237"/>
      <c r="H139" s="1237"/>
      <c r="I139" s="1237"/>
      <c r="J139" s="1237"/>
      <c r="K139" s="1237"/>
      <c r="L139" s="1237"/>
      <c r="M139" s="1237" t="str">
        <f>'104 Methane pyrolysis, MBR'!B17</f>
        <v>Methane (% total input (MWh/MWh))</v>
      </c>
      <c r="N139" s="1237"/>
      <c r="O139" s="1237"/>
      <c r="P139" s="1237"/>
      <c r="Q139" s="1238"/>
      <c r="R139" s="1238"/>
      <c r="S139" s="1238"/>
      <c r="T139" s="1238"/>
      <c r="U139" s="1238"/>
      <c r="V139" s="1239"/>
    </row>
    <row r="140" spans="2:22" s="1232" customFormat="1" ht="13.8" thickBot="1">
      <c r="B140" s="112" t="s">
        <v>1730</v>
      </c>
      <c r="C140" s="1237"/>
      <c r="D140" s="1237"/>
      <c r="E140" s="1237"/>
      <c r="F140" s="1237"/>
      <c r="G140" s="1237"/>
      <c r="H140" s="1237"/>
      <c r="I140" s="1237"/>
      <c r="J140" s="1237"/>
      <c r="K140" s="1237"/>
      <c r="L140" s="1237"/>
      <c r="M140" s="1237" t="str">
        <f>'104 Methane pyrolysis, MBR'!B16</f>
        <v>Carbon Black (% total input (MWh/MWh))</v>
      </c>
      <c r="N140" s="1237"/>
      <c r="O140" s="1237"/>
      <c r="P140" s="1237"/>
      <c r="Q140" s="1238"/>
      <c r="R140" s="1238"/>
      <c r="S140" s="1238"/>
      <c r="T140" s="1238"/>
      <c r="U140" s="1238"/>
      <c r="V140" s="1239"/>
    </row>
    <row r="141" spans="2:22">
      <c r="B141" s="106"/>
      <c r="C141" s="1232"/>
      <c r="D141" s="1006" t="s">
        <v>352</v>
      </c>
      <c r="E141" s="1006"/>
      <c r="F141" s="1006" t="s">
        <v>1314</v>
      </c>
      <c r="G141" s="1006"/>
      <c r="H141" s="1006">
        <v>2030</v>
      </c>
      <c r="I141" s="1066" t="s">
        <v>70</v>
      </c>
      <c r="J141" s="1006">
        <v>2020</v>
      </c>
      <c r="K141" s="1067">
        <f>INDEX('104 Methane pyrolysis, MBR'!$C$6:$F$39,MATCH(SUP_H2_Production!K$138,'104 Methane pyrolysis, MBR'!$B$6:$B$39,0),MATCH(SUP_H2_Production!$H141,'104 Methane pyrolysis, MBR'!$C$4:$F$4,0))/100</f>
        <v>0.41</v>
      </c>
      <c r="L141" s="1067"/>
      <c r="M141" s="1067"/>
      <c r="N141" s="1067">
        <f>(100-INDEX('104 Methane pyrolysis, MBR'!$C$6:$F$39,MATCH(SUP_H2_Production!N$138,'104 Methane pyrolysis, MBR'!$B$6:$B$39,0),MATCH(SUP_H2_Production!$H141,'104 Methane pyrolysis, MBR'!$C$4:$F$4,0)))/100</f>
        <v>0.8</v>
      </c>
      <c r="O141" s="1069">
        <f>INDEX('104 Methane pyrolysis, MBR'!$C$6:$F$39,MATCH(SUP_H2_Production!O$138,'104 Methane pyrolysis, MBR'!$B$6:$B$39,0),MATCH(SUP_H2_Production!$H141,'104 Methane pyrolysis, MBR'!$C$4:$F$4,0))</f>
        <v>20</v>
      </c>
      <c r="P141" s="1070">
        <v>3.1536000000000002E-2</v>
      </c>
      <c r="Q141" s="1067">
        <f>INDEX('104 Methane pyrolysis, MBR'!$C$6:$F$39,MATCH(SUP_H2_Production!Q$138,'104 Methane pyrolysis, MBR'!$B$6:$B$39,0),MATCH(SUP_H2_Production!$H141,'104 Methane pyrolysis, MBR'!$C$4:$F$4,0))*7.45</f>
        <v>4.47</v>
      </c>
      <c r="R141" s="1067">
        <f>INDEX('104 Methane pyrolysis, MBR'!$C$6:$F$39,MATCH(SUP_H2_Production!R$138,'104 Methane pyrolysis, MBR'!$B$6:$B$39,0),MATCH(SUP_H2_Production!$H141,'104 Methane pyrolysis, MBR'!$C$4:$F$4,0))/1000000*7.45</f>
        <v>8.9400000000000007E-2</v>
      </c>
      <c r="S141" s="1067">
        <f>INDEX('104 Methane pyrolysis, MBR'!$C$6:$F$39,MATCH(SUP_H2_Production!S$138,'104 Methane pyrolysis, MBR'!$B$6:$B$39,0),MATCH(SUP_H2_Production!$H141,'104 Methane pyrolysis, MBR'!$C$4:$F$4,0))*7.45/3.6</f>
        <v>8.2777777777777786</v>
      </c>
      <c r="T141" s="1006">
        <v>2</v>
      </c>
      <c r="U141" s="1006"/>
      <c r="V141" s="1006" t="s">
        <v>1734</v>
      </c>
    </row>
    <row r="142" spans="2:22">
      <c r="B142" s="106"/>
      <c r="C142" s="1232"/>
      <c r="D142" s="1232"/>
      <c r="E142" s="1232" t="s">
        <v>71</v>
      </c>
      <c r="F142" s="1232"/>
      <c r="G142" s="1232" t="s">
        <v>216</v>
      </c>
      <c r="H142" s="1232"/>
      <c r="I142" s="241"/>
      <c r="J142" s="1232"/>
      <c r="K142" s="1240" t="s">
        <v>124</v>
      </c>
      <c r="L142" s="1067">
        <f>INDEX('104 Methane pyrolysis, MBR'!$C$6:$F$39,MATCH(SUP_H2_Production!L$138,'104 Methane pyrolysis, MBR'!$B$6:$B$39,0),MATCH(SUP_H2_Production!$H141,'104 Methane pyrolysis, MBR'!$C$4:$F$4,0))/100</f>
        <v>0.22</v>
      </c>
      <c r="M142" s="1067">
        <f>INDEX('104 Methane pyrolysis, MBR'!$C$6:$F$39,MATCH(SUP_H2_Production!M$138,'104 Methane pyrolysis, MBR'!$B$6:$B$39,0),MATCH(SUP_H2_Production!$H141,'104 Methane pyrolysis, MBR'!$C$4:$F$4,0))/100</f>
        <v>0.16</v>
      </c>
      <c r="N142" s="1232"/>
      <c r="O142" s="281"/>
      <c r="P142" s="103"/>
      <c r="Q142" s="141"/>
      <c r="R142" s="141"/>
      <c r="S142" s="1232"/>
      <c r="T142" s="1232"/>
      <c r="V142" s="1232"/>
    </row>
    <row r="143" spans="2:22" s="1232" customFormat="1">
      <c r="B143" s="106"/>
      <c r="G143" s="1232" t="s">
        <v>1755</v>
      </c>
      <c r="I143" s="241"/>
      <c r="K143" s="1240"/>
      <c r="L143" s="1067"/>
      <c r="M143" s="1067">
        <f>INDEX('104 Methane pyrolysis, MBR'!$C$6:$F$39,MATCH(SUP_H2_Production!M$139,'104 Methane pyrolysis, MBR'!$B$6:$B$39,0),MATCH(SUP_H2_Production!$H141,'104 Methane pyrolysis, MBR'!$C$4:$F$4,0))/100</f>
        <v>0.09</v>
      </c>
      <c r="O143" s="281"/>
      <c r="P143" s="103"/>
      <c r="Q143" s="141"/>
      <c r="R143" s="141"/>
    </row>
    <row r="144" spans="2:22">
      <c r="B144" s="106"/>
      <c r="C144" s="1232"/>
      <c r="D144" s="1006" t="s">
        <v>71</v>
      </c>
      <c r="E144" s="1006"/>
      <c r="F144" s="1006" t="s">
        <v>1314</v>
      </c>
      <c r="G144" s="1006"/>
      <c r="H144" s="1006">
        <v>2030</v>
      </c>
      <c r="I144" s="1066" t="s">
        <v>70</v>
      </c>
      <c r="J144" s="1006"/>
      <c r="K144" s="1067" t="e">
        <f>INDEX('104 Methane pyrolysis, MBR'!$C$6:$F$39,MATCH(SUP_H2_Production!J$10,'104 Methane pyrolysis, MBR'!$B$6:$B$39,0),MATCH(SUP_H2_Production!$H144,'104 Methane pyrolysis, MBR'!$C$4:$F$4,0))/100</f>
        <v>#N/A</v>
      </c>
      <c r="L144" s="1067"/>
      <c r="N144" s="1067">
        <f>(100-INDEX('104 Methane pyrolysis, MBR'!$C$6:$F$39,MATCH(SUP_H2_Production!M$10,'104 Methane pyrolysis, MBR'!$B$6:$B$39,0),MATCH(SUP_H2_Production!$H144,'104 Methane pyrolysis, MBR'!$C$4:$F$4,0)))/100</f>
        <v>0.8</v>
      </c>
      <c r="O144" s="1069">
        <f>INDEX('104 Methane pyrolysis, MBR'!$C$6:$F$39,MATCH(SUP_H2_Production!N$10,'104 Methane pyrolysis, MBR'!$B$6:$B$39,0),MATCH(SUP_H2_Production!$H144,'104 Methane pyrolysis, MBR'!$C$4:$F$4,0))</f>
        <v>20</v>
      </c>
      <c r="P144" s="1070">
        <v>3.1536000000000002E-2</v>
      </c>
      <c r="Q144" s="1067" t="e">
        <f>INDEX('104 Methane pyrolysis, MBR'!$C$6:$F$39,MATCH(SUP_H2_Production!P$10,'104 Methane pyrolysis, MBR'!$B$6:$B$39,0),MATCH(SUP_H2_Production!$H144,'104 Methane pyrolysis, MBR'!$C$4:$F$4,0))/$K144/1000*7.45</f>
        <v>#N/A</v>
      </c>
      <c r="R144" s="1067" t="e">
        <f>INDEX('104 Methane pyrolysis, MBR'!$C$6:$F$39,MATCH(SUP_H2_Production!Q$10,'104 Methane pyrolysis, MBR'!$B$6:$B$39,0),MATCH(SUP_H2_Production!$H144,'104 Methane pyrolysis, MBR'!$C$4:$F$4,0))/$K144/1000*7.45</f>
        <v>#N/A</v>
      </c>
      <c r="S144" s="1067"/>
      <c r="T144" s="1006"/>
      <c r="U144" s="1006"/>
      <c r="V144" s="1006"/>
    </row>
    <row r="145" spans="2:22">
      <c r="B145" s="106"/>
      <c r="C145" s="1232"/>
      <c r="D145" s="1006"/>
      <c r="E145" s="1006"/>
      <c r="F145" s="1006"/>
      <c r="G145" s="1006" t="s">
        <v>216</v>
      </c>
      <c r="H145" s="1006"/>
      <c r="I145" s="1066"/>
      <c r="J145" s="1006"/>
      <c r="K145" s="1067"/>
      <c r="L145" s="1067" t="e">
        <f>INDEX('104 Methane pyrolysis, MBR'!$C$6:$F$39,MATCH(SUP_H2_Production!K$10,'104 Methane pyrolysis, MBR'!$B$6:$B$39,0),MATCH(SUP_H2_Production!$H144,'104 Methane pyrolysis, MBR'!$C$4:$F$4,0))/100</f>
        <v>#N/A</v>
      </c>
      <c r="M145" s="1067"/>
      <c r="N145" s="1006"/>
      <c r="O145" s="1069"/>
      <c r="P145" s="1070"/>
      <c r="Q145" s="1067"/>
      <c r="R145" s="1067"/>
      <c r="S145" s="1006"/>
      <c r="T145" s="1006"/>
      <c r="U145" s="1006"/>
      <c r="V145" s="1006"/>
    </row>
    <row r="146" spans="2:22">
      <c r="B146" s="106"/>
      <c r="C146" s="1232"/>
      <c r="D146" s="1006" t="s">
        <v>71</v>
      </c>
      <c r="E146" s="1006"/>
      <c r="F146" s="1006" t="s">
        <v>1314</v>
      </c>
      <c r="G146" s="1006"/>
      <c r="H146" s="1006">
        <v>2040</v>
      </c>
      <c r="I146" s="1066" t="s">
        <v>70</v>
      </c>
      <c r="J146" s="1006"/>
      <c r="K146" s="1067" t="e">
        <f>INDEX('104 Methane pyrolysis, MBR'!$C$6:$F$39,MATCH(SUP_H2_Production!J$10,'104 Methane pyrolysis, MBR'!$B$6:$B$39,0),MATCH(SUP_H2_Production!$H146,'104 Methane pyrolysis, MBR'!$C$4:$F$4,0))/100</f>
        <v>#N/A</v>
      </c>
      <c r="L146" s="1067"/>
      <c r="M146" s="1067"/>
      <c r="N146" s="1067">
        <f>(100-INDEX('104 Methane pyrolysis, MBR'!$C$6:$F$39,MATCH(SUP_H2_Production!M$10,'104 Methane pyrolysis, MBR'!$B$6:$B$39,0),MATCH(SUP_H2_Production!$H146,'104 Methane pyrolysis, MBR'!$C$4:$F$4,0)))/100</f>
        <v>0.9</v>
      </c>
      <c r="O146" s="1069">
        <f>INDEX('104 Methane pyrolysis, MBR'!$C$6:$F$39,MATCH(SUP_H2_Production!N$10,'104 Methane pyrolysis, MBR'!$B$6:$B$39,0),MATCH(SUP_H2_Production!$H146,'104 Methane pyrolysis, MBR'!$C$4:$F$4,0))</f>
        <v>25</v>
      </c>
      <c r="P146" s="1070">
        <v>3.1536000000000002E-2</v>
      </c>
      <c r="Q146" s="1067" t="e">
        <f>INDEX('104 Methane pyrolysis, MBR'!$C$6:$F$39,MATCH(SUP_H2_Production!P$10,'104 Methane pyrolysis, MBR'!$B$6:$B$39,0),MATCH(SUP_H2_Production!$H146,'104 Methane pyrolysis, MBR'!$C$4:$F$4,0))/$K146/1000*7.45</f>
        <v>#N/A</v>
      </c>
      <c r="R146" s="1067" t="e">
        <f>INDEX('104 Methane pyrolysis, MBR'!$C$6:$F$39,MATCH(SUP_H2_Production!Q$10,'104 Methane pyrolysis, MBR'!$B$6:$B$39,0),MATCH(SUP_H2_Production!$H146,'104 Methane pyrolysis, MBR'!$C$4:$F$4,0))/$K146/1000*7.45</f>
        <v>#N/A</v>
      </c>
      <c r="S146" s="1067"/>
      <c r="T146" s="1006"/>
      <c r="U146" s="1006"/>
      <c r="V146" s="1006"/>
    </row>
    <row r="147" spans="2:22">
      <c r="B147" s="106"/>
      <c r="C147" s="1232"/>
      <c r="D147" s="1006"/>
      <c r="E147" s="1006"/>
      <c r="F147" s="1006"/>
      <c r="G147" s="1006" t="s">
        <v>216</v>
      </c>
      <c r="H147" s="1006"/>
      <c r="I147" s="1066"/>
      <c r="J147" s="1006"/>
      <c r="K147" s="1067"/>
      <c r="L147" s="1067" t="e">
        <f>INDEX('104 Methane pyrolysis, MBR'!$C$6:$F$39,MATCH(SUP_H2_Production!K$10,'104 Methane pyrolysis, MBR'!$B$6:$B$39,0),MATCH(SUP_H2_Production!$H146,'104 Methane pyrolysis, MBR'!$C$4:$F$4,0))/100</f>
        <v>#N/A</v>
      </c>
      <c r="M147" s="1067"/>
      <c r="N147" s="1006"/>
      <c r="O147" s="1069"/>
      <c r="P147" s="1070"/>
      <c r="Q147" s="1067"/>
      <c r="R147" s="1067"/>
      <c r="S147" s="1006"/>
      <c r="T147" s="1006"/>
      <c r="U147" s="1006"/>
      <c r="V147" s="1006"/>
    </row>
    <row r="148" spans="2:22">
      <c r="B148" s="106"/>
      <c r="C148" s="1232"/>
      <c r="D148" s="1006" t="s">
        <v>71</v>
      </c>
      <c r="E148" s="1006"/>
      <c r="F148" s="1006" t="s">
        <v>1314</v>
      </c>
      <c r="G148" s="1006"/>
      <c r="H148" s="1006">
        <v>2050</v>
      </c>
      <c r="I148" s="1066" t="s">
        <v>70</v>
      </c>
      <c r="J148" s="1006"/>
      <c r="K148" s="1067" t="e">
        <f>INDEX('104 Methane pyrolysis, MBR'!$C$6:$F$39,MATCH(SUP_H2_Production!J$10,'104 Methane pyrolysis, MBR'!$B$6:$B$39,0),MATCH(SUP_H2_Production!$H148,'104 Methane pyrolysis, MBR'!$C$4:$F$4,0))/100</f>
        <v>#N/A</v>
      </c>
      <c r="L148" s="1067"/>
      <c r="M148" s="1067"/>
      <c r="N148" s="1067">
        <f>(100-INDEX('104 Methane pyrolysis, MBR'!$C$6:$F$39,MATCH(SUP_H2_Production!M$10,'104 Methane pyrolysis, MBR'!$B$6:$B$39,0),MATCH(SUP_H2_Production!$H148,'104 Methane pyrolysis, MBR'!$C$4:$F$4,0)))/100</f>
        <v>0.99</v>
      </c>
      <c r="O148" s="1069">
        <f>INDEX('104 Methane pyrolysis, MBR'!$C$6:$F$39,MATCH(SUP_H2_Production!N$10,'104 Methane pyrolysis, MBR'!$B$6:$B$39,0),MATCH(SUP_H2_Production!$H148,'104 Methane pyrolysis, MBR'!$C$4:$F$4,0))</f>
        <v>25</v>
      </c>
      <c r="P148" s="1070">
        <v>3.1536000000000002E-2</v>
      </c>
      <c r="Q148" s="1067" t="e">
        <f>INDEX('104 Methane pyrolysis, MBR'!$C$6:$F$39,MATCH(SUP_H2_Production!P$10,'104 Methane pyrolysis, MBR'!$B$6:$B$39,0),MATCH(SUP_H2_Production!$H148,'104 Methane pyrolysis, MBR'!$C$4:$F$4,0))/$K148/1000*7.45</f>
        <v>#N/A</v>
      </c>
      <c r="R148" s="1067" t="e">
        <f>INDEX('104 Methane pyrolysis, MBR'!$C$6:$F$39,MATCH(SUP_H2_Production!Q$10,'104 Methane pyrolysis, MBR'!$B$6:$B$39,0),MATCH(SUP_H2_Production!$H148,'104 Methane pyrolysis, MBR'!$C$4:$F$4,0))/$K148/1000*7.45</f>
        <v>#N/A</v>
      </c>
      <c r="S148" s="1067"/>
      <c r="T148" s="1006"/>
      <c r="U148" s="1006"/>
      <c r="V148" s="1006"/>
    </row>
    <row r="149" spans="2:22" ht="13.8" thickBot="1">
      <c r="B149" s="108"/>
      <c r="C149" s="107"/>
      <c r="D149" s="107"/>
      <c r="E149" s="107"/>
      <c r="F149" s="107"/>
      <c r="G149" s="107" t="s">
        <v>216</v>
      </c>
      <c r="H149" s="107"/>
      <c r="I149" s="256"/>
      <c r="J149" s="107"/>
      <c r="K149" s="151"/>
      <c r="L149" s="151" t="e">
        <f>INDEX('104 Methane pyrolysis, MBR'!$C$6:$F$39,MATCH(SUP_H2_Production!K$10,'104 Methane pyrolysis, MBR'!$B$6:$B$39,0),MATCH(SUP_H2_Production!$H148,'104 Methane pyrolysis, MBR'!$C$4:$F$4,0))/100</f>
        <v>#N/A</v>
      </c>
      <c r="M149" s="151"/>
      <c r="N149" s="107"/>
      <c r="O149" s="107"/>
      <c r="P149" s="107"/>
      <c r="Q149" s="257"/>
      <c r="R149" s="257"/>
      <c r="S149" s="107"/>
      <c r="T149" s="107"/>
      <c r="U149" s="107"/>
      <c r="V149" s="107"/>
    </row>
    <row r="150" spans="2:22">
      <c r="B150" s="106"/>
      <c r="C150" s="1232"/>
      <c r="D150" s="1006" t="s">
        <v>71</v>
      </c>
      <c r="E150" s="1006"/>
      <c r="F150" s="1006" t="s">
        <v>348</v>
      </c>
      <c r="G150" s="1006"/>
      <c r="H150" s="1006">
        <v>2020</v>
      </c>
      <c r="I150" s="1066" t="s">
        <v>70</v>
      </c>
      <c r="J150" s="1006">
        <v>2020</v>
      </c>
      <c r="K150" s="1067" t="e">
        <f>INDEX('104 Methane pyrolysis, MBR'!$C$6:$F$39,MATCH(SUP_H2_Production!J$10,'104 Methane pyrolysis, MBR'!$B$6:$B$39,0),MATCH(SUP_H2_Production!$H150,'104 Methane pyrolysis, MBR'!$C$4:$F$4,0))/100</f>
        <v>#N/A</v>
      </c>
      <c r="L150" s="1067"/>
      <c r="M150" s="1067"/>
      <c r="N150" s="1067" t="e">
        <f>(100-INDEX('104 Methane pyrolysis, MBR'!$C$6:$F$39,MATCH(SUP_H2_Production!M$10,'104 Methane pyrolysis, MBR'!$B$6:$B$39,0),MATCH(SUP_H2_Production!$H150,'104 Methane pyrolysis, MBR'!$C$4:$F$4,0)))/100</f>
        <v>#VALUE!</v>
      </c>
      <c r="O150" s="1069" t="str">
        <f>INDEX('104 Methane pyrolysis, MBR'!$C$6:$F$39,MATCH(SUP_H2_Production!N$10,'104 Methane pyrolysis, MBR'!$B$6:$B$39,0),MATCH(SUP_H2_Production!$H150,'104 Methane pyrolysis, MBR'!$C$4:$F$4,0))</f>
        <v>N/A</v>
      </c>
      <c r="P150" s="1070">
        <v>3.1536000000000002E-2</v>
      </c>
      <c r="Q150" s="1067" t="e">
        <f>INDEX('104 Methane pyrolysis, MBR'!$C$6:$F$39,MATCH(SUP_H2_Production!P$10,'104 Methane pyrolysis, MBR'!$B$6:$B$39,0),MATCH(SUP_H2_Production!$H150,'104 Methane pyrolysis, MBR'!$C$4:$F$4,0))/$K150/1000*7.45</f>
        <v>#N/A</v>
      </c>
      <c r="R150" s="1067" t="e">
        <f>INDEX('104 Methane pyrolysis, MBR'!$C$6:$F$39,MATCH(SUP_H2_Production!Q$10,'104 Methane pyrolysis, MBR'!$B$6:$B$39,0),MATCH(SUP_H2_Production!$H150,'104 Methane pyrolysis, MBR'!$C$4:$F$4,0))/$K150/1000*7.45</f>
        <v>#N/A</v>
      </c>
      <c r="S150" s="1067"/>
      <c r="T150" s="1006">
        <v>2</v>
      </c>
      <c r="U150" s="1006"/>
      <c r="V150" s="1006" t="s">
        <v>1734</v>
      </c>
    </row>
    <row r="151" spans="2:22">
      <c r="B151" s="106"/>
      <c r="C151" s="1232"/>
      <c r="D151" s="1232"/>
      <c r="E151" s="1232"/>
      <c r="F151" s="1232"/>
      <c r="G151" s="1232" t="s">
        <v>259</v>
      </c>
      <c r="H151" s="1232"/>
      <c r="I151" s="241"/>
      <c r="J151" s="1232"/>
      <c r="K151" s="1240" t="s">
        <v>124</v>
      </c>
      <c r="L151" s="1067" t="e">
        <f>INDEX('104 Methane pyrolysis, MBR'!$C$6:$F$39,MATCH(SUP_H2_Production!K$10,'104 Methane pyrolysis, MBR'!$B$6:$B$39,0),MATCH(SUP_H2_Production!$H150,'104 Methane pyrolysis, MBR'!$C$4:$F$4,0))/100</f>
        <v>#N/A</v>
      </c>
      <c r="M151" s="1067"/>
      <c r="N151" s="1232"/>
      <c r="O151" s="281"/>
      <c r="P151" s="103"/>
      <c r="Q151" s="141"/>
      <c r="R151" s="141"/>
      <c r="S151" s="1232"/>
      <c r="T151" s="1232"/>
      <c r="V151" s="1232"/>
    </row>
    <row r="152" spans="2:22">
      <c r="B152" s="106"/>
      <c r="C152" s="1232"/>
      <c r="D152" s="1006" t="s">
        <v>71</v>
      </c>
      <c r="E152" s="1006"/>
      <c r="F152" s="1006" t="s">
        <v>348</v>
      </c>
      <c r="G152" s="1006"/>
      <c r="H152" s="1006">
        <v>2030</v>
      </c>
      <c r="I152" s="1066" t="s">
        <v>70</v>
      </c>
      <c r="J152" s="1006"/>
      <c r="K152" s="1067" t="e">
        <f>INDEX('104 Methane pyrolysis, MBR'!$C$6:$F$39,MATCH(SUP_H2_Production!J$10,'104 Methane pyrolysis, MBR'!$B$6:$B$39,0),MATCH(SUP_H2_Production!$H152,'104 Methane pyrolysis, MBR'!$C$4:$F$4,0))/100</f>
        <v>#N/A</v>
      </c>
      <c r="L152" s="1067"/>
      <c r="M152" s="1067"/>
      <c r="N152" s="1067">
        <f>(100-INDEX('104 Methane pyrolysis, MBR'!$C$6:$F$39,MATCH(SUP_H2_Production!M$10,'104 Methane pyrolysis, MBR'!$B$6:$B$39,0),MATCH(SUP_H2_Production!$H152,'104 Methane pyrolysis, MBR'!$C$4:$F$4,0)))/100</f>
        <v>0.8</v>
      </c>
      <c r="O152" s="1069">
        <f>INDEX('104 Methane pyrolysis, MBR'!$C$6:$F$39,MATCH(SUP_H2_Production!N$10,'104 Methane pyrolysis, MBR'!$B$6:$B$39,0),MATCH(SUP_H2_Production!$H152,'104 Methane pyrolysis, MBR'!$C$4:$F$4,0))</f>
        <v>20</v>
      </c>
      <c r="P152" s="1070">
        <v>3.1536000000000002E-2</v>
      </c>
      <c r="Q152" s="1067" t="e">
        <f>INDEX('104 Methane pyrolysis, MBR'!$C$6:$F$39,MATCH(SUP_H2_Production!P$10,'104 Methane pyrolysis, MBR'!$B$6:$B$39,0),MATCH(SUP_H2_Production!$H152,'104 Methane pyrolysis, MBR'!$C$4:$F$4,0))/$K152/1000*7.45</f>
        <v>#N/A</v>
      </c>
      <c r="R152" s="1067" t="e">
        <f>INDEX('104 Methane pyrolysis, MBR'!$C$6:$F$39,MATCH(SUP_H2_Production!Q$10,'104 Methane pyrolysis, MBR'!$B$6:$B$39,0),MATCH(SUP_H2_Production!$H152,'104 Methane pyrolysis, MBR'!$C$4:$F$4,0))/$K152/1000*7.45</f>
        <v>#N/A</v>
      </c>
      <c r="S152" s="1067"/>
      <c r="T152" s="1006"/>
      <c r="U152" s="1006"/>
      <c r="V152" s="1006"/>
    </row>
    <row r="153" spans="2:22">
      <c r="B153" s="106"/>
      <c r="C153" s="1232"/>
      <c r="D153" s="1006"/>
      <c r="E153" s="1006"/>
      <c r="F153" s="1006"/>
      <c r="G153" s="1232" t="s">
        <v>259</v>
      </c>
      <c r="H153" s="1006"/>
      <c r="I153" s="1066"/>
      <c r="J153" s="1006"/>
      <c r="K153" s="1067"/>
      <c r="L153" s="1067" t="e">
        <f>INDEX('104 Methane pyrolysis, MBR'!$C$6:$F$39,MATCH(SUP_H2_Production!K$10,'104 Methane pyrolysis, MBR'!$B$6:$B$39,0),MATCH(SUP_H2_Production!$H152,'104 Methane pyrolysis, MBR'!$C$4:$F$4,0))/100</f>
        <v>#N/A</v>
      </c>
      <c r="M153" s="1067"/>
      <c r="N153" s="1006"/>
      <c r="O153" s="1069"/>
      <c r="P153" s="1070"/>
      <c r="Q153" s="1067"/>
      <c r="R153" s="1067"/>
      <c r="S153" s="1006"/>
      <c r="T153" s="1006"/>
      <c r="U153" s="1006"/>
      <c r="V153" s="1006"/>
    </row>
    <row r="154" spans="2:22">
      <c r="B154" s="106"/>
      <c r="C154" s="1232"/>
      <c r="D154" s="1006" t="s">
        <v>71</v>
      </c>
      <c r="E154" s="1006"/>
      <c r="F154" s="1006" t="s">
        <v>348</v>
      </c>
      <c r="G154" s="1006"/>
      <c r="H154" s="1006">
        <v>2040</v>
      </c>
      <c r="I154" s="1066" t="s">
        <v>70</v>
      </c>
      <c r="J154" s="1006"/>
      <c r="K154" s="1067" t="e">
        <f>INDEX('104 Methane pyrolysis, MBR'!$C$6:$F$39,MATCH(SUP_H2_Production!J$10,'104 Methane pyrolysis, MBR'!$B$6:$B$39,0),MATCH(SUP_H2_Production!$H154,'104 Methane pyrolysis, MBR'!$C$4:$F$4,0))/100</f>
        <v>#N/A</v>
      </c>
      <c r="L154" s="1067"/>
      <c r="M154" s="1067"/>
      <c r="N154" s="1067">
        <f>(100-INDEX('104 Methane pyrolysis, MBR'!$C$6:$F$39,MATCH(SUP_H2_Production!M$10,'104 Methane pyrolysis, MBR'!$B$6:$B$39,0),MATCH(SUP_H2_Production!$H154,'104 Methane pyrolysis, MBR'!$C$4:$F$4,0)))/100</f>
        <v>0.9</v>
      </c>
      <c r="O154" s="1069">
        <f>INDEX('104 Methane pyrolysis, MBR'!$C$6:$F$39,MATCH(SUP_H2_Production!N$10,'104 Methane pyrolysis, MBR'!$B$6:$B$39,0),MATCH(SUP_H2_Production!$H154,'104 Methane pyrolysis, MBR'!$C$4:$F$4,0))</f>
        <v>25</v>
      </c>
      <c r="P154" s="1070">
        <v>3.1536000000000002E-2</v>
      </c>
      <c r="Q154" s="1067" t="e">
        <f>INDEX('104 Methane pyrolysis, MBR'!$C$6:$F$39,MATCH(SUP_H2_Production!P$10,'104 Methane pyrolysis, MBR'!$B$6:$B$39,0),MATCH(SUP_H2_Production!$H154,'104 Methane pyrolysis, MBR'!$C$4:$F$4,0))/$K154/1000*7.45</f>
        <v>#N/A</v>
      </c>
      <c r="R154" s="1067" t="e">
        <f>INDEX('104 Methane pyrolysis, MBR'!$C$6:$F$39,MATCH(SUP_H2_Production!Q$10,'104 Methane pyrolysis, MBR'!$B$6:$B$39,0),MATCH(SUP_H2_Production!$H154,'104 Methane pyrolysis, MBR'!$C$4:$F$4,0))/$K154/1000*7.45</f>
        <v>#N/A</v>
      </c>
      <c r="S154" s="1067"/>
      <c r="T154" s="1006"/>
      <c r="U154" s="1006"/>
      <c r="V154" s="1006"/>
    </row>
    <row r="155" spans="2:22">
      <c r="B155" s="106"/>
      <c r="C155" s="1232"/>
      <c r="D155" s="1006"/>
      <c r="E155" s="1006"/>
      <c r="F155" s="1006"/>
      <c r="G155" s="1232" t="s">
        <v>259</v>
      </c>
      <c r="H155" s="1006"/>
      <c r="I155" s="1066"/>
      <c r="J155" s="1006"/>
      <c r="K155" s="1067"/>
      <c r="L155" s="1067" t="e">
        <f>INDEX('104 Methane pyrolysis, MBR'!$C$6:$F$39,MATCH(SUP_H2_Production!K$10,'104 Methane pyrolysis, MBR'!$B$6:$B$39,0),MATCH(SUP_H2_Production!$H154,'104 Methane pyrolysis, MBR'!$C$4:$F$4,0))/100</f>
        <v>#N/A</v>
      </c>
      <c r="M155" s="1067"/>
      <c r="N155" s="1006"/>
      <c r="O155" s="1069"/>
      <c r="P155" s="1070"/>
      <c r="Q155" s="1067"/>
      <c r="R155" s="1067"/>
      <c r="S155" s="1006"/>
      <c r="T155" s="1006"/>
      <c r="U155" s="1006"/>
      <c r="V155" s="1006"/>
    </row>
    <row r="156" spans="2:22">
      <c r="B156" s="106"/>
      <c r="C156" s="1232"/>
      <c r="D156" s="1006" t="s">
        <v>71</v>
      </c>
      <c r="E156" s="1006"/>
      <c r="F156" s="1006" t="s">
        <v>348</v>
      </c>
      <c r="G156" s="1006"/>
      <c r="H156" s="1006">
        <v>2050</v>
      </c>
      <c r="I156" s="1066" t="s">
        <v>70</v>
      </c>
      <c r="J156" s="1006"/>
      <c r="K156" s="1067" t="e">
        <f>INDEX('104 Methane pyrolysis, MBR'!$C$6:$F$39,MATCH(SUP_H2_Production!J$10,'104 Methane pyrolysis, MBR'!$B$6:$B$39,0),MATCH(SUP_H2_Production!$H156,'104 Methane pyrolysis, MBR'!$C$4:$F$4,0))/100</f>
        <v>#N/A</v>
      </c>
      <c r="L156" s="1067"/>
      <c r="M156" s="1067"/>
      <c r="N156" s="1067">
        <f>(100-INDEX('104 Methane pyrolysis, MBR'!$C$6:$F$39,MATCH(SUP_H2_Production!M$10,'104 Methane pyrolysis, MBR'!$B$6:$B$39,0),MATCH(SUP_H2_Production!$H156,'104 Methane pyrolysis, MBR'!$C$4:$F$4,0)))/100</f>
        <v>0.99</v>
      </c>
      <c r="O156" s="1069">
        <f>INDEX('104 Methane pyrolysis, MBR'!$C$6:$F$39,MATCH(SUP_H2_Production!N$10,'104 Methane pyrolysis, MBR'!$B$6:$B$39,0),MATCH(SUP_H2_Production!$H156,'104 Methane pyrolysis, MBR'!$C$4:$F$4,0))</f>
        <v>25</v>
      </c>
      <c r="P156" s="1070">
        <v>3.1536000000000002E-2</v>
      </c>
      <c r="Q156" s="1067" t="e">
        <f>INDEX('104 Methane pyrolysis, MBR'!$C$6:$F$39,MATCH(SUP_H2_Production!P$10,'104 Methane pyrolysis, MBR'!$B$6:$B$39,0),MATCH(SUP_H2_Production!$H156,'104 Methane pyrolysis, MBR'!$C$4:$F$4,0))/$K156/1000*7.45</f>
        <v>#N/A</v>
      </c>
      <c r="R156" s="1067" t="e">
        <f>INDEX('104 Methane pyrolysis, MBR'!$C$6:$F$39,MATCH(SUP_H2_Production!Q$10,'104 Methane pyrolysis, MBR'!$B$6:$B$39,0),MATCH(SUP_H2_Production!$H156,'104 Methane pyrolysis, MBR'!$C$4:$F$4,0))/$K156/1000*7.45</f>
        <v>#N/A</v>
      </c>
      <c r="S156" s="1067"/>
      <c r="T156" s="1006"/>
      <c r="U156" s="1006"/>
      <c r="V156" s="1006"/>
    </row>
    <row r="157" spans="2:22" ht="13.8" thickBot="1">
      <c r="B157" s="108"/>
      <c r="C157" s="107"/>
      <c r="D157" s="107"/>
      <c r="E157" s="107"/>
      <c r="F157" s="107"/>
      <c r="G157" s="107" t="s">
        <v>259</v>
      </c>
      <c r="H157" s="107"/>
      <c r="I157" s="256"/>
      <c r="J157" s="107"/>
      <c r="K157" s="151"/>
      <c r="L157" s="151" t="e">
        <f>INDEX('104 Methane pyrolysis, MBR'!$C$6:$F$39,MATCH(SUP_H2_Production!K$10,'104 Methane pyrolysis, MBR'!$B$6:$B$39,0),MATCH(SUP_H2_Production!$H156,'104 Methane pyrolysis, MBR'!$C$4:$F$4,0))/100</f>
        <v>#N/A</v>
      </c>
      <c r="M157" s="151"/>
      <c r="N157" s="107"/>
      <c r="O157" s="107"/>
      <c r="P157" s="107"/>
      <c r="Q157" s="257"/>
      <c r="R157" s="257"/>
      <c r="S157" s="107"/>
      <c r="T157" s="107"/>
      <c r="U157" s="107"/>
      <c r="V157" s="107"/>
    </row>
    <row r="158" spans="2:22">
      <c r="B158" s="106"/>
      <c r="C158" s="1232"/>
      <c r="D158" s="1006" t="s">
        <v>71</v>
      </c>
      <c r="E158" s="1006"/>
      <c r="F158" s="1006" t="s">
        <v>1314</v>
      </c>
      <c r="G158" s="1006"/>
      <c r="H158" s="1006">
        <v>2020</v>
      </c>
      <c r="I158" s="1066" t="s">
        <v>70</v>
      </c>
      <c r="J158" s="1006">
        <v>2020</v>
      </c>
      <c r="K158" s="1067" t="e">
        <f>INDEX('104 Methane pyrolysis, MBR'!$C$6:$F$39,MATCH(SUP_H2_Production!J$10,'104 Methane pyrolysis, MBR'!$B$6:$B$39,0),MATCH(SUP_H2_Production!$H158,'104 Methane pyrolysis, MBR'!$C$4:$F$4,0))/100</f>
        <v>#N/A</v>
      </c>
      <c r="L158" s="1067"/>
      <c r="M158" s="1067"/>
      <c r="N158" s="1067" t="e">
        <f>(100-INDEX('104 Methane pyrolysis, MBR'!$C$6:$F$39,MATCH(SUP_H2_Production!M$10,'104 Methane pyrolysis, MBR'!$B$6:$B$39,0),MATCH(SUP_H2_Production!$H158,'104 Methane pyrolysis, MBR'!$C$4:$F$4,0)))/100</f>
        <v>#VALUE!</v>
      </c>
      <c r="O158" s="1069" t="str">
        <f>INDEX('104 Methane pyrolysis, MBR'!$C$6:$F$39,MATCH(SUP_H2_Production!N$10,'104 Methane pyrolysis, MBR'!$B$6:$B$39,0),MATCH(SUP_H2_Production!$H158,'104 Methane pyrolysis, MBR'!$C$4:$F$4,0))</f>
        <v>N/A</v>
      </c>
      <c r="P158" s="1070">
        <v>3.1536000000000002E-2</v>
      </c>
      <c r="Q158" s="1067" t="e">
        <f>INDEX('104 Methane pyrolysis, MBR'!$C$6:$F$39,MATCH(SUP_H2_Production!P$10,'104 Methane pyrolysis, MBR'!$B$6:$B$39,0),MATCH(SUP_H2_Production!$H158,'104 Methane pyrolysis, MBR'!$C$4:$F$4,0))/$K158/1000*7.45</f>
        <v>#N/A</v>
      </c>
      <c r="R158" s="1067" t="e">
        <f>INDEX('104 Methane pyrolysis, MBR'!$C$6:$F$39,MATCH(SUP_H2_Production!Q$10,'104 Methane pyrolysis, MBR'!$B$6:$B$39,0),MATCH(SUP_H2_Production!$H158,'104 Methane pyrolysis, MBR'!$C$4:$F$4,0))/$K158/1000*7.45</f>
        <v>#N/A</v>
      </c>
      <c r="S158" s="1067"/>
      <c r="T158" s="1006">
        <v>2</v>
      </c>
      <c r="U158" s="1006"/>
      <c r="V158" s="1006" t="s">
        <v>1734</v>
      </c>
    </row>
    <row r="159" spans="2:22">
      <c r="B159" s="106"/>
      <c r="C159" s="1232"/>
      <c r="D159" s="1232"/>
      <c r="E159" s="1232"/>
      <c r="F159" s="1232"/>
      <c r="G159" s="1232"/>
      <c r="H159" s="1232"/>
      <c r="I159" s="241"/>
      <c r="J159" s="1232"/>
      <c r="K159" s="1240" t="s">
        <v>124</v>
      </c>
      <c r="L159" s="1067" t="e">
        <f>INDEX('104 Methane pyrolysis, MBR'!$C$6:$F$39,MATCH(SUP_H2_Production!K$10,'104 Methane pyrolysis, MBR'!$B$6:$B$39,0),MATCH(SUP_H2_Production!$H158,'104 Methane pyrolysis, MBR'!$C$4:$F$4,0))/100</f>
        <v>#N/A</v>
      </c>
      <c r="M159" s="1067"/>
      <c r="N159" s="1232"/>
      <c r="O159" s="281"/>
      <c r="P159" s="103"/>
      <c r="Q159" s="141"/>
      <c r="R159" s="141"/>
      <c r="S159" s="1232"/>
      <c r="T159" s="1232"/>
      <c r="V159" s="1232"/>
    </row>
    <row r="160" spans="2:22">
      <c r="B160" s="106"/>
      <c r="C160" s="1232"/>
      <c r="D160" s="1006" t="s">
        <v>71</v>
      </c>
      <c r="E160" s="1006"/>
      <c r="F160" s="1006" t="s">
        <v>1314</v>
      </c>
      <c r="G160" s="1006"/>
      <c r="H160" s="1006">
        <v>2030</v>
      </c>
      <c r="I160" s="1066" t="s">
        <v>70</v>
      </c>
      <c r="J160" s="1006"/>
      <c r="K160" s="1067" t="e">
        <f>INDEX('104 Methane pyrolysis, MBR'!$C$6:$F$39,MATCH(SUP_H2_Production!J$10,'104 Methane pyrolysis, MBR'!$B$6:$B$39,0),MATCH(SUP_H2_Production!$H160,'104 Methane pyrolysis, MBR'!$C$4:$F$4,0))/100</f>
        <v>#N/A</v>
      </c>
      <c r="L160" s="1067"/>
      <c r="M160" s="1067"/>
      <c r="N160" s="1067">
        <f>(100-INDEX('104 Methane pyrolysis, MBR'!$C$6:$F$39,MATCH(SUP_H2_Production!M$10,'104 Methane pyrolysis, MBR'!$B$6:$B$39,0),MATCH(SUP_H2_Production!$H160,'104 Methane pyrolysis, MBR'!$C$4:$F$4,0)))/100</f>
        <v>0.8</v>
      </c>
      <c r="O160" s="1069">
        <f>INDEX('104 Methane pyrolysis, MBR'!$C$6:$F$39,MATCH(SUP_H2_Production!N$10,'104 Methane pyrolysis, MBR'!$B$6:$B$39,0),MATCH(SUP_H2_Production!$H160,'104 Methane pyrolysis, MBR'!$C$4:$F$4,0))</f>
        <v>20</v>
      </c>
      <c r="P160" s="1070">
        <v>3.1536000000000002E-2</v>
      </c>
      <c r="Q160" s="1067" t="e">
        <f>INDEX('104 Methane pyrolysis, MBR'!$C$6:$F$39,MATCH(SUP_H2_Production!P$10,'104 Methane pyrolysis, MBR'!$B$6:$B$39,0),MATCH(SUP_H2_Production!$H160,'104 Methane pyrolysis, MBR'!$C$4:$F$4,0))/$K160/1000*7.45</f>
        <v>#N/A</v>
      </c>
      <c r="R160" s="1067" t="e">
        <f>INDEX('104 Methane pyrolysis, MBR'!$C$6:$F$39,MATCH(SUP_H2_Production!Q$10,'104 Methane pyrolysis, MBR'!$B$6:$B$39,0),MATCH(SUP_H2_Production!$H160,'104 Methane pyrolysis, MBR'!$C$4:$F$4,0))/$K160/1000*7.45</f>
        <v>#N/A</v>
      </c>
      <c r="S160" s="1067"/>
      <c r="T160" s="1006"/>
      <c r="U160" s="1006"/>
      <c r="V160" s="1006"/>
    </row>
    <row r="161" spans="2:22">
      <c r="B161" s="106"/>
      <c r="C161" s="1232"/>
      <c r="D161" s="1006"/>
      <c r="E161" s="1006"/>
      <c r="F161" s="1006"/>
      <c r="G161" s="1006"/>
      <c r="H161" s="1006"/>
      <c r="I161" s="1066"/>
      <c r="J161" s="1006"/>
      <c r="K161" s="1067"/>
      <c r="L161" s="1067" t="e">
        <f>INDEX('104 Methane pyrolysis, MBR'!$C$6:$F$39,MATCH(SUP_H2_Production!K$10,'104 Methane pyrolysis, MBR'!$B$6:$B$39,0),MATCH(SUP_H2_Production!$H160,'104 Methane pyrolysis, MBR'!$C$4:$F$4,0))/100</f>
        <v>#N/A</v>
      </c>
      <c r="M161" s="1067"/>
      <c r="N161" s="1006"/>
      <c r="O161" s="1069"/>
      <c r="P161" s="1070"/>
      <c r="Q161" s="1067"/>
      <c r="R161" s="1067"/>
      <c r="S161" s="1006"/>
      <c r="T161" s="1006"/>
      <c r="U161" s="1006"/>
      <c r="V161" s="1006"/>
    </row>
    <row r="162" spans="2:22">
      <c r="B162" s="106"/>
      <c r="C162" s="1232"/>
      <c r="D162" s="1006" t="s">
        <v>71</v>
      </c>
      <c r="E162" s="1006"/>
      <c r="F162" s="1006" t="s">
        <v>1314</v>
      </c>
      <c r="G162" s="1006"/>
      <c r="H162" s="1006">
        <v>2040</v>
      </c>
      <c r="I162" s="1066" t="s">
        <v>70</v>
      </c>
      <c r="J162" s="1006"/>
      <c r="K162" s="1067" t="e">
        <f>INDEX('104 Methane pyrolysis, MBR'!$C$6:$F$39,MATCH(SUP_H2_Production!J$10,'104 Methane pyrolysis, MBR'!$B$6:$B$39,0),MATCH(SUP_H2_Production!$H162,'104 Methane pyrolysis, MBR'!$C$4:$F$4,0))/100</f>
        <v>#N/A</v>
      </c>
      <c r="L162" s="1067"/>
      <c r="M162" s="1067"/>
      <c r="N162" s="1067">
        <f>(100-INDEX('104 Methane pyrolysis, MBR'!$C$6:$F$39,MATCH(SUP_H2_Production!M$10,'104 Methane pyrolysis, MBR'!$B$6:$B$39,0),MATCH(SUP_H2_Production!$H162,'104 Methane pyrolysis, MBR'!$C$4:$F$4,0)))/100</f>
        <v>0.9</v>
      </c>
      <c r="O162" s="1069">
        <f>INDEX('104 Methane pyrolysis, MBR'!$C$6:$F$39,MATCH(SUP_H2_Production!N$10,'104 Methane pyrolysis, MBR'!$B$6:$B$39,0),MATCH(SUP_H2_Production!$H162,'104 Methane pyrolysis, MBR'!$C$4:$F$4,0))</f>
        <v>25</v>
      </c>
      <c r="P162" s="1070">
        <v>3.1536000000000002E-2</v>
      </c>
      <c r="Q162" s="1067" t="e">
        <f>INDEX('104 Methane pyrolysis, MBR'!$C$6:$F$39,MATCH(SUP_H2_Production!P$10,'104 Methane pyrolysis, MBR'!$B$6:$B$39,0),MATCH(SUP_H2_Production!$H162,'104 Methane pyrolysis, MBR'!$C$4:$F$4,0))/$K162/1000*7.45</f>
        <v>#N/A</v>
      </c>
      <c r="R162" s="1067" t="e">
        <f>INDEX('104 Methane pyrolysis, MBR'!$C$6:$F$39,MATCH(SUP_H2_Production!Q$10,'104 Methane pyrolysis, MBR'!$B$6:$B$39,0),MATCH(SUP_H2_Production!$H162,'104 Methane pyrolysis, MBR'!$C$4:$F$4,0))/$K162/1000*7.45</f>
        <v>#N/A</v>
      </c>
      <c r="S162" s="1067"/>
      <c r="T162" s="1006"/>
      <c r="U162" s="1006"/>
      <c r="V162" s="1006"/>
    </row>
    <row r="163" spans="2:22">
      <c r="B163" s="106"/>
      <c r="C163" s="1232"/>
      <c r="D163" s="1006"/>
      <c r="E163" s="1006"/>
      <c r="F163" s="1006"/>
      <c r="G163" s="1006"/>
      <c r="H163" s="1006"/>
      <c r="I163" s="1066"/>
      <c r="J163" s="1006"/>
      <c r="K163" s="1067"/>
      <c r="L163" s="1067" t="e">
        <f>INDEX('104 Methane pyrolysis, MBR'!$C$6:$F$39,MATCH(SUP_H2_Production!K$10,'104 Methane pyrolysis, MBR'!$B$6:$B$39,0),MATCH(SUP_H2_Production!$H162,'104 Methane pyrolysis, MBR'!$C$4:$F$4,0))/100</f>
        <v>#N/A</v>
      </c>
      <c r="M163" s="1067"/>
      <c r="N163" s="1006"/>
      <c r="O163" s="1069"/>
      <c r="P163" s="1070"/>
      <c r="Q163" s="1067"/>
      <c r="R163" s="1067"/>
      <c r="S163" s="1006"/>
      <c r="T163" s="1006"/>
      <c r="U163" s="1006"/>
      <c r="V163" s="1006"/>
    </row>
    <row r="164" spans="2:22">
      <c r="B164" s="106"/>
      <c r="C164" s="1232"/>
      <c r="D164" s="1006" t="s">
        <v>71</v>
      </c>
      <c r="E164" s="1006"/>
      <c r="F164" s="1006" t="s">
        <v>1314</v>
      </c>
      <c r="G164" s="1006"/>
      <c r="H164" s="1006">
        <v>2050</v>
      </c>
      <c r="I164" s="1066" t="s">
        <v>70</v>
      </c>
      <c r="J164" s="1006"/>
      <c r="K164" s="1067" t="e">
        <f>INDEX('104 Methane pyrolysis, MBR'!$C$6:$F$39,MATCH(SUP_H2_Production!J$10,'104 Methane pyrolysis, MBR'!$B$6:$B$39,0),MATCH(SUP_H2_Production!$H164,'104 Methane pyrolysis, MBR'!$C$4:$F$4,0))/100</f>
        <v>#N/A</v>
      </c>
      <c r="L164" s="1067"/>
      <c r="M164" s="1067"/>
      <c r="N164" s="1067">
        <f>(100-INDEX('104 Methane pyrolysis, MBR'!$C$6:$F$39,MATCH(SUP_H2_Production!M$10,'104 Methane pyrolysis, MBR'!$B$6:$B$39,0),MATCH(SUP_H2_Production!$H164,'104 Methane pyrolysis, MBR'!$C$4:$F$4,0)))/100</f>
        <v>0.99</v>
      </c>
      <c r="O164" s="1069">
        <f>INDEX('104 Methane pyrolysis, MBR'!$C$6:$F$39,MATCH(SUP_H2_Production!N$10,'104 Methane pyrolysis, MBR'!$B$6:$B$39,0),MATCH(SUP_H2_Production!$H164,'104 Methane pyrolysis, MBR'!$C$4:$F$4,0))</f>
        <v>25</v>
      </c>
      <c r="P164" s="1070">
        <v>3.1536000000000002E-2</v>
      </c>
      <c r="Q164" s="1067" t="e">
        <f>INDEX('104 Methane pyrolysis, MBR'!$C$6:$F$39,MATCH(SUP_H2_Production!P$10,'104 Methane pyrolysis, MBR'!$B$6:$B$39,0),MATCH(SUP_H2_Production!$H164,'104 Methane pyrolysis, MBR'!$C$4:$F$4,0))/$K164/1000*7.45</f>
        <v>#N/A</v>
      </c>
      <c r="R164" s="1067" t="e">
        <f>INDEX('104 Methane pyrolysis, MBR'!$C$6:$F$39,MATCH(SUP_H2_Production!Q$10,'104 Methane pyrolysis, MBR'!$B$6:$B$39,0),MATCH(SUP_H2_Production!$H164,'104 Methane pyrolysis, MBR'!$C$4:$F$4,0))/$K164/1000*7.45</f>
        <v>#N/A</v>
      </c>
      <c r="S164" s="1067"/>
      <c r="T164" s="1006"/>
      <c r="U164" s="1006"/>
      <c r="V164" s="1006"/>
    </row>
    <row r="165" spans="2:22" ht="13.8" thickBot="1">
      <c r="B165" s="107"/>
      <c r="C165" s="107"/>
      <c r="D165" s="107"/>
      <c r="E165" s="107"/>
      <c r="F165" s="107"/>
      <c r="G165" s="107"/>
      <c r="H165" s="107"/>
      <c r="I165" s="256"/>
      <c r="J165" s="107"/>
      <c r="K165" s="151"/>
      <c r="L165" s="151" t="e">
        <f>INDEX('104 Methane pyrolysis, MBR'!$C$6:$F$39,MATCH(SUP_H2_Production!K$10,'104 Methane pyrolysis, MBR'!$B$6:$B$39,0),MATCH(SUP_H2_Production!$H164,'104 Methane pyrolysis, MBR'!$C$4:$F$4,0))/100</f>
        <v>#N/A</v>
      </c>
      <c r="M165" s="151"/>
      <c r="N165" s="107"/>
      <c r="O165" s="107"/>
      <c r="P165" s="107"/>
      <c r="Q165" s="257"/>
      <c r="R165" s="257"/>
      <c r="S165" s="107"/>
      <c r="T165" s="107"/>
      <c r="U165" s="107"/>
      <c r="V165" s="107"/>
    </row>
    <row r="170" spans="2:22" s="1232" customFormat="1">
      <c r="M170" s="244" t="s">
        <v>190</v>
      </c>
      <c r="N170" s="245">
        <v>7.45</v>
      </c>
    </row>
    <row r="171" spans="2:22" s="1232" customFormat="1" ht="15.6">
      <c r="B171" s="246"/>
    </row>
    <row r="172" spans="2:22" s="1232" customFormat="1"/>
    <row r="173" spans="2:22" s="1232" customFormat="1"/>
    <row r="174" spans="2:22" s="1232" customFormat="1"/>
    <row r="175" spans="2:22" s="1232" customFormat="1" ht="30">
      <c r="B175" s="1086" t="s">
        <v>1444</v>
      </c>
    </row>
    <row r="176" spans="2:22" s="1232" customFormat="1" ht="13.8" thickBot="1"/>
    <row r="177" spans="2:33" s="1232" customFormat="1">
      <c r="AA177" s="1104"/>
      <c r="AB177" s="1105"/>
      <c r="AC177" s="1105"/>
      <c r="AD177" s="1106" t="s">
        <v>1454</v>
      </c>
      <c r="AE177" s="1105" t="s">
        <v>1455</v>
      </c>
      <c r="AF177" s="1105" t="s">
        <v>1456</v>
      </c>
      <c r="AG177" s="1107" t="s">
        <v>1457</v>
      </c>
    </row>
    <row r="178" spans="2:33" s="1232" customFormat="1">
      <c r="F178" s="121"/>
      <c r="G178" s="121"/>
      <c r="H178" s="121" t="s">
        <v>0</v>
      </c>
      <c r="I178" s="121"/>
      <c r="J178" s="121"/>
      <c r="K178" s="121"/>
      <c r="AA178" s="1288" t="s">
        <v>188</v>
      </c>
      <c r="AB178" s="142" t="s">
        <v>1458</v>
      </c>
      <c r="AC178" s="142" t="s">
        <v>1465</v>
      </c>
      <c r="AD178" s="1095">
        <v>26321</v>
      </c>
      <c r="AE178" s="288">
        <v>26262</v>
      </c>
      <c r="AF178" s="288">
        <v>26231</v>
      </c>
      <c r="AG178" s="1108">
        <v>26231</v>
      </c>
    </row>
    <row r="179" spans="2:33" s="1232" customFormat="1">
      <c r="B179" s="120" t="s">
        <v>2</v>
      </c>
      <c r="C179" s="120" t="s">
        <v>11</v>
      </c>
      <c r="D179" s="120" t="s">
        <v>189</v>
      </c>
      <c r="E179" s="120" t="s">
        <v>32</v>
      </c>
      <c r="F179" s="120" t="s">
        <v>33</v>
      </c>
      <c r="G179" s="120" t="s">
        <v>3</v>
      </c>
      <c r="H179" s="120" t="s">
        <v>34</v>
      </c>
      <c r="I179" s="120" t="s">
        <v>1441</v>
      </c>
      <c r="J179" s="120" t="s">
        <v>187</v>
      </c>
      <c r="K179" s="120" t="s">
        <v>188</v>
      </c>
      <c r="L179" s="155" t="s">
        <v>239</v>
      </c>
      <c r="M179" s="155" t="s">
        <v>186</v>
      </c>
      <c r="N179" s="155" t="s">
        <v>185</v>
      </c>
      <c r="O179" s="155" t="s">
        <v>9</v>
      </c>
      <c r="P179" s="155" t="s">
        <v>6</v>
      </c>
      <c r="Q179" s="155" t="s">
        <v>7</v>
      </c>
      <c r="R179" s="155" t="s">
        <v>8</v>
      </c>
      <c r="S179" s="155" t="s">
        <v>334</v>
      </c>
      <c r="T179" s="155" t="s">
        <v>335</v>
      </c>
      <c r="U179" s="155" t="s">
        <v>39</v>
      </c>
      <c r="V179" s="155"/>
      <c r="W179" s="116" t="s">
        <v>41</v>
      </c>
      <c r="X179" s="116" t="s">
        <v>1445</v>
      </c>
      <c r="AA179" s="1289"/>
      <c r="AB179" s="1232" t="s">
        <v>1459</v>
      </c>
      <c r="AC179" s="1232" t="s">
        <v>1465</v>
      </c>
      <c r="AD179" s="1093">
        <v>4332</v>
      </c>
      <c r="AE179" s="281">
        <v>5300</v>
      </c>
      <c r="AF179" s="281">
        <v>5597</v>
      </c>
      <c r="AG179" s="1087">
        <v>7347</v>
      </c>
    </row>
    <row r="180" spans="2:33" s="1232" customFormat="1" ht="39.6">
      <c r="B180" s="115" t="s">
        <v>184</v>
      </c>
      <c r="C180" s="115" t="s">
        <v>19</v>
      </c>
      <c r="D180" s="115" t="s">
        <v>182</v>
      </c>
      <c r="E180" s="115" t="s">
        <v>183</v>
      </c>
      <c r="F180" s="115" t="s">
        <v>234</v>
      </c>
      <c r="G180" s="115" t="s">
        <v>181</v>
      </c>
      <c r="H180" s="115"/>
      <c r="I180" s="115"/>
      <c r="J180" s="115" t="s">
        <v>233</v>
      </c>
      <c r="K180" s="115" t="s">
        <v>180</v>
      </c>
      <c r="L180" s="115" t="s">
        <v>232</v>
      </c>
      <c r="M180" s="115" t="s">
        <v>178</v>
      </c>
      <c r="N180" s="115" t="s">
        <v>177</v>
      </c>
      <c r="O180" s="115" t="s">
        <v>176</v>
      </c>
      <c r="P180" s="115" t="s">
        <v>175</v>
      </c>
      <c r="Q180" s="115" t="s">
        <v>174</v>
      </c>
      <c r="R180" s="115" t="s">
        <v>173</v>
      </c>
      <c r="S180" s="115" t="s">
        <v>336</v>
      </c>
      <c r="T180" s="115" t="s">
        <v>337</v>
      </c>
      <c r="U180" s="114" t="s">
        <v>67</v>
      </c>
      <c r="V180" s="114"/>
      <c r="W180" s="113"/>
      <c r="X180" s="113"/>
      <c r="AA180" s="1289"/>
      <c r="AB180" s="1232" t="s">
        <v>424</v>
      </c>
      <c r="AC180" s="1232" t="s">
        <v>1461</v>
      </c>
      <c r="AD180" s="1093">
        <v>46.5</v>
      </c>
      <c r="AE180" s="281">
        <v>46.5</v>
      </c>
      <c r="AF180" s="281">
        <v>46.5</v>
      </c>
      <c r="AG180" s="1087">
        <v>46.5</v>
      </c>
    </row>
    <row r="181" spans="2:33" s="1232" customFormat="1" ht="27" thickBot="1">
      <c r="B181" s="112" t="s">
        <v>172</v>
      </c>
      <c r="C181" s="111"/>
      <c r="D181" s="111"/>
      <c r="E181" s="111"/>
      <c r="F181" s="111"/>
      <c r="G181" s="111"/>
      <c r="H181" s="111"/>
      <c r="I181" s="111"/>
      <c r="J181" s="111" t="s">
        <v>338</v>
      </c>
      <c r="K181" s="111" t="s">
        <v>339</v>
      </c>
      <c r="L181" s="111" t="s">
        <v>1486</v>
      </c>
      <c r="M181" s="111"/>
      <c r="N181" s="111" t="s">
        <v>62</v>
      </c>
      <c r="O181" s="111"/>
      <c r="P181" s="110" t="s">
        <v>340</v>
      </c>
      <c r="Q181" s="110" t="s">
        <v>340</v>
      </c>
      <c r="R181" s="110" t="s">
        <v>340</v>
      </c>
      <c r="S181" s="111"/>
      <c r="T181" s="111"/>
      <c r="U181" s="111" t="s">
        <v>158</v>
      </c>
      <c r="V181" s="111"/>
      <c r="W181" s="109"/>
      <c r="X181" s="109"/>
      <c r="AA181" s="1290"/>
      <c r="AB181" s="70" t="s">
        <v>1460</v>
      </c>
      <c r="AC181" s="70" t="s">
        <v>123</v>
      </c>
      <c r="AD181" s="1096">
        <f>SUM(AD178:AD179)*AD180/3.6/1000</f>
        <v>395.93458333333331</v>
      </c>
      <c r="AE181" s="1097">
        <f>SUM(AE178:AE179)*AE180/3.6/1000</f>
        <v>407.67583333333329</v>
      </c>
      <c r="AF181" s="1097">
        <f>SUM(AF178:AF179)*AF180/3.6/1000</f>
        <v>411.11166666666662</v>
      </c>
      <c r="AG181" s="1109">
        <f>SUM(AG178:AG179)*AG180/3.6/1000</f>
        <v>433.71583333333331</v>
      </c>
    </row>
    <row r="182" spans="2:33" s="1232" customFormat="1" ht="14.4">
      <c r="B182" s="1232" t="s">
        <v>1309</v>
      </c>
      <c r="C182" s="1232" t="s">
        <v>353</v>
      </c>
      <c r="E182" s="1232" t="str">
        <f>E227</f>
        <v>SUPNGA</v>
      </c>
      <c r="G182" s="1232" t="str">
        <f>G227</f>
        <v>H2GC</v>
      </c>
      <c r="H182" s="1232" t="str">
        <f>H227</f>
        <v>MKr12</v>
      </c>
      <c r="I182" s="1232">
        <v>2025</v>
      </c>
      <c r="J182" s="141">
        <f>$AD$18</f>
        <v>0</v>
      </c>
      <c r="M182" s="1232">
        <v>0.9</v>
      </c>
      <c r="N182" s="1232">
        <v>20</v>
      </c>
      <c r="O182" s="1232">
        <f>3.6*8760/1000000</f>
        <v>3.1536000000000002E-2</v>
      </c>
      <c r="P182" s="1232">
        <f>$AD$34</f>
        <v>0</v>
      </c>
      <c r="Q182" s="1232">
        <f>$AD$35</f>
        <v>0</v>
      </c>
      <c r="R182" s="1232">
        <f>$AD$36</f>
        <v>0</v>
      </c>
      <c r="U182" s="1232">
        <v>3</v>
      </c>
      <c r="W182" t="s">
        <v>1447</v>
      </c>
      <c r="X182" t="s">
        <v>1446</v>
      </c>
      <c r="AA182" s="1288" t="s">
        <v>239</v>
      </c>
      <c r="AB182" s="142" t="s">
        <v>1385</v>
      </c>
      <c r="AC182" s="142" t="s">
        <v>1465</v>
      </c>
      <c r="AD182" s="1095">
        <v>8994</v>
      </c>
      <c r="AE182" s="288">
        <v>8994</v>
      </c>
      <c r="AF182" s="288">
        <v>8994</v>
      </c>
      <c r="AG182" s="1108">
        <v>8994</v>
      </c>
    </row>
    <row r="183" spans="2:33" s="1232" customFormat="1" ht="14.4">
      <c r="D183" s="1232" t="s">
        <v>1485</v>
      </c>
      <c r="F183" s="1232" t="s">
        <v>84</v>
      </c>
      <c r="H183" s="1232" t="str">
        <f>H227</f>
        <v>MKr12</v>
      </c>
      <c r="J183" s="141"/>
      <c r="K183" s="141">
        <f>$AD$19</f>
        <v>0</v>
      </c>
      <c r="L183" s="242">
        <f>$AD$20</f>
        <v>0</v>
      </c>
      <c r="W183"/>
      <c r="X183"/>
      <c r="AA183" s="1289"/>
      <c r="AC183" s="1232" t="s">
        <v>1469</v>
      </c>
      <c r="AD183" s="315">
        <v>100000</v>
      </c>
      <c r="AE183" s="1232">
        <v>100000</v>
      </c>
      <c r="AF183" s="1232">
        <v>100000</v>
      </c>
      <c r="AG183" s="316">
        <v>100000</v>
      </c>
    </row>
    <row r="184" spans="2:33" s="1232" customFormat="1" ht="16.8" customHeight="1">
      <c r="B184" s="247"/>
      <c r="F184" s="1232" t="s">
        <v>161</v>
      </c>
      <c r="H184" s="1232" t="str">
        <f>H228</f>
        <v>MKr12</v>
      </c>
      <c r="L184" s="1232">
        <f>$AD$28</f>
        <v>0</v>
      </c>
      <c r="AA184" s="1289"/>
      <c r="AB184" s="1232" t="s">
        <v>424</v>
      </c>
      <c r="AC184" s="1232" t="s">
        <v>1461</v>
      </c>
      <c r="AD184" s="1093">
        <v>120.087</v>
      </c>
      <c r="AE184" s="281">
        <v>120.087</v>
      </c>
      <c r="AF184" s="281">
        <v>120.087</v>
      </c>
      <c r="AG184" s="1087">
        <v>120.087</v>
      </c>
    </row>
    <row r="185" spans="2:33" s="1232" customFormat="1" ht="14.4">
      <c r="B185" s="1232" t="s">
        <v>1484</v>
      </c>
      <c r="C185" s="1232" t="s">
        <v>1493</v>
      </c>
      <c r="E185" s="1232" t="s">
        <v>352</v>
      </c>
      <c r="G185" s="1232" t="s">
        <v>1314</v>
      </c>
      <c r="H185" s="1232" t="str">
        <f>H182</f>
        <v>MKr12</v>
      </c>
      <c r="I185" s="1232">
        <v>2025</v>
      </c>
      <c r="J185" s="141">
        <f>$AE$18</f>
        <v>0</v>
      </c>
      <c r="M185" s="1232">
        <v>0.9</v>
      </c>
      <c r="N185" s="1232">
        <f>N182</f>
        <v>20</v>
      </c>
      <c r="O185" s="1232">
        <f>3.6*8760/1000000</f>
        <v>3.1536000000000002E-2</v>
      </c>
      <c r="P185" s="1232">
        <f>$AE$34</f>
        <v>0</v>
      </c>
      <c r="Q185" s="1232">
        <f>$AE$35</f>
        <v>0</v>
      </c>
      <c r="R185" s="1232">
        <f>$AE$36</f>
        <v>0</v>
      </c>
      <c r="U185" s="1232">
        <v>3</v>
      </c>
      <c r="W185" t="s">
        <v>1447</v>
      </c>
      <c r="X185" s="1232" t="s">
        <v>1446</v>
      </c>
      <c r="AA185" s="1289"/>
      <c r="AB185" s="1232" t="s">
        <v>1462</v>
      </c>
      <c r="AC185" s="1232" t="s">
        <v>123</v>
      </c>
      <c r="AD185" s="1093">
        <f>AD182*AD184/3.6/1000</f>
        <v>300.01735500000007</v>
      </c>
      <c r="AE185" s="281">
        <f>AE182*AE184/3.6/1000</f>
        <v>300.01735500000007</v>
      </c>
      <c r="AF185" s="281">
        <f>AF182*AF184/3.6/1000</f>
        <v>300.01735500000007</v>
      </c>
      <c r="AG185" s="1087">
        <f>AG182*AG184/3.6/1000</f>
        <v>300.01735500000007</v>
      </c>
    </row>
    <row r="186" spans="2:33" s="1232" customFormat="1" ht="14.4">
      <c r="D186" s="1232" t="s">
        <v>1485</v>
      </c>
      <c r="F186" s="1232" t="s">
        <v>84</v>
      </c>
      <c r="H186" s="1232" t="str">
        <f>H183</f>
        <v>MKr12</v>
      </c>
      <c r="J186" s="141"/>
      <c r="K186" s="141">
        <f>$AE$19</f>
        <v>0</v>
      </c>
      <c r="L186" s="242">
        <f>$AE$20</f>
        <v>0</v>
      </c>
      <c r="W186"/>
      <c r="AA186" s="1288" t="s">
        <v>233</v>
      </c>
      <c r="AB186" s="142" t="s">
        <v>1481</v>
      </c>
      <c r="AC186" s="142" t="s">
        <v>580</v>
      </c>
      <c r="AD186" s="254">
        <f>(AD182*AD184)/(AD178*AD180)</f>
        <v>0.88245697597037087</v>
      </c>
      <c r="AE186" s="254">
        <f>(AE182*AE184)/(AE178*AE180)</f>
        <v>0.88443949678303757</v>
      </c>
      <c r="AF186" s="254">
        <f>(AF182*AF184)/(AF178*AF180)</f>
        <v>0.88548473426541618</v>
      </c>
      <c r="AG186" s="1113">
        <f>(AG182*AG184)/(AG178*AG180)</f>
        <v>0.88548473426541618</v>
      </c>
    </row>
    <row r="187" spans="2:33" s="1232" customFormat="1" ht="16.8" customHeight="1">
      <c r="B187" s="247"/>
      <c r="F187" s="1232" t="s">
        <v>161</v>
      </c>
      <c r="H187" s="1232" t="str">
        <f>H184</f>
        <v>MKr12</v>
      </c>
      <c r="L187" s="141">
        <f>$AE$28</f>
        <v>0</v>
      </c>
      <c r="AA187" s="1289"/>
      <c r="AB187" s="1232" t="s">
        <v>1482</v>
      </c>
      <c r="AC187" s="1232" t="s">
        <v>1483</v>
      </c>
      <c r="AD187" s="141">
        <f>AD179*AD180/(AD182*AD184)</f>
        <v>0.18650587730166474</v>
      </c>
      <c r="AE187" s="141">
        <f>AE179*AE180/(AE182*AE184)</f>
        <v>0.2281812441594698</v>
      </c>
      <c r="AF187" s="141">
        <f>AF179*AF180/(AF182*AF184)</f>
        <v>0.24096800444538724</v>
      </c>
      <c r="AG187" s="1088">
        <f>AG179*AG180/(AG182*AG184)</f>
        <v>0.31631086808294806</v>
      </c>
    </row>
    <row r="188" spans="2:33" s="1232" customFormat="1">
      <c r="B188" s="1232" t="s">
        <v>1490</v>
      </c>
      <c r="C188" s="1232" t="s">
        <v>1492</v>
      </c>
      <c r="E188" s="1232" t="s">
        <v>352</v>
      </c>
      <c r="G188" s="1232" t="s">
        <v>1314</v>
      </c>
      <c r="H188" s="1232" t="str">
        <f t="shared" ref="H188:H193" si="0">H233</f>
        <v>MKr12</v>
      </c>
      <c r="I188" s="1232">
        <v>2025</v>
      </c>
      <c r="J188" s="141">
        <f>$AF$18</f>
        <v>0</v>
      </c>
      <c r="M188" s="1232">
        <v>0.9</v>
      </c>
      <c r="N188" s="1232">
        <f>N185</f>
        <v>20</v>
      </c>
      <c r="O188" s="1232">
        <f>3.6*8760/1000000</f>
        <v>3.1536000000000002E-2</v>
      </c>
      <c r="P188" s="1232">
        <f>$AF$34</f>
        <v>0</v>
      </c>
      <c r="Q188" s="1232">
        <f>$AF$35</f>
        <v>0</v>
      </c>
      <c r="R188" s="1232">
        <f>$AF$36</f>
        <v>0</v>
      </c>
      <c r="U188" s="1232">
        <v>3</v>
      </c>
      <c r="AA188" s="1290"/>
      <c r="AB188" s="70" t="s">
        <v>1489</v>
      </c>
      <c r="AC188" s="70" t="s">
        <v>1483</v>
      </c>
      <c r="AD188" s="253">
        <f>AD190/AD185</f>
        <v>3.3058087589632933E-2</v>
      </c>
      <c r="AE188" s="253">
        <f t="shared" ref="AE188:AG188" si="1">AE190/AE185</f>
        <v>4.9730456426429056E-3</v>
      </c>
      <c r="AF188" s="253">
        <f t="shared" si="1"/>
        <v>-3.5664603469355957E-3</v>
      </c>
      <c r="AG188" s="1116">
        <f t="shared" si="1"/>
        <v>1.4199178577519287E-3</v>
      </c>
    </row>
    <row r="189" spans="2:33" s="1232" customFormat="1">
      <c r="D189" s="1232" t="s">
        <v>1485</v>
      </c>
      <c r="H189" s="1232" t="str">
        <f t="shared" si="0"/>
        <v>MKr12</v>
      </c>
      <c r="J189" s="141"/>
      <c r="K189" s="141">
        <f>$AF$19</f>
        <v>0</v>
      </c>
      <c r="AA189" s="1289" t="s">
        <v>1466</v>
      </c>
      <c r="AB189" s="1232" t="s">
        <v>1463</v>
      </c>
      <c r="AC189" s="1232" t="s">
        <v>333</v>
      </c>
      <c r="AD189" s="315">
        <v>11.5</v>
      </c>
      <c r="AE189" s="1232">
        <v>6.7</v>
      </c>
      <c r="AF189" s="1232">
        <v>6.9</v>
      </c>
      <c r="AG189" s="316">
        <v>11.7</v>
      </c>
    </row>
    <row r="190" spans="2:33" s="1232" customFormat="1">
      <c r="D190" s="1232" t="s">
        <v>71</v>
      </c>
      <c r="F190" s="1232" t="s">
        <v>161</v>
      </c>
      <c r="H190" s="1232" t="str">
        <f t="shared" si="0"/>
        <v>MKr12</v>
      </c>
      <c r="K190" s="242">
        <f>$AF$20</f>
        <v>0</v>
      </c>
      <c r="L190" s="141">
        <f>$AF$28</f>
        <v>0</v>
      </c>
      <c r="AA190" s="1290"/>
      <c r="AB190" s="70" t="s">
        <v>1464</v>
      </c>
      <c r="AC190" s="70" t="s">
        <v>333</v>
      </c>
      <c r="AD190" s="1098">
        <v>9.9179999999999993</v>
      </c>
      <c r="AE190" s="150">
        <v>1.492</v>
      </c>
      <c r="AF190" s="150">
        <v>-1.07</v>
      </c>
      <c r="AG190" s="1110">
        <v>0.42599999999999999</v>
      </c>
    </row>
    <row r="191" spans="2:33" s="1232" customFormat="1">
      <c r="B191" s="1232" t="s">
        <v>1491</v>
      </c>
      <c r="C191" s="1232" t="s">
        <v>1494</v>
      </c>
      <c r="E191" s="1232" t="s">
        <v>352</v>
      </c>
      <c r="G191" s="1232" t="s">
        <v>1314</v>
      </c>
      <c r="H191" s="1232" t="str">
        <f t="shared" si="0"/>
        <v>MKr12</v>
      </c>
      <c r="I191" s="1232">
        <v>2025</v>
      </c>
      <c r="J191" s="141">
        <f>$AG$18</f>
        <v>0</v>
      </c>
      <c r="M191" s="1232">
        <v>0.9</v>
      </c>
      <c r="N191" s="1232">
        <f>N188</f>
        <v>20</v>
      </c>
      <c r="O191" s="1232">
        <f>3.6*8760/1000000</f>
        <v>3.1536000000000002E-2</v>
      </c>
      <c r="P191" s="1232">
        <f>$AG$34</f>
        <v>0</v>
      </c>
      <c r="Q191" s="1232">
        <f>$AG$35</f>
        <v>0</v>
      </c>
      <c r="R191" s="1232">
        <f>$AG$36</f>
        <v>0</v>
      </c>
      <c r="U191" s="1232">
        <v>3</v>
      </c>
      <c r="AA191" s="1288" t="s">
        <v>1467</v>
      </c>
      <c r="AB191" s="142" t="s">
        <v>1458</v>
      </c>
      <c r="AC191" s="142" t="s">
        <v>1468</v>
      </c>
      <c r="AD191" s="1099" t="e">
        <f t="shared" ref="AD191:AG192" si="2">AD178*$AD$12/$AD$15</f>
        <v>#DIV/0!</v>
      </c>
      <c r="AE191" s="1100" t="e">
        <f t="shared" si="2"/>
        <v>#DIV/0!</v>
      </c>
      <c r="AF191" s="1100" t="e">
        <f t="shared" si="2"/>
        <v>#DIV/0!</v>
      </c>
      <c r="AG191" s="1111" t="e">
        <f t="shared" si="2"/>
        <v>#DIV/0!</v>
      </c>
    </row>
    <row r="192" spans="2:33" s="1232" customFormat="1">
      <c r="D192" s="1232" t="s">
        <v>1485</v>
      </c>
      <c r="F192" s="1232" t="s">
        <v>84</v>
      </c>
      <c r="H192" s="1232" t="str">
        <f t="shared" si="0"/>
        <v>MKr12</v>
      </c>
      <c r="J192" s="141"/>
      <c r="K192" s="141">
        <f>$AG$19</f>
        <v>0</v>
      </c>
      <c r="L192" s="242">
        <f>$AG$20</f>
        <v>0</v>
      </c>
      <c r="AA192" s="1289"/>
      <c r="AB192" s="1232" t="s">
        <v>1470</v>
      </c>
      <c r="AC192" s="1232" t="s">
        <v>1468</v>
      </c>
      <c r="AD192" s="1094" t="e">
        <f t="shared" si="2"/>
        <v>#DIV/0!</v>
      </c>
      <c r="AE192" s="1241" t="e">
        <f t="shared" si="2"/>
        <v>#DIV/0!</v>
      </c>
      <c r="AF192" s="1241" t="e">
        <f t="shared" si="2"/>
        <v>#DIV/0!</v>
      </c>
      <c r="AG192" s="1089" t="e">
        <f t="shared" si="2"/>
        <v>#DIV/0!</v>
      </c>
    </row>
    <row r="193" spans="6:33" s="1232" customFormat="1">
      <c r="F193" s="1232" t="s">
        <v>161</v>
      </c>
      <c r="H193" s="1232" t="str">
        <f t="shared" si="0"/>
        <v>MKr12</v>
      </c>
      <c r="L193" s="141">
        <f>$AG$28</f>
        <v>0</v>
      </c>
      <c r="AA193" s="1290"/>
      <c r="AB193" s="70" t="s">
        <v>1471</v>
      </c>
      <c r="AC193" s="70" t="s">
        <v>1468</v>
      </c>
      <c r="AD193" s="1101" t="e">
        <f>SUM(AD178:AD179)*$AD$12/$AD$15</f>
        <v>#DIV/0!</v>
      </c>
      <c r="AE193" s="1102" t="e">
        <f>SUM(AE178:AE179)*$AD$12/$AD$15</f>
        <v>#DIV/0!</v>
      </c>
      <c r="AF193" s="1102" t="e">
        <f>SUM(AF178:AF179)*$AD$12/$AD$15</f>
        <v>#DIV/0!</v>
      </c>
      <c r="AG193" s="1112" t="e">
        <f>SUM(AG178:AG179)*$AD$12/$AD$15</f>
        <v>#DIV/0!</v>
      </c>
    </row>
    <row r="194" spans="6:33" s="1232" customFormat="1">
      <c r="AA194" s="1288" t="s">
        <v>1472</v>
      </c>
      <c r="AB194" s="142" t="s">
        <v>1473</v>
      </c>
      <c r="AC194" s="142" t="s">
        <v>1474</v>
      </c>
      <c r="AD194" s="310">
        <v>0.80910000000000004</v>
      </c>
      <c r="AE194" s="254">
        <v>0.37040000000000001</v>
      </c>
      <c r="AF194" s="254">
        <v>0.38700000000000001</v>
      </c>
      <c r="AG194" s="1113">
        <v>8.8800000000000004E-2</v>
      </c>
    </row>
    <row r="195" spans="6:33" s="1232" customFormat="1">
      <c r="AA195" s="1289"/>
      <c r="AB195" s="1232" t="s">
        <v>1475</v>
      </c>
      <c r="AC195" s="1232" t="s">
        <v>1474</v>
      </c>
      <c r="AD195" s="315"/>
      <c r="AE195" s="141">
        <v>0.46600000000000003</v>
      </c>
      <c r="AF195" s="141">
        <v>0.4556</v>
      </c>
      <c r="AG195" s="1088">
        <v>0.8004</v>
      </c>
    </row>
    <row r="196" spans="6:33" s="1232" customFormat="1">
      <c r="AA196" s="1289"/>
      <c r="AB196" s="1232" t="s">
        <v>1488</v>
      </c>
      <c r="AC196" s="1232" t="s">
        <v>1487</v>
      </c>
      <c r="AD196" s="315">
        <v>0</v>
      </c>
      <c r="AE196" s="1232">
        <f>AE195*(AE183/AE182)/AE184*1000</f>
        <v>43.145652172169989</v>
      </c>
      <c r="AF196" s="1232">
        <f>AF195*(AF183/AF182)/AF184*1000</f>
        <v>42.182744913391943</v>
      </c>
      <c r="AG196" s="316">
        <f>AG195*(AG183/AG182)/AG184*1000</f>
        <v>74.106824031340906</v>
      </c>
    </row>
    <row r="197" spans="6:33" s="1232" customFormat="1">
      <c r="AA197" s="1289"/>
      <c r="AB197" s="1232" t="s">
        <v>1476</v>
      </c>
      <c r="AC197" s="1232" t="s">
        <v>1474</v>
      </c>
      <c r="AD197" s="315"/>
      <c r="AE197" s="578">
        <f>AE195/SUM(AE194:AE195)</f>
        <v>0.55714968914395024</v>
      </c>
      <c r="AF197" s="578">
        <f>AF195/SUM(AF194:AF195)</f>
        <v>0.54070733444101593</v>
      </c>
      <c r="AG197" s="1090">
        <f>AG195/SUM(AG194:AG195)</f>
        <v>0.90013495276653177</v>
      </c>
    </row>
    <row r="198" spans="6:33" s="1232" customFormat="1">
      <c r="AA198" s="1290"/>
      <c r="AB198" s="70" t="s">
        <v>1477</v>
      </c>
      <c r="AC198" s="70" t="s">
        <v>1474</v>
      </c>
      <c r="AD198" s="317"/>
      <c r="AE198" s="1103" t="e">
        <f>1-AE194/$AD$26</f>
        <v>#DIV/0!</v>
      </c>
      <c r="AF198" s="1103" t="e">
        <f>1-AF194/$AD$26</f>
        <v>#DIV/0!</v>
      </c>
      <c r="AG198" s="1114" t="e">
        <f>1-AG194/$AD$26</f>
        <v>#DIV/0!</v>
      </c>
    </row>
    <row r="199" spans="6:33" s="1232" customFormat="1">
      <c r="AA199" s="1289" t="s">
        <v>1478</v>
      </c>
      <c r="AB199" s="1232" t="s">
        <v>1394</v>
      </c>
      <c r="AC199" s="1232" t="s">
        <v>331</v>
      </c>
      <c r="AD199" s="315">
        <v>170.95</v>
      </c>
      <c r="AE199" s="1232">
        <v>201.8</v>
      </c>
      <c r="AF199" s="1232">
        <v>226.07</v>
      </c>
      <c r="AG199" s="316">
        <v>305.33</v>
      </c>
    </row>
    <row r="200" spans="6:33" s="1232" customFormat="1">
      <c r="AA200" s="1289"/>
      <c r="AB200" s="1232" t="s">
        <v>299</v>
      </c>
      <c r="AC200" s="1232" t="s">
        <v>1479</v>
      </c>
      <c r="AD200" s="315">
        <f>(2.28+0.9917+2.5643)</f>
        <v>5.8360000000000003</v>
      </c>
      <c r="AE200" s="1232">
        <f>(2.58+1.1372+3.0271)</f>
        <v>6.7443</v>
      </c>
      <c r="AF200" s="1232">
        <f>(2.58+1.1809+3.391)</f>
        <v>7.1519000000000004</v>
      </c>
      <c r="AG200" s="316">
        <f>(2.58+1.3236+4.5799)</f>
        <v>8.4834999999999994</v>
      </c>
    </row>
    <row r="201" spans="6:33" s="1232" customFormat="1">
      <c r="AA201" s="1289"/>
      <c r="AB201" s="1232" t="s">
        <v>298</v>
      </c>
      <c r="AC201" s="1232" t="s">
        <v>1479</v>
      </c>
      <c r="AD201" s="315">
        <f>(99400+420000)/1000000</f>
        <v>0.51939999999999997</v>
      </c>
      <c r="AE201" s="1232">
        <f>(101900+420000)/1000000</f>
        <v>0.52190000000000003</v>
      </c>
      <c r="AF201" s="1232">
        <f>(101900+420000)/1000000</f>
        <v>0.52190000000000003</v>
      </c>
      <c r="AG201" s="316">
        <f>(70100+420000)/1000000</f>
        <v>0.49009999999999998</v>
      </c>
    </row>
    <row r="202" spans="6:33" s="1232" customFormat="1">
      <c r="AA202" s="1289"/>
      <c r="AB202" s="1232" t="s">
        <v>175</v>
      </c>
      <c r="AC202" s="1232" t="s">
        <v>1443</v>
      </c>
      <c r="AD202" s="315">
        <f>AD199/AD185</f>
        <v>0.56980037038190656</v>
      </c>
      <c r="AE202" s="1232">
        <f>AE199/AE185</f>
        <v>0.67262775515103101</v>
      </c>
      <c r="AF202" s="1232">
        <f>AF199/AF185</f>
        <v>0.75352307535675711</v>
      </c>
      <c r="AG202" s="316">
        <f>AG199/AG185</f>
        <v>1.0177077922708835</v>
      </c>
    </row>
    <row r="203" spans="6:33" s="1232" customFormat="1">
      <c r="AA203" s="1289"/>
      <c r="AB203" s="1232" t="s">
        <v>299</v>
      </c>
      <c r="AC203" s="1232" t="s">
        <v>1443</v>
      </c>
      <c r="AD203" s="315">
        <f>AD200/AD185</f>
        <v>1.9452208023099195E-2</v>
      </c>
      <c r="AE203" s="1232">
        <f>AE200/AE185</f>
        <v>2.2479699549381064E-2</v>
      </c>
      <c r="AF203" s="1232">
        <f>AF200/AF185</f>
        <v>2.3838287621727745E-2</v>
      </c>
      <c r="AG203" s="316">
        <f>AG200/AG185</f>
        <v>2.8276697526381425E-2</v>
      </c>
    </row>
    <row r="204" spans="6:33" s="1232" customFormat="1">
      <c r="AA204" s="1289"/>
      <c r="AB204" s="1232" t="s">
        <v>298</v>
      </c>
      <c r="AC204" s="1232" t="s">
        <v>332</v>
      </c>
      <c r="AD204" s="315">
        <f>AD200/(AD185*8760*AD205/1000000*3.6)</f>
        <v>0.64928996846041265</v>
      </c>
      <c r="AE204" s="1232">
        <f>AE200/(AE185*8760*AE205/1000000*3.6)</f>
        <v>0.75034378586147377</v>
      </c>
      <c r="AF204" s="1232">
        <f>AF200/(AF185*8760*AF205/1000000*3.6)</f>
        <v>0.79569172814119693</v>
      </c>
      <c r="AG204" s="316">
        <f>AG200/(AG185*8760*AG205/1000000*3.6)</f>
        <v>0.94384020689409009</v>
      </c>
    </row>
    <row r="205" spans="6:33" s="1232" customFormat="1" ht="13.8" thickBot="1">
      <c r="AA205" s="325" t="s">
        <v>679</v>
      </c>
      <c r="AB205" s="107" t="s">
        <v>1480</v>
      </c>
      <c r="AC205" s="107" t="s">
        <v>580</v>
      </c>
      <c r="AD205" s="1115">
        <v>0.95</v>
      </c>
      <c r="AE205" s="1091">
        <v>0.95</v>
      </c>
      <c r="AF205" s="1091">
        <v>0.95</v>
      </c>
      <c r="AG205" s="1092">
        <v>0.95</v>
      </c>
    </row>
    <row r="206" spans="6:33" s="1232" customFormat="1"/>
    <row r="207" spans="6:33" s="1232" customFormat="1"/>
    <row r="208" spans="6:33" s="1232" customFormat="1"/>
    <row r="209" spans="2:20" s="1232" customFormat="1"/>
    <row r="210" spans="2:20" s="1232" customFormat="1"/>
    <row r="211" spans="2:20" s="1232" customFormat="1" ht="21">
      <c r="B211" s="247" t="s">
        <v>1453</v>
      </c>
    </row>
    <row r="212" spans="2:20" s="1232" customFormat="1">
      <c r="F212" s="248"/>
      <c r="G212" s="248"/>
      <c r="H212" s="121"/>
      <c r="I212" s="121"/>
      <c r="J212" s="121"/>
    </row>
    <row r="213" spans="2:20" s="1232" customFormat="1">
      <c r="F213" s="121"/>
      <c r="G213" s="121"/>
      <c r="H213" s="121" t="s">
        <v>1452</v>
      </c>
      <c r="I213" s="121"/>
      <c r="J213" s="121"/>
    </row>
    <row r="214" spans="2:20" s="1232" customFormat="1">
      <c r="B214" s="120" t="s">
        <v>2</v>
      </c>
      <c r="C214" s="120" t="s">
        <v>11</v>
      </c>
      <c r="D214" s="120" t="s">
        <v>189</v>
      </c>
      <c r="E214" s="120" t="s">
        <v>32</v>
      </c>
      <c r="F214" s="120" t="s">
        <v>33</v>
      </c>
      <c r="G214" s="120" t="s">
        <v>3</v>
      </c>
      <c r="H214" s="120" t="s">
        <v>34</v>
      </c>
      <c r="I214" s="120" t="s">
        <v>187</v>
      </c>
      <c r="J214" s="120" t="s">
        <v>188</v>
      </c>
      <c r="K214" s="155" t="s">
        <v>239</v>
      </c>
      <c r="L214" s="155" t="s">
        <v>186</v>
      </c>
      <c r="M214" s="155" t="s">
        <v>185</v>
      </c>
      <c r="N214" s="155" t="s">
        <v>9</v>
      </c>
      <c r="O214" s="155" t="s">
        <v>6</v>
      </c>
      <c r="P214" s="155" t="s">
        <v>7</v>
      </c>
      <c r="Q214" s="155" t="s">
        <v>8</v>
      </c>
      <c r="R214" s="155" t="s">
        <v>334</v>
      </c>
      <c r="S214" s="155" t="s">
        <v>335</v>
      </c>
      <c r="T214" s="116" t="s">
        <v>41</v>
      </c>
    </row>
    <row r="215" spans="2:20" s="1232" customFormat="1" ht="52.8">
      <c r="B215" s="115" t="s">
        <v>184</v>
      </c>
      <c r="C215" s="115" t="s">
        <v>19</v>
      </c>
      <c r="D215" s="115" t="s">
        <v>182</v>
      </c>
      <c r="E215" s="115" t="s">
        <v>183</v>
      </c>
      <c r="F215" s="115" t="s">
        <v>234</v>
      </c>
      <c r="G215" s="115" t="s">
        <v>181</v>
      </c>
      <c r="H215" s="115"/>
      <c r="I215" s="115" t="s">
        <v>233</v>
      </c>
      <c r="J215" s="115" t="s">
        <v>180</v>
      </c>
      <c r="K215" s="115" t="s">
        <v>232</v>
      </c>
      <c r="L215" s="115" t="s">
        <v>178</v>
      </c>
      <c r="M215" s="115" t="s">
        <v>177</v>
      </c>
      <c r="N215" s="115" t="s">
        <v>176</v>
      </c>
      <c r="O215" s="115" t="s">
        <v>175</v>
      </c>
      <c r="P215" s="115" t="s">
        <v>174</v>
      </c>
      <c r="Q215" s="115" t="s">
        <v>173</v>
      </c>
      <c r="R215" s="115" t="s">
        <v>336</v>
      </c>
      <c r="S215" s="115" t="s">
        <v>337</v>
      </c>
      <c r="T215" s="113"/>
    </row>
    <row r="216" spans="2:20" s="1232" customFormat="1" ht="27" thickBot="1">
      <c r="B216" s="112" t="s">
        <v>172</v>
      </c>
      <c r="C216" s="111"/>
      <c r="D216" s="111"/>
      <c r="E216" s="111"/>
      <c r="F216" s="111"/>
      <c r="G216" s="111"/>
      <c r="H216" s="111"/>
      <c r="I216" s="111" t="s">
        <v>338</v>
      </c>
      <c r="J216" s="111" t="s">
        <v>339</v>
      </c>
      <c r="K216" s="111" t="s">
        <v>339</v>
      </c>
      <c r="L216" s="111"/>
      <c r="M216" s="111" t="s">
        <v>62</v>
      </c>
      <c r="N216" s="111"/>
      <c r="O216" s="110" t="s">
        <v>340</v>
      </c>
      <c r="P216" s="110" t="s">
        <v>340</v>
      </c>
      <c r="Q216" s="110" t="s">
        <v>340</v>
      </c>
      <c r="R216" s="111"/>
      <c r="S216" s="111"/>
      <c r="T216" s="109"/>
    </row>
    <row r="217" spans="2:20" s="1232" customFormat="1">
      <c r="B217" s="104" t="str">
        <f>"SUP"&amp;RIGHT(E217,3)&amp;LEFT(G217,3)&amp;"1N"</f>
        <v>SUPCOAH2G1N</v>
      </c>
      <c r="C217" s="104" t="s">
        <v>341</v>
      </c>
      <c r="D217" s="104"/>
      <c r="E217" s="104" t="s">
        <v>342</v>
      </c>
      <c r="F217" s="104"/>
      <c r="G217" s="104" t="s">
        <v>1314</v>
      </c>
      <c r="H217" s="104" t="s">
        <v>343</v>
      </c>
      <c r="I217" s="104">
        <f>1/1.77</f>
        <v>0.56497175141242939</v>
      </c>
      <c r="J217" s="104"/>
      <c r="K217" s="104"/>
      <c r="L217" s="104">
        <v>0.9</v>
      </c>
      <c r="M217" s="104">
        <v>20</v>
      </c>
      <c r="N217" s="104">
        <v>1</v>
      </c>
      <c r="O217" s="104">
        <f>16.92*N170</f>
        <v>126.05400000000002</v>
      </c>
      <c r="P217" s="104">
        <f>1.01*N170</f>
        <v>7.5245000000000006</v>
      </c>
      <c r="Q217" s="104">
        <f>0.17*N170</f>
        <v>1.2665000000000002</v>
      </c>
      <c r="R217" s="104"/>
      <c r="S217" s="104"/>
      <c r="T217" s="104" t="s">
        <v>344</v>
      </c>
    </row>
    <row r="218" spans="2:20" s="1232" customFormat="1" ht="13.8" thickBot="1">
      <c r="B218" s="70"/>
      <c r="C218" s="70"/>
      <c r="D218" s="70" t="s">
        <v>71</v>
      </c>
      <c r="E218" s="70"/>
      <c r="F218" s="70"/>
      <c r="G218" s="70"/>
      <c r="H218" s="70" t="s">
        <v>343</v>
      </c>
      <c r="I218" s="70"/>
      <c r="J218" s="70">
        <f>0.07</f>
        <v>7.0000000000000007E-2</v>
      </c>
      <c r="K218" s="70"/>
      <c r="L218" s="70"/>
      <c r="M218" s="70"/>
      <c r="N218" s="70"/>
      <c r="O218" s="70"/>
      <c r="P218" s="70"/>
      <c r="Q218" s="70"/>
      <c r="R218" s="70"/>
      <c r="S218" s="70"/>
      <c r="T218" s="70"/>
    </row>
    <row r="219" spans="2:20" s="1232" customFormat="1">
      <c r="B219" s="104" t="str">
        <f>"SUP"&amp;RIGHT(E219,3)&amp;LEFT(G219,3)&amp;"2N"</f>
        <v>SUPCOAH2G2N</v>
      </c>
      <c r="C219" s="104" t="s">
        <v>345</v>
      </c>
      <c r="E219" s="1232" t="s">
        <v>342</v>
      </c>
      <c r="G219" s="104" t="s">
        <v>1314</v>
      </c>
      <c r="H219" s="1232" t="s">
        <v>343</v>
      </c>
      <c r="I219" s="1232">
        <f>1/1.75</f>
        <v>0.5714285714285714</v>
      </c>
      <c r="L219" s="1232">
        <v>0.8</v>
      </c>
      <c r="M219" s="1232">
        <v>20</v>
      </c>
      <c r="N219" s="104">
        <v>1</v>
      </c>
      <c r="O219" s="1232">
        <f>23.6*N170</f>
        <v>175.82000000000002</v>
      </c>
      <c r="P219" s="1232">
        <f>0.59*N170</f>
        <v>4.3955000000000002</v>
      </c>
      <c r="Q219" s="1232">
        <f>0.23*N170</f>
        <v>1.7135</v>
      </c>
      <c r="T219" s="1232" t="s">
        <v>344</v>
      </c>
    </row>
    <row r="220" spans="2:20" s="1232" customFormat="1" ht="13.8" thickBot="1">
      <c r="B220" s="70"/>
      <c r="C220" s="70"/>
      <c r="D220" s="70"/>
      <c r="E220" s="70"/>
      <c r="F220" s="70" t="s">
        <v>84</v>
      </c>
      <c r="G220" s="70"/>
      <c r="H220" s="70" t="s">
        <v>343</v>
      </c>
      <c r="I220" s="70"/>
      <c r="J220" s="70"/>
      <c r="K220" s="70">
        <v>0.08</v>
      </c>
      <c r="L220" s="70"/>
      <c r="M220" s="70"/>
      <c r="N220" s="70"/>
      <c r="O220" s="70"/>
      <c r="P220" s="70"/>
      <c r="Q220" s="70"/>
      <c r="R220" s="70"/>
      <c r="S220" s="70"/>
      <c r="T220" s="70"/>
    </row>
    <row r="221" spans="2:20" s="1232" customFormat="1">
      <c r="B221" s="104" t="str">
        <f>"SUP"&amp;RIGHT(E221,3)&amp;LEFT(G221,3)&amp;"3N"</f>
        <v>SUPSTRH2G3N</v>
      </c>
      <c r="C221" s="104" t="s">
        <v>346</v>
      </c>
      <c r="D221" s="142"/>
      <c r="E221" s="142" t="s">
        <v>347</v>
      </c>
      <c r="F221" s="142"/>
      <c r="G221" s="104" t="s">
        <v>348</v>
      </c>
      <c r="H221" s="142" t="s">
        <v>343</v>
      </c>
      <c r="I221" s="142">
        <f>1/3</f>
        <v>0.33333333333333331</v>
      </c>
      <c r="J221" s="142"/>
      <c r="K221" s="142"/>
      <c r="L221" s="142">
        <v>0.71</v>
      </c>
      <c r="M221" s="142">
        <v>20</v>
      </c>
      <c r="N221" s="104">
        <v>1</v>
      </c>
      <c r="O221" s="142">
        <f>190.2*N170</f>
        <v>1416.99</v>
      </c>
      <c r="P221" s="142">
        <f>3.8*N170</f>
        <v>28.31</v>
      </c>
      <c r="Q221" s="142">
        <f>1.9*N170</f>
        <v>14.154999999999999</v>
      </c>
      <c r="R221" s="142"/>
      <c r="S221" s="142"/>
      <c r="T221" s="1232" t="s">
        <v>344</v>
      </c>
    </row>
    <row r="222" spans="2:20" s="1232" customFormat="1" ht="13.8" thickBot="1">
      <c r="B222" s="70"/>
      <c r="C222" s="70"/>
      <c r="D222" s="70" t="s">
        <v>71</v>
      </c>
      <c r="E222" s="70"/>
      <c r="F222" s="70"/>
      <c r="G222" s="70"/>
      <c r="H222" s="70" t="s">
        <v>343</v>
      </c>
      <c r="I222" s="70"/>
      <c r="J222" s="70">
        <f>0.2</f>
        <v>0.2</v>
      </c>
      <c r="K222" s="70"/>
      <c r="L222" s="70"/>
      <c r="M222" s="70"/>
      <c r="N222" s="70"/>
      <c r="O222" s="70"/>
      <c r="P222" s="70"/>
      <c r="Q222" s="70"/>
      <c r="R222" s="70"/>
      <c r="S222" s="70"/>
      <c r="T222" s="70"/>
    </row>
    <row r="223" spans="2:20" s="1232" customFormat="1">
      <c r="B223" s="104" t="str">
        <f>"SUP"&amp;RIGHT(E223,3)&amp;LEFT(G223,3)&amp;"2N"</f>
        <v>SUPSTRH2G2N</v>
      </c>
      <c r="C223" s="104" t="s">
        <v>349</v>
      </c>
      <c r="D223" s="142"/>
      <c r="E223" s="142" t="s">
        <v>347</v>
      </c>
      <c r="F223" s="142"/>
      <c r="G223" s="104" t="s">
        <v>1314</v>
      </c>
      <c r="H223" s="142" t="s">
        <v>343</v>
      </c>
      <c r="I223" s="142">
        <f>1/2.78</f>
        <v>0.35971223021582738</v>
      </c>
      <c r="J223" s="142"/>
      <c r="K223" s="142"/>
      <c r="L223" s="142">
        <v>0.9</v>
      </c>
      <c r="M223" s="142">
        <v>20</v>
      </c>
      <c r="N223" s="104">
        <v>1</v>
      </c>
      <c r="O223" s="142">
        <f>96.5*N170</f>
        <v>718.92500000000007</v>
      </c>
      <c r="P223" s="142">
        <f>4.82*N170</f>
        <v>35.909000000000006</v>
      </c>
      <c r="Q223" s="142">
        <f>0.97*N170</f>
        <v>7.2264999999999997</v>
      </c>
      <c r="R223" s="142"/>
      <c r="S223" s="142"/>
      <c r="T223" s="1232" t="s">
        <v>344</v>
      </c>
    </row>
    <row r="224" spans="2:20" s="1232" customFormat="1" ht="13.8" thickBot="1">
      <c r="B224" s="70"/>
      <c r="C224" s="70"/>
      <c r="D224" s="70" t="s">
        <v>71</v>
      </c>
      <c r="E224" s="70"/>
      <c r="F224" s="70"/>
      <c r="G224" s="70"/>
      <c r="H224" s="70" t="s">
        <v>343</v>
      </c>
      <c r="I224" s="70"/>
      <c r="J224" s="70">
        <v>0.2</v>
      </c>
      <c r="K224" s="70"/>
      <c r="L224" s="70"/>
      <c r="M224" s="70"/>
      <c r="N224" s="70"/>
      <c r="O224" s="70"/>
      <c r="P224" s="70"/>
      <c r="Q224" s="70"/>
      <c r="R224" s="70"/>
      <c r="S224" s="70"/>
      <c r="T224" s="70"/>
    </row>
    <row r="225" spans="2:20" s="1232" customFormat="1">
      <c r="B225" s="104" t="s">
        <v>350</v>
      </c>
      <c r="C225" s="104" t="s">
        <v>351</v>
      </c>
      <c r="D225" s="142"/>
      <c r="E225" s="142" t="s">
        <v>352</v>
      </c>
      <c r="F225" s="142"/>
      <c r="G225" s="104" t="s">
        <v>1314</v>
      </c>
      <c r="H225" s="142" t="s">
        <v>343</v>
      </c>
      <c r="I225" s="142">
        <f>1/1.75</f>
        <v>0.5714285714285714</v>
      </c>
      <c r="J225" s="142"/>
      <c r="K225" s="142"/>
      <c r="L225" s="142">
        <v>0.9</v>
      </c>
      <c r="M225" s="142">
        <v>20</v>
      </c>
      <c r="N225" s="104">
        <v>1</v>
      </c>
      <c r="O225" s="142">
        <f>72.93*N170</f>
        <v>543.32850000000008</v>
      </c>
      <c r="P225" s="142">
        <f>2.92*N170</f>
        <v>21.754000000000001</v>
      </c>
      <c r="Q225" s="142">
        <f>0.73*N170</f>
        <v>5.4385000000000003</v>
      </c>
      <c r="R225" s="142"/>
      <c r="S225" s="142"/>
      <c r="T225" s="1232" t="s">
        <v>344</v>
      </c>
    </row>
    <row r="226" spans="2:20" s="1232" customFormat="1" ht="13.8" thickBot="1">
      <c r="B226" s="70"/>
      <c r="C226" s="70"/>
      <c r="D226" s="70" t="s">
        <v>71</v>
      </c>
      <c r="E226" s="70"/>
      <c r="F226" s="70"/>
      <c r="G226" s="70"/>
      <c r="H226" s="70" t="s">
        <v>343</v>
      </c>
      <c r="I226" s="70"/>
      <c r="J226" s="70">
        <v>0.35</v>
      </c>
      <c r="K226" s="70"/>
      <c r="L226" s="70"/>
      <c r="M226" s="70"/>
      <c r="N226" s="70"/>
      <c r="O226" s="70"/>
      <c r="P226" s="70"/>
      <c r="Q226" s="70"/>
      <c r="R226" s="70"/>
      <c r="S226" s="70"/>
      <c r="T226" s="70"/>
    </row>
    <row r="227" spans="2:20" s="1232" customFormat="1">
      <c r="B227" s="104" t="str">
        <f>"SUP"&amp;RIGHT(E227,3)&amp;LEFT(G227,3)&amp;"1N"</f>
        <v>SUPNGAH2G1N</v>
      </c>
      <c r="C227" s="104" t="s">
        <v>353</v>
      </c>
      <c r="D227" s="142"/>
      <c r="E227" s="142" t="s">
        <v>352</v>
      </c>
      <c r="F227" s="142"/>
      <c r="G227" s="104" t="s">
        <v>1314</v>
      </c>
      <c r="H227" s="142" t="s">
        <v>343</v>
      </c>
      <c r="I227" s="142">
        <f>1/1.32</f>
        <v>0.75757575757575757</v>
      </c>
      <c r="J227" s="142"/>
      <c r="K227" s="142"/>
      <c r="L227" s="142">
        <v>0.9</v>
      </c>
      <c r="M227" s="142">
        <v>20</v>
      </c>
      <c r="N227" s="104">
        <v>1</v>
      </c>
      <c r="O227" s="142">
        <f>7.36*N170</f>
        <v>54.832000000000001</v>
      </c>
      <c r="P227" s="142">
        <f>0.36*N170</f>
        <v>2.6819999999999999</v>
      </c>
      <c r="Q227" s="249">
        <f>0.08*N170</f>
        <v>0.59599999999999997</v>
      </c>
      <c r="R227" s="142"/>
      <c r="S227" s="142"/>
      <c r="T227" s="1232" t="s">
        <v>344</v>
      </c>
    </row>
    <row r="228" spans="2:20" s="1232" customFormat="1" ht="13.8" thickBot="1">
      <c r="B228" s="70"/>
      <c r="C228" s="70"/>
      <c r="D228" s="70" t="s">
        <v>71</v>
      </c>
      <c r="E228" s="70"/>
      <c r="F228" s="70"/>
      <c r="G228" s="70"/>
      <c r="H228" s="70" t="s">
        <v>343</v>
      </c>
      <c r="I228" s="70"/>
      <c r="J228" s="70">
        <v>0.02</v>
      </c>
      <c r="K228" s="70"/>
      <c r="L228" s="70"/>
      <c r="M228" s="70"/>
      <c r="N228" s="70"/>
      <c r="O228" s="70"/>
      <c r="P228" s="70"/>
      <c r="Q228" s="70"/>
      <c r="R228" s="70"/>
      <c r="S228" s="70"/>
      <c r="T228" s="70"/>
    </row>
    <row r="229" spans="2:20" s="1232" customFormat="1">
      <c r="B229" s="104" t="str">
        <f>"SUP"&amp;RIGHT(E229,3)&amp;LEFT(G229,3)&amp;"3N"</f>
        <v>SUPNGAH2G3N</v>
      </c>
      <c r="C229" s="104" t="s">
        <v>354</v>
      </c>
      <c r="D229" s="142"/>
      <c r="E229" s="142" t="s">
        <v>352</v>
      </c>
      <c r="F229" s="142"/>
      <c r="G229" s="104" t="s">
        <v>348</v>
      </c>
      <c r="H229" s="142" t="s">
        <v>343</v>
      </c>
      <c r="I229" s="142">
        <f>1/1.58</f>
        <v>0.63291139240506322</v>
      </c>
      <c r="J229" s="142"/>
      <c r="K229" s="142"/>
      <c r="L229" s="142">
        <v>0.9</v>
      </c>
      <c r="M229" s="142">
        <v>20</v>
      </c>
      <c r="N229" s="104">
        <v>1</v>
      </c>
      <c r="O229" s="142">
        <f>15.8*N170</f>
        <v>117.71000000000001</v>
      </c>
      <c r="P229" s="142">
        <f>0.6*N170</f>
        <v>4.47</v>
      </c>
      <c r="Q229" s="142">
        <f>0.15*N170</f>
        <v>1.1174999999999999</v>
      </c>
      <c r="R229" s="142"/>
      <c r="S229" s="142"/>
      <c r="T229" s="142" t="s">
        <v>344</v>
      </c>
    </row>
    <row r="230" spans="2:20" s="1232" customFormat="1" ht="13.8" thickBot="1">
      <c r="B230" s="70"/>
      <c r="C230" s="70"/>
      <c r="D230" s="70" t="s">
        <v>71</v>
      </c>
      <c r="E230" s="70"/>
      <c r="F230" s="70"/>
      <c r="G230" s="70"/>
      <c r="H230" s="70" t="s">
        <v>343</v>
      </c>
      <c r="I230" s="70"/>
      <c r="J230" s="70">
        <v>0.03</v>
      </c>
      <c r="K230" s="70"/>
      <c r="L230" s="70"/>
      <c r="M230" s="70"/>
      <c r="N230" s="70"/>
      <c r="O230" s="70"/>
      <c r="P230" s="70"/>
      <c r="Q230" s="70"/>
      <c r="R230" s="70"/>
      <c r="S230" s="70"/>
      <c r="T230" s="70"/>
    </row>
    <row r="231" spans="2:20" s="1232" customFormat="1">
      <c r="B231" s="104" t="str">
        <f>"SUP"&amp;RIGHT(E231,3)&amp;LEFT(G231,3)&amp;"2N"</f>
        <v>SUPNGAH2G2N</v>
      </c>
      <c r="C231" s="104" t="s">
        <v>355</v>
      </c>
      <c r="D231" s="142"/>
      <c r="E231" s="142" t="s">
        <v>352</v>
      </c>
      <c r="F231" s="142"/>
      <c r="G231" s="104" t="s">
        <v>1314</v>
      </c>
      <c r="H231" s="142" t="s">
        <v>343</v>
      </c>
      <c r="I231" s="142">
        <f>1/1.36</f>
        <v>0.73529411764705876</v>
      </c>
      <c r="J231" s="142"/>
      <c r="K231" s="142"/>
      <c r="L231" s="142">
        <v>0.86</v>
      </c>
      <c r="M231" s="142">
        <v>20</v>
      </c>
      <c r="N231" s="104">
        <v>1</v>
      </c>
      <c r="O231" s="142">
        <f>18.6*N170</f>
        <v>138.57000000000002</v>
      </c>
      <c r="P231" s="142">
        <f>1.08*N170</f>
        <v>8.0460000000000012</v>
      </c>
      <c r="Q231" s="142">
        <f>0.05*N170</f>
        <v>0.37250000000000005</v>
      </c>
      <c r="R231" s="142"/>
      <c r="S231" s="142"/>
      <c r="T231" s="142" t="s">
        <v>344</v>
      </c>
    </row>
    <row r="232" spans="2:20" s="1232" customFormat="1" ht="13.8" thickBot="1">
      <c r="B232" s="70"/>
      <c r="C232" s="70"/>
      <c r="D232" s="70" t="s">
        <v>71</v>
      </c>
      <c r="E232" s="70"/>
      <c r="F232" s="70"/>
      <c r="G232" s="70"/>
      <c r="H232" s="70" t="s">
        <v>343</v>
      </c>
      <c r="I232" s="70"/>
      <c r="J232" s="70">
        <v>0.25</v>
      </c>
      <c r="K232" s="70"/>
      <c r="L232" s="70"/>
      <c r="M232" s="70"/>
      <c r="N232" s="70"/>
      <c r="O232" s="70"/>
      <c r="P232" s="70"/>
      <c r="Q232" s="70"/>
      <c r="R232" s="70"/>
      <c r="S232" s="70"/>
      <c r="T232" s="70"/>
    </row>
    <row r="233" spans="2:20" s="1232" customFormat="1">
      <c r="B233" s="104" t="str">
        <f>"SUP"&amp;RIGHT(E233,3)&amp;LEFT(G233,3)&amp;"3N"</f>
        <v>SUPNGAH2G3N</v>
      </c>
      <c r="C233" s="104" t="s">
        <v>356</v>
      </c>
      <c r="D233" s="142"/>
      <c r="E233" s="142" t="s">
        <v>352</v>
      </c>
      <c r="F233" s="142"/>
      <c r="G233" s="104" t="s">
        <v>348</v>
      </c>
      <c r="H233" s="142" t="s">
        <v>343</v>
      </c>
      <c r="I233" s="142">
        <f>1/1.81</f>
        <v>0.5524861878453039</v>
      </c>
      <c r="J233" s="142"/>
      <c r="K233" s="142"/>
      <c r="L233" s="142">
        <v>0.9</v>
      </c>
      <c r="M233" s="142">
        <v>20</v>
      </c>
      <c r="N233" s="104">
        <v>1</v>
      </c>
      <c r="O233" s="142">
        <f>67.6*N170</f>
        <v>503.61999999999995</v>
      </c>
      <c r="P233" s="142">
        <f>1.63*N170</f>
        <v>12.1435</v>
      </c>
      <c r="Q233" s="142">
        <f>0.67*N170</f>
        <v>4.9915000000000003</v>
      </c>
      <c r="R233" s="142"/>
      <c r="S233" s="142"/>
      <c r="T233" s="142" t="s">
        <v>344</v>
      </c>
    </row>
    <row r="234" spans="2:20" s="1232" customFormat="1" ht="13.8" thickBot="1">
      <c r="B234" s="70"/>
      <c r="C234" s="70"/>
      <c r="D234" s="70" t="s">
        <v>71</v>
      </c>
      <c r="E234" s="70"/>
      <c r="F234" s="70"/>
      <c r="G234" s="70"/>
      <c r="H234" s="70" t="s">
        <v>343</v>
      </c>
      <c r="I234" s="70"/>
      <c r="J234" s="70">
        <v>7.0000000000000007E-2</v>
      </c>
      <c r="K234" s="70"/>
      <c r="L234" s="70"/>
      <c r="M234" s="70"/>
      <c r="N234" s="70"/>
      <c r="O234" s="70"/>
      <c r="P234" s="70"/>
      <c r="Q234" s="70"/>
      <c r="R234" s="70"/>
      <c r="S234" s="70"/>
      <c r="T234" s="70"/>
    </row>
    <row r="235" spans="2:20" s="1232" customFormat="1" ht="12.75" customHeight="1">
      <c r="B235" s="104" t="str">
        <f>"SUP"&amp;RIGHT(E235,3)&amp;LEFT(G235,3)&amp;"1N"</f>
        <v>SUPSTRH2G1N</v>
      </c>
      <c r="C235" s="104" t="s">
        <v>357</v>
      </c>
      <c r="D235" s="142"/>
      <c r="E235" s="142" t="s">
        <v>347</v>
      </c>
      <c r="F235" s="142"/>
      <c r="G235" s="104" t="s">
        <v>1314</v>
      </c>
      <c r="H235" s="142" t="s">
        <v>343</v>
      </c>
      <c r="I235" s="142">
        <f>1/1.88</f>
        <v>0.53191489361702127</v>
      </c>
      <c r="J235" s="142"/>
      <c r="K235" s="142"/>
      <c r="L235" s="142">
        <v>0.9</v>
      </c>
      <c r="M235" s="142">
        <v>20</v>
      </c>
      <c r="N235" s="104">
        <v>1</v>
      </c>
      <c r="O235" s="142">
        <f>19*N170</f>
        <v>141.55000000000001</v>
      </c>
      <c r="P235" s="142">
        <f>0.76*N170</f>
        <v>5.6619999999999999</v>
      </c>
      <c r="Q235" s="142">
        <f>0.19*N170</f>
        <v>1.4155</v>
      </c>
      <c r="R235" s="142"/>
      <c r="S235" s="142"/>
      <c r="T235" s="142" t="s">
        <v>344</v>
      </c>
    </row>
    <row r="236" spans="2:20" s="1232" customFormat="1" ht="13.8" thickBot="1">
      <c r="B236" s="70"/>
      <c r="C236" s="70"/>
      <c r="D236" s="70" t="s">
        <v>71</v>
      </c>
      <c r="E236" s="70"/>
      <c r="F236" s="70"/>
      <c r="G236" s="70"/>
      <c r="H236" s="70" t="s">
        <v>343</v>
      </c>
      <c r="I236" s="70"/>
      <c r="J236" s="70">
        <f>0.04</f>
        <v>0.04</v>
      </c>
      <c r="K236" s="70"/>
      <c r="L236" s="70"/>
      <c r="M236" s="70"/>
      <c r="N236" s="70"/>
      <c r="O236" s="70"/>
      <c r="P236" s="70"/>
      <c r="Q236" s="70"/>
      <c r="R236" s="70"/>
      <c r="S236" s="70"/>
      <c r="T236" s="70"/>
    </row>
    <row r="237" spans="2:20" s="1232" customFormat="1">
      <c r="B237" s="104" t="str">
        <f>"SUP"&amp;RIGHT(E237,3)&amp;LEFT(G237,3)&amp;"2N"</f>
        <v>SUPSTRH2G2N</v>
      </c>
      <c r="C237" s="104" t="s">
        <v>358</v>
      </c>
      <c r="D237" s="142"/>
      <c r="E237" s="142" t="s">
        <v>347</v>
      </c>
      <c r="F237" s="142"/>
      <c r="G237" s="104" t="s">
        <v>1314</v>
      </c>
      <c r="H237" s="142" t="s">
        <v>343</v>
      </c>
      <c r="I237" s="142">
        <f>1/1.36</f>
        <v>0.73529411764705876</v>
      </c>
      <c r="J237" s="142"/>
      <c r="K237" s="142"/>
      <c r="L237" s="142">
        <v>0.9</v>
      </c>
      <c r="M237" s="142">
        <v>20</v>
      </c>
      <c r="N237" s="104">
        <v>1</v>
      </c>
      <c r="O237" s="142">
        <f>O235</f>
        <v>141.55000000000001</v>
      </c>
      <c r="P237" s="142">
        <f>P235</f>
        <v>5.6619999999999999</v>
      </c>
      <c r="Q237" s="142">
        <f>Q235</f>
        <v>1.4155</v>
      </c>
      <c r="R237" s="142"/>
      <c r="S237" s="142"/>
      <c r="T237" s="142" t="s">
        <v>344</v>
      </c>
    </row>
    <row r="238" spans="2:20" s="1232" customFormat="1" ht="13.8" thickBot="1">
      <c r="B238" s="70"/>
      <c r="C238" s="70"/>
      <c r="D238" s="70" t="s">
        <v>71</v>
      </c>
      <c r="E238" s="70"/>
      <c r="F238" s="70"/>
      <c r="G238" s="70"/>
      <c r="H238" s="70" t="s">
        <v>343</v>
      </c>
      <c r="I238" s="70"/>
      <c r="J238" s="70">
        <v>0.04</v>
      </c>
      <c r="K238" s="70"/>
      <c r="L238" s="70"/>
      <c r="M238" s="70"/>
      <c r="N238" s="70"/>
      <c r="O238" s="70"/>
      <c r="P238" s="70"/>
      <c r="Q238" s="70"/>
      <c r="R238" s="70"/>
      <c r="S238" s="70"/>
      <c r="T238" s="70"/>
    </row>
    <row r="239" spans="2:20" s="1232" customFormat="1">
      <c r="B239" s="104" t="str">
        <f>"SUP"&amp;RIGHT(E239,3)&amp;LEFT(G239,3)&amp;"2N"</f>
        <v>SUPGSBH2G2N</v>
      </c>
      <c r="C239" s="104" t="s">
        <v>359</v>
      </c>
      <c r="D239" s="142"/>
      <c r="E239" s="142" t="s">
        <v>360</v>
      </c>
      <c r="F239" s="142"/>
      <c r="G239" s="104" t="s">
        <v>348</v>
      </c>
      <c r="H239" s="142" t="s">
        <v>343</v>
      </c>
      <c r="I239" s="142">
        <f>1/2.37</f>
        <v>0.42194092827004215</v>
      </c>
      <c r="J239" s="142"/>
      <c r="K239" s="142"/>
      <c r="L239" s="142">
        <v>0.9</v>
      </c>
      <c r="M239" s="142">
        <v>10</v>
      </c>
      <c r="N239" s="104">
        <v>1</v>
      </c>
      <c r="O239" s="142">
        <f>270*N170</f>
        <v>2011.5</v>
      </c>
      <c r="P239" s="142">
        <f>0*N170</f>
        <v>0</v>
      </c>
      <c r="Q239" s="142">
        <f>20.4*N170</f>
        <v>151.97999999999999</v>
      </c>
      <c r="R239" s="142"/>
      <c r="S239" s="142"/>
      <c r="T239" s="142" t="s">
        <v>344</v>
      </c>
    </row>
    <row r="240" spans="2:20" s="1232" customFormat="1" ht="13.8" thickBot="1">
      <c r="B240" s="70"/>
      <c r="C240" s="70"/>
      <c r="D240" s="70" t="s">
        <v>71</v>
      </c>
      <c r="E240" s="70"/>
      <c r="F240" s="70"/>
      <c r="G240" s="70"/>
      <c r="H240" s="70" t="s">
        <v>343</v>
      </c>
      <c r="I240" s="70"/>
      <c r="J240" s="70">
        <f>0.18</f>
        <v>0.18</v>
      </c>
      <c r="K240" s="70"/>
      <c r="L240" s="70"/>
      <c r="M240" s="70"/>
      <c r="N240" s="70"/>
      <c r="O240" s="70"/>
      <c r="P240" s="70"/>
      <c r="Q240" s="70"/>
      <c r="R240" s="70"/>
      <c r="S240" s="70"/>
      <c r="T240" s="70"/>
    </row>
    <row r="241" spans="2:21" s="1232" customFormat="1" ht="13.8" thickBot="1">
      <c r="B241" s="104" t="str">
        <f>"SUP"&amp;RIGHT(E241,3)&amp;LEFT(G241,3)&amp;"1N"</f>
        <v>SUPELCH2G1N</v>
      </c>
      <c r="C241" s="104" t="s">
        <v>361</v>
      </c>
      <c r="D241" s="250"/>
      <c r="E241" s="250" t="s">
        <v>71</v>
      </c>
      <c r="F241" s="250"/>
      <c r="G241" s="104" t="s">
        <v>1314</v>
      </c>
      <c r="H241" s="250" t="s">
        <v>343</v>
      </c>
      <c r="I241" s="250">
        <f>1/1.52</f>
        <v>0.65789473684210531</v>
      </c>
      <c r="J241" s="250"/>
      <c r="K241" s="250"/>
      <c r="L241" s="250">
        <v>0.9</v>
      </c>
      <c r="M241" s="250">
        <v>40</v>
      </c>
      <c r="N241" s="104">
        <v>1</v>
      </c>
      <c r="O241" s="250">
        <f>22.9*N170</f>
        <v>170.60499999999999</v>
      </c>
      <c r="P241" s="250">
        <f>1.52*N170</f>
        <v>11.324</v>
      </c>
      <c r="Q241" s="250">
        <f>0.16*N170</f>
        <v>1.1919999999999999</v>
      </c>
      <c r="R241" s="250"/>
      <c r="S241" s="250"/>
      <c r="T241" s="250" t="s">
        <v>344</v>
      </c>
    </row>
    <row r="242" spans="2:21" s="1232" customFormat="1" ht="13.8" thickBot="1">
      <c r="B242" s="104" t="str">
        <f>"SUP"&amp;RIGHT(E242,3)&amp;LEFT(G242,3)&amp;"2N"</f>
        <v>SUPELCH2G2N</v>
      </c>
      <c r="C242" s="104" t="s">
        <v>362</v>
      </c>
      <c r="D242" s="250"/>
      <c r="E242" s="250" t="s">
        <v>71</v>
      </c>
      <c r="F242" s="250"/>
      <c r="G242" s="104" t="s">
        <v>1314</v>
      </c>
      <c r="H242" s="250" t="s">
        <v>343</v>
      </c>
      <c r="I242" s="250">
        <f>1/1.63</f>
        <v>0.61349693251533743</v>
      </c>
      <c r="J242" s="250"/>
      <c r="K242" s="250"/>
      <c r="L242" s="250">
        <v>0.9</v>
      </c>
      <c r="M242" s="250">
        <v>20</v>
      </c>
      <c r="N242" s="104">
        <v>1</v>
      </c>
      <c r="O242" s="250">
        <f>65.09*N170</f>
        <v>484.92050000000006</v>
      </c>
      <c r="P242" s="250">
        <f>3.29*N170</f>
        <v>24.5105</v>
      </c>
      <c r="Q242" s="250">
        <f>0.06*N170</f>
        <v>0.44700000000000001</v>
      </c>
      <c r="R242" s="250"/>
      <c r="S242" s="250"/>
      <c r="T242" s="250" t="s">
        <v>344</v>
      </c>
    </row>
    <row r="243" spans="2:21" s="1232" customFormat="1">
      <c r="B243" s="104" t="str">
        <f>"SUP"&amp;RIGHT(E243,3)&amp;LEFT(G243,3)&amp;"3N"</f>
        <v>SUPELCH2G3N</v>
      </c>
      <c r="C243" s="104" t="s">
        <v>363</v>
      </c>
      <c r="D243" s="70"/>
      <c r="E243" s="250" t="s">
        <v>71</v>
      </c>
      <c r="F243" s="70"/>
      <c r="G243" s="104" t="s">
        <v>348</v>
      </c>
      <c r="H243" s="250" t="s">
        <v>343</v>
      </c>
      <c r="I243" s="70">
        <f>1/1.62</f>
        <v>0.61728395061728392</v>
      </c>
      <c r="J243" s="70"/>
      <c r="K243" s="70"/>
      <c r="L243" s="70">
        <v>0.9</v>
      </c>
      <c r="M243" s="70">
        <v>20</v>
      </c>
      <c r="N243" s="104">
        <v>1</v>
      </c>
      <c r="O243" s="70">
        <f>71*N170</f>
        <v>528.95000000000005</v>
      </c>
      <c r="P243" s="70">
        <f>5*N170</f>
        <v>37.25</v>
      </c>
      <c r="Q243" s="70">
        <f>1*N170</f>
        <v>7.45</v>
      </c>
      <c r="R243" s="70"/>
      <c r="S243" s="70"/>
      <c r="T243" s="250" t="s">
        <v>344</v>
      </c>
    </row>
    <row r="244" spans="2:21" s="1232" customFormat="1"/>
    <row r="245" spans="2:21" s="1232" customFormat="1"/>
    <row r="246" spans="2:21" s="1232" customFormat="1"/>
    <row r="247" spans="2:21" s="1232" customFormat="1" ht="14.4">
      <c r="U247"/>
    </row>
  </sheetData>
  <mergeCells count="7">
    <mergeCell ref="AA194:AA198"/>
    <mergeCell ref="AA199:AA204"/>
    <mergeCell ref="AA178:AA181"/>
    <mergeCell ref="AA182:AA185"/>
    <mergeCell ref="AA186:AA188"/>
    <mergeCell ref="AA189:AA190"/>
    <mergeCell ref="AA191:AA193"/>
  </mergeCells>
  <pageMargins left="0.75" right="0.75" top="1" bottom="1" header="0.5" footer="0.5"/>
  <pageSetup orientation="portrait"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2FF4E-9B70-48C0-8F96-DC35145BE2BD}">
  <sheetPr>
    <tabColor theme="6" tint="0.39997558519241921"/>
  </sheetPr>
  <dimension ref="A1:X31"/>
  <sheetViews>
    <sheetView topLeftCell="G1" zoomScale="80" zoomScaleNormal="80" workbookViewId="0">
      <selection activeCell="S27" sqref="S27"/>
    </sheetView>
  </sheetViews>
  <sheetFormatPr defaultRowHeight="14.4"/>
  <cols>
    <col min="2" max="2" width="30.33203125" customWidth="1"/>
    <col min="3" max="3" width="57.33203125" customWidth="1"/>
    <col min="4" max="4" width="10.88671875" bestFit="1" customWidth="1"/>
    <col min="5" max="5" width="11.109375" customWidth="1"/>
    <col min="6" max="6" width="11.109375" bestFit="1" customWidth="1"/>
    <col min="7" max="7" width="11.109375" customWidth="1"/>
    <col min="8" max="8" width="5.5546875" bestFit="1" customWidth="1"/>
    <col min="9" max="9" width="6.33203125" bestFit="1" customWidth="1"/>
    <col min="10" max="10" width="7" bestFit="1" customWidth="1"/>
    <col min="11" max="11" width="11.6640625" customWidth="1"/>
    <col min="13" max="13" width="8.6640625" bestFit="1" customWidth="1"/>
    <col min="14" max="14" width="9.6640625" customWidth="1"/>
    <col min="15" max="15" width="9.44140625" bestFit="1" customWidth="1"/>
    <col min="16" max="16" width="13.6640625" customWidth="1"/>
    <col min="17" max="17" width="13.88671875" bestFit="1" customWidth="1"/>
    <col min="18" max="18" width="12.6640625" bestFit="1" customWidth="1"/>
    <col min="19" max="19" width="11.88671875" bestFit="1" customWidth="1"/>
    <col min="20" max="20" width="32.6640625" customWidth="1"/>
    <col min="21" max="21" width="40.6640625" bestFit="1" customWidth="1"/>
    <col min="22" max="22" width="11.88671875" style="226" bestFit="1" customWidth="1"/>
    <col min="23" max="23" width="11.88671875" style="226" customWidth="1"/>
    <col min="24" max="24" width="15.44140625" bestFit="1" customWidth="1"/>
  </cols>
  <sheetData>
    <row r="1" spans="1:24" ht="15" thickBot="1"/>
    <row r="2" spans="1:24" ht="15" thickBot="1">
      <c r="R2" s="123" t="s">
        <v>190</v>
      </c>
      <c r="S2" s="122">
        <f>7.45</f>
        <v>7.45</v>
      </c>
    </row>
    <row r="3" spans="1:24">
      <c r="R3" s="1072"/>
      <c r="S3" s="1072"/>
    </row>
    <row r="4" spans="1:24">
      <c r="B4" s="69"/>
      <c r="C4" s="69"/>
      <c r="D4" s="69"/>
      <c r="E4" s="69"/>
      <c r="F4" s="121"/>
      <c r="G4" s="121"/>
      <c r="H4" s="121"/>
      <c r="I4" s="121" t="s">
        <v>0</v>
      </c>
      <c r="J4" s="121"/>
      <c r="K4" s="121"/>
      <c r="L4" s="121"/>
      <c r="M4" s="69"/>
      <c r="N4" s="69"/>
      <c r="O4" s="69"/>
      <c r="P4" s="69"/>
      <c r="Q4" s="69"/>
      <c r="R4" s="69"/>
      <c r="S4" s="69"/>
      <c r="T4" s="69"/>
      <c r="U4" s="69"/>
    </row>
    <row r="5" spans="1:24">
      <c r="B5" s="227" t="s">
        <v>2</v>
      </c>
      <c r="C5" s="227" t="s">
        <v>11</v>
      </c>
      <c r="D5" s="227" t="s">
        <v>189</v>
      </c>
      <c r="E5" s="227" t="s">
        <v>32</v>
      </c>
      <c r="F5" s="227" t="s">
        <v>3</v>
      </c>
      <c r="G5" s="120" t="s">
        <v>33</v>
      </c>
      <c r="H5" s="227" t="s">
        <v>158</v>
      </c>
      <c r="I5" s="227" t="s">
        <v>34</v>
      </c>
      <c r="J5" s="227" t="s">
        <v>4</v>
      </c>
      <c r="K5" s="227" t="s">
        <v>187</v>
      </c>
      <c r="L5" s="227" t="s">
        <v>188</v>
      </c>
      <c r="M5" s="228" t="s">
        <v>239</v>
      </c>
      <c r="N5" s="228" t="s">
        <v>186</v>
      </c>
      <c r="O5" s="228" t="s">
        <v>185</v>
      </c>
      <c r="P5" s="228" t="s">
        <v>9</v>
      </c>
      <c r="Q5" s="228" t="s">
        <v>6</v>
      </c>
      <c r="R5" s="228" t="s">
        <v>7</v>
      </c>
      <c r="S5" s="228" t="s">
        <v>8</v>
      </c>
      <c r="T5" s="229" t="s">
        <v>327</v>
      </c>
      <c r="U5" s="230" t="s">
        <v>41</v>
      </c>
    </row>
    <row r="6" spans="1:24" ht="39.6">
      <c r="B6" s="231" t="s">
        <v>184</v>
      </c>
      <c r="C6" s="231" t="s">
        <v>19</v>
      </c>
      <c r="D6" s="231" t="s">
        <v>182</v>
      </c>
      <c r="E6" s="231" t="s">
        <v>183</v>
      </c>
      <c r="F6" s="231" t="s">
        <v>181</v>
      </c>
      <c r="G6" s="231"/>
      <c r="H6" s="231"/>
      <c r="I6" s="231"/>
      <c r="J6" s="231"/>
      <c r="K6" s="231" t="s">
        <v>179</v>
      </c>
      <c r="L6" s="231" t="s">
        <v>180</v>
      </c>
      <c r="M6" s="231" t="s">
        <v>232</v>
      </c>
      <c r="N6" s="231" t="s">
        <v>178</v>
      </c>
      <c r="O6" s="231" t="s">
        <v>177</v>
      </c>
      <c r="P6" s="231" t="s">
        <v>176</v>
      </c>
      <c r="Q6" s="231" t="s">
        <v>175</v>
      </c>
      <c r="R6" s="231" t="s">
        <v>174</v>
      </c>
      <c r="S6" s="231" t="s">
        <v>173</v>
      </c>
      <c r="T6" s="232" t="s">
        <v>54</v>
      </c>
      <c r="U6" s="113"/>
    </row>
    <row r="7" spans="1:24" ht="27" thickBot="1">
      <c r="A7" s="233"/>
      <c r="B7" s="234" t="s">
        <v>172</v>
      </c>
      <c r="C7" s="235"/>
      <c r="D7" s="235"/>
      <c r="E7" s="235"/>
      <c r="F7" s="235"/>
      <c r="G7" s="235"/>
      <c r="H7" s="235"/>
      <c r="I7" s="235"/>
      <c r="J7" s="235"/>
      <c r="K7" s="235" t="s">
        <v>328</v>
      </c>
      <c r="L7" s="235" t="s">
        <v>329</v>
      </c>
      <c r="M7" s="235" t="s">
        <v>329</v>
      </c>
      <c r="N7" s="235" t="s">
        <v>330</v>
      </c>
      <c r="O7" s="235" t="s">
        <v>62</v>
      </c>
      <c r="P7" s="235" t="s">
        <v>228</v>
      </c>
      <c r="Q7" s="236" t="s">
        <v>1723</v>
      </c>
      <c r="R7" s="236" t="s">
        <v>1723</v>
      </c>
      <c r="S7" s="236" t="s">
        <v>1724</v>
      </c>
      <c r="T7" s="236" t="s">
        <v>165</v>
      </c>
      <c r="U7" s="237"/>
      <c r="V7" s="238"/>
      <c r="W7" s="238"/>
      <c r="X7" s="233"/>
    </row>
    <row r="8" spans="1:24">
      <c r="B8" s="104" t="str">
        <f>SUP_Proc!C37</f>
        <v>SUPELCAMM01</v>
      </c>
      <c r="C8" s="104" t="str">
        <f>SUP_Proc!D37</f>
        <v>Ammonia (liquid) by electrolysis technology - Central</v>
      </c>
      <c r="D8" s="104"/>
      <c r="E8" s="104" t="s">
        <v>1385</v>
      </c>
      <c r="F8" s="104" t="s">
        <v>315</v>
      </c>
      <c r="G8" s="104"/>
      <c r="H8" s="104">
        <v>2020</v>
      </c>
      <c r="I8" s="239" t="s">
        <v>70</v>
      </c>
      <c r="J8" s="104">
        <v>2022</v>
      </c>
      <c r="K8" s="1234">
        <f>ROUND('103 Hydrogen to Ammonia'!C15/'103 Hydrogen to Ammonia'!C12,3)</f>
        <v>0.86899999999999999</v>
      </c>
      <c r="L8" s="103"/>
      <c r="M8" s="103"/>
      <c r="N8" s="240">
        <f>1-SUM('103 Hydrogen to Ammonia'!$C$19:$C$20)</f>
        <v>0.92</v>
      </c>
      <c r="O8" s="1236">
        <f>'103 Hydrogen to Ammonia'!C22</f>
        <v>30</v>
      </c>
      <c r="P8" s="1070">
        <v>3.1536000000000002E-2</v>
      </c>
      <c r="Q8" s="240">
        <f>'103 Hydrogen to Ammonia'!$C$25*7.45*'103 Hydrogen to Ammonia'!$C$32</f>
        <v>12.88145879248305</v>
      </c>
      <c r="R8" s="240">
        <f>'103 Hydrogen to Ammonia'!$C$28*7.45*'103 Hydrogen to Ammonia'!$C$32/1000</f>
        <v>0.38644376377449158</v>
      </c>
      <c r="S8" s="240">
        <f>ROUND('103 Hydrogen to Ammonia'!$C$29*'103 Hydrogen to Ammonia'!$C$32*7.45/3.6,4)</f>
        <v>4.5100000000000001E-2</v>
      </c>
      <c r="T8" s="104">
        <f>'103 Hydrogen to Ammonia'!$C$23</f>
        <v>2</v>
      </c>
      <c r="U8" s="104" t="s">
        <v>1722</v>
      </c>
    </row>
    <row r="9" spans="1:24">
      <c r="B9" s="69"/>
      <c r="C9" s="1232"/>
      <c r="D9" s="69" t="s">
        <v>71</v>
      </c>
      <c r="E9" s="1006"/>
      <c r="F9" s="1006"/>
      <c r="G9" s="1006" t="s">
        <v>216</v>
      </c>
      <c r="H9" s="1006"/>
      <c r="I9" s="1066"/>
      <c r="J9" s="1006"/>
      <c r="K9" s="1070"/>
      <c r="L9" s="1070">
        <f>ROUND('103 Hydrogen to Ammonia'!C13/'103 Hydrogen to Ammonia'!C15*'103 Hydrogen to Ammonia'!$C$32,3)</f>
        <v>7.0000000000000007E-2</v>
      </c>
      <c r="M9" s="1070">
        <f>ROUND(SUM('103 Hydrogen to Ammonia'!C16:C17)/'103 Hydrogen to Ammonia'!C15,3)</f>
        <v>0.17699999999999999</v>
      </c>
      <c r="N9" s="1067"/>
      <c r="O9" s="1069"/>
      <c r="P9" s="1070"/>
      <c r="Q9" s="1067"/>
      <c r="R9" s="1067"/>
      <c r="S9" s="1067"/>
      <c r="T9" s="1006"/>
      <c r="U9" s="1006"/>
    </row>
    <row r="10" spans="1:24">
      <c r="B10" s="1006"/>
      <c r="C10" s="1006"/>
      <c r="D10" s="1006"/>
      <c r="E10" s="1006" t="s">
        <v>1385</v>
      </c>
      <c r="F10" s="1006" t="s">
        <v>315</v>
      </c>
      <c r="G10" s="1006"/>
      <c r="H10" s="1006">
        <v>2030</v>
      </c>
      <c r="I10" s="1066" t="s">
        <v>70</v>
      </c>
      <c r="J10" s="1006"/>
      <c r="K10" s="1235">
        <f>K8</f>
        <v>0.86899999999999999</v>
      </c>
      <c r="L10" s="1070"/>
      <c r="M10" s="1070"/>
      <c r="N10" s="1067">
        <f>1-SUM('103 Hydrogen to Ammonia'!$D$19:$D$20)</f>
        <v>0.94</v>
      </c>
      <c r="O10" s="1069">
        <f>O8</f>
        <v>30</v>
      </c>
      <c r="P10" s="1070">
        <v>3.1536000000000002E-2</v>
      </c>
      <c r="Q10" s="1067">
        <f>'103 Hydrogen to Ammonia'!$D$25*7.45*'103 Hydrogen to Ammonia'!$D$32</f>
        <v>10.535771663599121</v>
      </c>
      <c r="R10" s="1067">
        <f>'103 Hydrogen to Ammonia'!$D$28*7.45*'103 Hydrogen to Ammonia'!$D$32/1000</f>
        <v>0.31607314990797358</v>
      </c>
      <c r="S10" s="1067">
        <f>ROUND('103 Hydrogen to Ammonia'!$D$29*'103 Hydrogen to Ammonia'!$D$32*7.45/3.6,4)</f>
        <v>4.5100000000000001E-2</v>
      </c>
      <c r="T10" s="1006">
        <f>'103 Hydrogen to Ammonia'!$C$23</f>
        <v>2</v>
      </c>
      <c r="U10" s="1006" t="s">
        <v>1722</v>
      </c>
    </row>
    <row r="11" spans="1:24">
      <c r="B11" s="69"/>
      <c r="C11" s="1232"/>
      <c r="D11" s="1232" t="s">
        <v>71</v>
      </c>
      <c r="E11" s="1006"/>
      <c r="F11" s="1006"/>
      <c r="G11" s="1006" t="s">
        <v>216</v>
      </c>
      <c r="H11" s="1006"/>
      <c r="I11" s="1066"/>
      <c r="J11" s="1006"/>
      <c r="K11" s="1235"/>
      <c r="L11" s="1235">
        <f>L9</f>
        <v>7.0000000000000007E-2</v>
      </c>
      <c r="M11" s="1235">
        <f>M9</f>
        <v>0.17699999999999999</v>
      </c>
      <c r="N11" s="1067"/>
      <c r="O11" s="1069"/>
      <c r="P11" s="1070"/>
      <c r="Q11" s="1067"/>
      <c r="R11" s="1067"/>
      <c r="S11" s="1067"/>
      <c r="T11" s="1006"/>
      <c r="U11" s="1006"/>
    </row>
    <row r="12" spans="1:24">
      <c r="B12" s="69"/>
      <c r="C12" s="1232"/>
      <c r="D12" s="69"/>
      <c r="E12" s="1006" t="str">
        <f>E10</f>
        <v>H2</v>
      </c>
      <c r="F12" s="1006" t="str">
        <f>F10</f>
        <v>AMM</v>
      </c>
      <c r="G12" s="1006"/>
      <c r="H12" s="1006">
        <v>2040</v>
      </c>
      <c r="I12" s="1006" t="str">
        <f>I10</f>
        <v>MKr15</v>
      </c>
      <c r="J12" s="1006"/>
      <c r="K12" s="1235">
        <f>K10</f>
        <v>0.86899999999999999</v>
      </c>
      <c r="L12" s="1070"/>
      <c r="M12" s="1070"/>
      <c r="N12" s="1067">
        <f>1-SUM('103 Hydrogen to Ammonia'!$E$19:$E$20)</f>
        <v>0.94</v>
      </c>
      <c r="O12" s="1069">
        <f>O10</f>
        <v>30</v>
      </c>
      <c r="P12" s="1070">
        <v>3.1536000000000002E-2</v>
      </c>
      <c r="Q12" s="1067">
        <f>'103 Hydrogen to Ammonia'!$E$25*7.45*'103 Hydrogen to Ammonia'!$E$32</f>
        <v>8.6172293321524602</v>
      </c>
      <c r="R12" s="1067">
        <f>'103 Hydrogen to Ammonia'!$E$28*7.45*'103 Hydrogen to Ammonia'!$E$32/1000</f>
        <v>0.25851687996457384</v>
      </c>
      <c r="S12" s="1067">
        <f>ROUND('103 Hydrogen to Ammonia'!$E$29*'103 Hydrogen to Ammonia'!$E$32*7.45/3.6,4)</f>
        <v>4.5100000000000001E-2</v>
      </c>
      <c r="T12" s="1006">
        <f>T10</f>
        <v>2</v>
      </c>
      <c r="U12" s="1006" t="s">
        <v>1722</v>
      </c>
    </row>
    <row r="13" spans="1:24">
      <c r="B13" s="69"/>
      <c r="C13" s="1232"/>
      <c r="D13" s="1232" t="s">
        <v>71</v>
      </c>
      <c r="E13" s="1006"/>
      <c r="F13" s="1006"/>
      <c r="G13" s="1006" t="s">
        <v>216</v>
      </c>
      <c r="H13" s="1006"/>
      <c r="I13" s="1006"/>
      <c r="J13" s="1006"/>
      <c r="K13" s="1235"/>
      <c r="L13" s="1235">
        <f>L11</f>
        <v>7.0000000000000007E-2</v>
      </c>
      <c r="M13" s="1235">
        <f>M11</f>
        <v>0.17699999999999999</v>
      </c>
      <c r="N13" s="1067"/>
      <c r="O13" s="1069"/>
      <c r="P13" s="1070"/>
      <c r="Q13" s="1067"/>
      <c r="R13" s="1067"/>
      <c r="S13" s="1067"/>
      <c r="T13" s="1006"/>
      <c r="U13" s="1006"/>
    </row>
    <row r="14" spans="1:24">
      <c r="B14" s="69"/>
      <c r="C14" s="1232"/>
      <c r="D14" s="69"/>
      <c r="E14" s="1006" t="str">
        <f>E12</f>
        <v>H2</v>
      </c>
      <c r="F14" s="1006" t="str">
        <f>F12</f>
        <v>AMM</v>
      </c>
      <c r="G14" s="1006"/>
      <c r="H14" s="1006">
        <v>2050</v>
      </c>
      <c r="I14" s="1006" t="str">
        <f>I12</f>
        <v>MKr15</v>
      </c>
      <c r="J14" s="1006"/>
      <c r="K14" s="1235">
        <f>K12</f>
        <v>0.86899999999999999</v>
      </c>
      <c r="L14" s="1070"/>
      <c r="M14" s="1070"/>
      <c r="N14" s="1067">
        <f>1-SUM('103 Hydrogen to Ammonia'!$F$19:$F$20)</f>
        <v>0.95</v>
      </c>
      <c r="O14" s="1069">
        <f>O12</f>
        <v>30</v>
      </c>
      <c r="P14" s="1070">
        <v>3.1536000000000002E-2</v>
      </c>
      <c r="Q14" s="1067">
        <f>'103 Hydrogen to Ammonia'!$F$25*7.45*'103 Hydrogen to Ammonia'!$F$32</f>
        <v>6.6064027841405961</v>
      </c>
      <c r="R14" s="1067">
        <f>'103 Hydrogen to Ammonia'!$F$28*7.45*'103 Hydrogen to Ammonia'!$F$32/1000</f>
        <v>0.19819208352421788</v>
      </c>
      <c r="S14" s="1067">
        <f>ROUND('103 Hydrogen to Ammonia'!$F$29*'103 Hydrogen to Ammonia'!$F$32*7.45/3.6,4)</f>
        <v>4.5100000000000001E-2</v>
      </c>
      <c r="T14" s="1006">
        <f>T12</f>
        <v>2</v>
      </c>
      <c r="U14" s="1006" t="s">
        <v>1722</v>
      </c>
    </row>
    <row r="15" spans="1:24" ht="15" thickBot="1">
      <c r="B15" s="69"/>
      <c r="C15" s="1232"/>
      <c r="D15" s="1232" t="s">
        <v>71</v>
      </c>
      <c r="E15" s="1006"/>
      <c r="F15" s="1006"/>
      <c r="G15" s="1006" t="s">
        <v>216</v>
      </c>
      <c r="H15" s="1006"/>
      <c r="I15" s="1006"/>
      <c r="J15" s="1006"/>
      <c r="K15" s="1235"/>
      <c r="L15" s="1235">
        <f>L13</f>
        <v>7.0000000000000007E-2</v>
      </c>
      <c r="M15" s="1235">
        <f>M13</f>
        <v>0.17699999999999999</v>
      </c>
      <c r="N15" s="1067"/>
      <c r="O15" s="1070"/>
      <c r="P15" s="1070"/>
      <c r="Q15" s="1067"/>
      <c r="R15" s="1067"/>
      <c r="S15" s="1067"/>
      <c r="T15" s="1006"/>
      <c r="U15" s="1006"/>
    </row>
    <row r="16" spans="1:24">
      <c r="B16" s="104" t="str">
        <f>SUP_Proc!C38</f>
        <v>SUPELCAMM02</v>
      </c>
      <c r="C16" s="104" t="str">
        <f>SUP_Proc!D38</f>
        <v>Ammonia (liquid) by electrolysis technology - Decentral</v>
      </c>
      <c r="D16" s="104"/>
      <c r="E16" s="104" t="s">
        <v>1385</v>
      </c>
      <c r="F16" s="104" t="s">
        <v>315</v>
      </c>
      <c r="G16" s="104"/>
      <c r="H16" s="104">
        <v>2020</v>
      </c>
      <c r="I16" s="239" t="s">
        <v>70</v>
      </c>
      <c r="J16" s="104">
        <v>2022</v>
      </c>
      <c r="K16" s="1234">
        <f>K8</f>
        <v>0.86899999999999999</v>
      </c>
      <c r="L16" s="103"/>
      <c r="M16" s="103"/>
      <c r="N16" s="1234">
        <f>N8</f>
        <v>0.92</v>
      </c>
      <c r="O16" s="1236">
        <f>O8</f>
        <v>30</v>
      </c>
      <c r="P16" s="1234">
        <f>P8</f>
        <v>3.1536000000000002E-2</v>
      </c>
      <c r="Q16" s="240">
        <f>Q8</f>
        <v>12.88145879248305</v>
      </c>
      <c r="R16" s="240">
        <f>'103 Hydrogen to Ammonia'!$C$28*7.45*'103 Hydrogen to Ammonia'!$C$32/1000</f>
        <v>0.38644376377449158</v>
      </c>
      <c r="S16" s="240">
        <f>ROUND('103 Hydrogen to Ammonia'!$C$29*'103 Hydrogen to Ammonia'!$C$32*7.45/3.6,4)</f>
        <v>4.5100000000000001E-2</v>
      </c>
      <c r="T16" s="104">
        <f>'103 Hydrogen to Ammonia'!$C$23</f>
        <v>2</v>
      </c>
      <c r="U16" s="104" t="s">
        <v>1722</v>
      </c>
    </row>
    <row r="17" spans="2:21">
      <c r="B17" s="1232"/>
      <c r="C17" s="1232"/>
      <c r="D17" s="1232" t="s">
        <v>71</v>
      </c>
      <c r="E17" s="1006"/>
      <c r="F17" s="1006"/>
      <c r="G17" s="1006" t="s">
        <v>259</v>
      </c>
      <c r="H17" s="1006"/>
      <c r="I17" s="1066"/>
      <c r="J17" s="1006"/>
      <c r="K17" s="1070"/>
      <c r="L17" s="1070">
        <f>L9</f>
        <v>7.0000000000000007E-2</v>
      </c>
      <c r="M17" s="1070">
        <f>M9</f>
        <v>0.17699999999999999</v>
      </c>
      <c r="N17" s="1067"/>
      <c r="O17" s="1069"/>
      <c r="P17" s="1006"/>
      <c r="Q17" s="1067"/>
      <c r="R17" s="1067"/>
      <c r="S17" s="1067"/>
      <c r="T17" s="1006"/>
      <c r="U17" s="1006"/>
    </row>
    <row r="18" spans="2:21">
      <c r="B18" s="1006"/>
      <c r="C18" s="1006"/>
      <c r="D18" s="1006"/>
      <c r="E18" s="1006" t="s">
        <v>1385</v>
      </c>
      <c r="F18" s="1006" t="s">
        <v>315</v>
      </c>
      <c r="G18" s="1006"/>
      <c r="H18" s="1006">
        <v>2030</v>
      </c>
      <c r="I18" s="1066" t="s">
        <v>70</v>
      </c>
      <c r="J18" s="1006"/>
      <c r="K18" s="1235">
        <f>K16</f>
        <v>0.86899999999999999</v>
      </c>
      <c r="L18" s="1070"/>
      <c r="M18" s="1070"/>
      <c r="N18" s="1070">
        <f>N10</f>
        <v>0.94</v>
      </c>
      <c r="O18" s="1069">
        <f>O16</f>
        <v>30</v>
      </c>
      <c r="P18" s="1070">
        <f>P10</f>
        <v>3.1536000000000002E-2</v>
      </c>
      <c r="Q18" s="1067">
        <f>'103 Hydrogen to Ammonia'!$D$25*7.45*'103 Hydrogen to Ammonia'!$D$32</f>
        <v>10.535771663599121</v>
      </c>
      <c r="R18" s="1067">
        <f>'103 Hydrogen to Ammonia'!$D$28*7.45*'103 Hydrogen to Ammonia'!$D$32/1000</f>
        <v>0.31607314990797358</v>
      </c>
      <c r="S18" s="1067">
        <f>ROUND('103 Hydrogen to Ammonia'!$D$29*'103 Hydrogen to Ammonia'!$D$32*7.45/3.6,4)</f>
        <v>4.5100000000000001E-2</v>
      </c>
      <c r="T18" s="1006">
        <f>'103 Hydrogen to Ammonia'!$C$23</f>
        <v>2</v>
      </c>
      <c r="U18" s="1006" t="s">
        <v>1722</v>
      </c>
    </row>
    <row r="19" spans="2:21">
      <c r="B19" s="1232"/>
      <c r="C19" s="1232"/>
      <c r="D19" s="1232" t="s">
        <v>71</v>
      </c>
      <c r="E19" s="1006"/>
      <c r="F19" s="1006"/>
      <c r="G19" s="1006" t="s">
        <v>259</v>
      </c>
      <c r="H19" s="1006"/>
      <c r="I19" s="1066"/>
      <c r="J19" s="1006"/>
      <c r="K19" s="1235"/>
      <c r="L19" s="1235">
        <f>L17</f>
        <v>7.0000000000000007E-2</v>
      </c>
      <c r="M19" s="1235">
        <f>M17</f>
        <v>0.17699999999999999</v>
      </c>
      <c r="N19" s="1067"/>
      <c r="O19" s="1069"/>
      <c r="P19" s="1006"/>
      <c r="Q19" s="1067"/>
      <c r="R19" s="1067"/>
      <c r="S19" s="1067"/>
      <c r="T19" s="1006"/>
      <c r="U19" s="1006"/>
    </row>
    <row r="20" spans="2:21">
      <c r="B20" s="1232"/>
      <c r="C20" s="1232"/>
      <c r="D20" s="1232"/>
      <c r="E20" s="1006" t="str">
        <f>E18</f>
        <v>H2</v>
      </c>
      <c r="F20" s="1006" t="str">
        <f>F18</f>
        <v>AMM</v>
      </c>
      <c r="G20" s="1006"/>
      <c r="H20" s="1006">
        <v>2040</v>
      </c>
      <c r="I20" s="1006" t="str">
        <f>I18</f>
        <v>MKr15</v>
      </c>
      <c r="J20" s="1006"/>
      <c r="K20" s="1235">
        <f>K18</f>
        <v>0.86899999999999999</v>
      </c>
      <c r="L20" s="1070"/>
      <c r="M20" s="1070"/>
      <c r="N20" s="1070">
        <f>N12</f>
        <v>0.94</v>
      </c>
      <c r="O20" s="1069">
        <f>O18</f>
        <v>30</v>
      </c>
      <c r="P20" s="1070">
        <f>P12</f>
        <v>3.1536000000000002E-2</v>
      </c>
      <c r="Q20" s="1067">
        <f>'103 Hydrogen to Ammonia'!$E$25*7.45*'103 Hydrogen to Ammonia'!$E$32</f>
        <v>8.6172293321524602</v>
      </c>
      <c r="R20" s="1067">
        <f>'103 Hydrogen to Ammonia'!$E$28*7.45*'103 Hydrogen to Ammonia'!$E$32/1000</f>
        <v>0.25851687996457384</v>
      </c>
      <c r="S20" s="1067">
        <f>ROUND('103 Hydrogen to Ammonia'!$E$29*'103 Hydrogen to Ammonia'!$E$32*7.45/3.6,4)</f>
        <v>4.5100000000000001E-2</v>
      </c>
      <c r="T20" s="1006">
        <f>T18</f>
        <v>2</v>
      </c>
      <c r="U20" s="1006" t="s">
        <v>1722</v>
      </c>
    </row>
    <row r="21" spans="2:21">
      <c r="B21" s="1232"/>
      <c r="C21" s="1232"/>
      <c r="D21" s="1232" t="s">
        <v>71</v>
      </c>
      <c r="E21" s="1006"/>
      <c r="F21" s="1006"/>
      <c r="G21" s="1006" t="s">
        <v>259</v>
      </c>
      <c r="H21" s="1006"/>
      <c r="I21" s="1006"/>
      <c r="J21" s="1006"/>
      <c r="K21" s="1235"/>
      <c r="L21" s="1235">
        <f>L19</f>
        <v>7.0000000000000007E-2</v>
      </c>
      <c r="M21" s="1235">
        <f>M19</f>
        <v>0.17699999999999999</v>
      </c>
      <c r="N21" s="1067"/>
      <c r="O21" s="1069"/>
      <c r="P21" s="1006"/>
      <c r="Q21" s="1067"/>
      <c r="R21" s="1067"/>
      <c r="S21" s="1067"/>
      <c r="T21" s="1006"/>
      <c r="U21" s="1006"/>
    </row>
    <row r="22" spans="2:21">
      <c r="B22" s="1232"/>
      <c r="C22" s="1232"/>
      <c r="D22" s="1232"/>
      <c r="E22" s="1006" t="str">
        <f>E20</f>
        <v>H2</v>
      </c>
      <c r="F22" s="1006" t="str">
        <f>F20</f>
        <v>AMM</v>
      </c>
      <c r="G22" s="1006"/>
      <c r="H22" s="1006">
        <v>2050</v>
      </c>
      <c r="I22" s="1006" t="str">
        <f>I20</f>
        <v>MKr15</v>
      </c>
      <c r="J22" s="1006"/>
      <c r="K22" s="1235">
        <f>K20</f>
        <v>0.86899999999999999</v>
      </c>
      <c r="L22" s="1070"/>
      <c r="M22" s="1070"/>
      <c r="N22" s="1070">
        <f>N14</f>
        <v>0.95</v>
      </c>
      <c r="O22" s="1069">
        <f>O20</f>
        <v>30</v>
      </c>
      <c r="P22" s="1070">
        <f>P14</f>
        <v>3.1536000000000002E-2</v>
      </c>
      <c r="Q22" s="1067">
        <f>'103 Hydrogen to Ammonia'!$F$25*7.45*'103 Hydrogen to Ammonia'!$F$32</f>
        <v>6.6064027841405961</v>
      </c>
      <c r="R22" s="1067">
        <f>'103 Hydrogen to Ammonia'!$F$28*7.45*'103 Hydrogen to Ammonia'!$F$32/1000</f>
        <v>0.19819208352421788</v>
      </c>
      <c r="S22" s="1067">
        <f>ROUND('103 Hydrogen to Ammonia'!$F$29*'103 Hydrogen to Ammonia'!$F$32*7.45/3.6,4)</f>
        <v>4.5100000000000001E-2</v>
      </c>
      <c r="T22" s="1006">
        <f>T20</f>
        <v>2</v>
      </c>
      <c r="U22" s="1006" t="s">
        <v>1722</v>
      </c>
    </row>
    <row r="23" spans="2:21" ht="15" thickBot="1">
      <c r="B23" s="1232"/>
      <c r="C23" s="1232"/>
      <c r="D23" s="1232" t="s">
        <v>71</v>
      </c>
      <c r="E23" s="1006"/>
      <c r="F23" s="1006"/>
      <c r="G23" s="1006" t="s">
        <v>259</v>
      </c>
      <c r="H23" s="1006"/>
      <c r="I23" s="1006"/>
      <c r="J23" s="1006"/>
      <c r="K23" s="1235"/>
      <c r="L23" s="1235">
        <f>L21</f>
        <v>7.0000000000000007E-2</v>
      </c>
      <c r="M23" s="1235">
        <f>M21</f>
        <v>0.17699999999999999</v>
      </c>
      <c r="N23" s="1067"/>
      <c r="O23" s="1070"/>
      <c r="P23" s="1006"/>
      <c r="Q23" s="1067"/>
      <c r="R23" s="1067"/>
      <c r="S23" s="1067"/>
      <c r="T23" s="1006"/>
      <c r="U23" s="1006"/>
    </row>
    <row r="24" spans="2:21">
      <c r="B24" s="104" t="str">
        <f>SUP_Proc!C39</f>
        <v>SUPELCAMM03</v>
      </c>
      <c r="C24" s="104" t="str">
        <f>SUP_Proc!D39</f>
        <v>Ammonia (liquid) by electrolysis technology - Rural</v>
      </c>
      <c r="D24" s="104"/>
      <c r="E24" s="104" t="s">
        <v>1385</v>
      </c>
      <c r="F24" s="104" t="s">
        <v>315</v>
      </c>
      <c r="G24" s="104"/>
      <c r="H24" s="104">
        <v>2020</v>
      </c>
      <c r="I24" s="239" t="s">
        <v>70</v>
      </c>
      <c r="J24" s="104">
        <v>2022</v>
      </c>
      <c r="K24" s="1234">
        <f>K16</f>
        <v>0.86899999999999999</v>
      </c>
      <c r="L24" s="103"/>
      <c r="M24" s="103"/>
      <c r="N24" s="1234">
        <f>N16</f>
        <v>0.92</v>
      </c>
      <c r="O24" s="1236">
        <f>O16</f>
        <v>30</v>
      </c>
      <c r="P24" s="1234">
        <f>P16</f>
        <v>3.1536000000000002E-2</v>
      </c>
      <c r="Q24" s="240">
        <f>'103 Hydrogen to Ammonia'!$C$25*7.45*'103 Hydrogen to Ammonia'!$C$32</f>
        <v>12.88145879248305</v>
      </c>
      <c r="R24" s="240">
        <f>'103 Hydrogen to Ammonia'!$C$28*7.45*'103 Hydrogen to Ammonia'!$C$32/1000</f>
        <v>0.38644376377449158</v>
      </c>
      <c r="S24" s="240">
        <f>ROUND('103 Hydrogen to Ammonia'!$C$29*'103 Hydrogen to Ammonia'!$C$32*7.45/3.6,4)</f>
        <v>4.5100000000000001E-2</v>
      </c>
      <c r="T24" s="104">
        <f>'103 Hydrogen to Ammonia'!$C$23</f>
        <v>2</v>
      </c>
      <c r="U24" s="104" t="s">
        <v>1722</v>
      </c>
    </row>
    <row r="25" spans="2:21">
      <c r="B25" s="1232"/>
      <c r="C25" s="1232"/>
      <c r="D25" s="1232" t="s">
        <v>71</v>
      </c>
      <c r="E25" s="1006"/>
      <c r="F25" s="1006"/>
      <c r="G25" s="1006"/>
      <c r="H25" s="1006"/>
      <c r="I25" s="1066"/>
      <c r="J25" s="1006"/>
      <c r="K25" s="1070"/>
      <c r="L25" s="1070">
        <f>L17</f>
        <v>7.0000000000000007E-2</v>
      </c>
      <c r="M25" s="1070"/>
      <c r="N25" s="1067"/>
      <c r="O25" s="1069"/>
      <c r="P25" s="1006"/>
      <c r="Q25" s="1067"/>
      <c r="R25" s="1067"/>
      <c r="S25" s="1067"/>
      <c r="T25" s="1006"/>
      <c r="U25" s="1006"/>
    </row>
    <row r="26" spans="2:21">
      <c r="B26" s="1006"/>
      <c r="C26" s="1006"/>
      <c r="D26" s="1006"/>
      <c r="E26" s="1006" t="s">
        <v>1385</v>
      </c>
      <c r="F26" s="1006" t="s">
        <v>315</v>
      </c>
      <c r="G26" s="1006"/>
      <c r="H26" s="1006">
        <v>2030</v>
      </c>
      <c r="I26" s="1066" t="s">
        <v>70</v>
      </c>
      <c r="J26" s="1006"/>
      <c r="K26" s="1235">
        <f>K24</f>
        <v>0.86899999999999999</v>
      </c>
      <c r="L26" s="1070"/>
      <c r="M26" s="1070"/>
      <c r="N26" s="1070">
        <f>N18</f>
        <v>0.94</v>
      </c>
      <c r="O26" s="1069">
        <f>O24</f>
        <v>30</v>
      </c>
      <c r="P26" s="1070">
        <f>P18</f>
        <v>3.1536000000000002E-2</v>
      </c>
      <c r="Q26" s="1067">
        <f>'103 Hydrogen to Ammonia'!$D$25*7.45*'103 Hydrogen to Ammonia'!$D$32</f>
        <v>10.535771663599121</v>
      </c>
      <c r="R26" s="1067">
        <f>'103 Hydrogen to Ammonia'!$D$28*7.45*'103 Hydrogen to Ammonia'!$D$32/1000</f>
        <v>0.31607314990797358</v>
      </c>
      <c r="S26" s="1067">
        <f>ROUND('103 Hydrogen to Ammonia'!$D$29*'103 Hydrogen to Ammonia'!$D$32*7.45/3.6,4)</f>
        <v>4.5100000000000001E-2</v>
      </c>
      <c r="T26" s="1006">
        <f>'103 Hydrogen to Ammonia'!$C$23</f>
        <v>2</v>
      </c>
      <c r="U26" s="1006" t="s">
        <v>1722</v>
      </c>
    </row>
    <row r="27" spans="2:21">
      <c r="B27" s="1232"/>
      <c r="C27" s="1232"/>
      <c r="D27" s="1232" t="s">
        <v>71</v>
      </c>
      <c r="E27" s="1006"/>
      <c r="F27" s="1006"/>
      <c r="G27" s="1006"/>
      <c r="H27" s="1006"/>
      <c r="I27" s="1066"/>
      <c r="J27" s="1006"/>
      <c r="K27" s="1235"/>
      <c r="L27" s="1235">
        <f>L25</f>
        <v>7.0000000000000007E-2</v>
      </c>
      <c r="M27" s="1235"/>
      <c r="N27" s="1067"/>
      <c r="O27" s="1069"/>
      <c r="P27" s="1006"/>
      <c r="Q27" s="1067"/>
      <c r="R27" s="1067"/>
      <c r="S27" s="1067"/>
      <c r="T27" s="1006"/>
      <c r="U27" s="1006"/>
    </row>
    <row r="28" spans="2:21">
      <c r="B28" s="1232"/>
      <c r="C28" s="1232"/>
      <c r="D28" s="1232"/>
      <c r="E28" s="1006" t="str">
        <f>E26</f>
        <v>H2</v>
      </c>
      <c r="F28" s="1006" t="str">
        <f>F26</f>
        <v>AMM</v>
      </c>
      <c r="G28" s="1006"/>
      <c r="H28" s="1006">
        <v>2040</v>
      </c>
      <c r="I28" s="1006" t="str">
        <f>I26</f>
        <v>MKr15</v>
      </c>
      <c r="J28" s="1006"/>
      <c r="K28" s="1235">
        <f>K26</f>
        <v>0.86899999999999999</v>
      </c>
      <c r="L28" s="1070"/>
      <c r="M28" s="1070"/>
      <c r="N28" s="1070">
        <f>N20</f>
        <v>0.94</v>
      </c>
      <c r="O28" s="1069">
        <f>O26</f>
        <v>30</v>
      </c>
      <c r="P28" s="1070">
        <f>P20</f>
        <v>3.1536000000000002E-2</v>
      </c>
      <c r="Q28" s="1067">
        <f>'103 Hydrogen to Ammonia'!$E$25*7.45*'103 Hydrogen to Ammonia'!$E$32</f>
        <v>8.6172293321524602</v>
      </c>
      <c r="R28" s="1067">
        <f>'103 Hydrogen to Ammonia'!$E$28*7.45*'103 Hydrogen to Ammonia'!$E$32/1000</f>
        <v>0.25851687996457384</v>
      </c>
      <c r="S28" s="1067">
        <f>ROUND('103 Hydrogen to Ammonia'!$E$29*'103 Hydrogen to Ammonia'!$E$32*7.45/3.6,4)</f>
        <v>4.5100000000000001E-2</v>
      </c>
      <c r="T28" s="1006">
        <f>T26</f>
        <v>2</v>
      </c>
      <c r="U28" s="1006" t="s">
        <v>1722</v>
      </c>
    </row>
    <row r="29" spans="2:21">
      <c r="B29" s="1232"/>
      <c r="C29" s="1232"/>
      <c r="D29" s="1232" t="s">
        <v>71</v>
      </c>
      <c r="E29" s="1006"/>
      <c r="F29" s="1006"/>
      <c r="G29" s="1006"/>
      <c r="H29" s="1006"/>
      <c r="I29" s="1006"/>
      <c r="J29" s="1006"/>
      <c r="K29" s="1235"/>
      <c r="L29" s="1235">
        <f>L27</f>
        <v>7.0000000000000007E-2</v>
      </c>
      <c r="M29" s="1235"/>
      <c r="N29" s="1067"/>
      <c r="O29" s="1069"/>
      <c r="P29" s="1006"/>
      <c r="Q29" s="1067"/>
      <c r="R29" s="1067"/>
      <c r="S29" s="1067"/>
      <c r="T29" s="1006"/>
      <c r="U29" s="1006"/>
    </row>
    <row r="30" spans="2:21">
      <c r="B30" s="1232"/>
      <c r="C30" s="1232"/>
      <c r="D30" s="1232"/>
      <c r="E30" s="1006" t="str">
        <f>E28</f>
        <v>H2</v>
      </c>
      <c r="F30" s="1006" t="str">
        <f>F28</f>
        <v>AMM</v>
      </c>
      <c r="G30" s="1006"/>
      <c r="H30" s="1006">
        <v>2050</v>
      </c>
      <c r="I30" s="1006" t="str">
        <f>I28</f>
        <v>MKr15</v>
      </c>
      <c r="J30" s="1006"/>
      <c r="K30" s="1235">
        <f>K28</f>
        <v>0.86899999999999999</v>
      </c>
      <c r="L30" s="1070"/>
      <c r="M30" s="1070"/>
      <c r="N30" s="1070">
        <f>N22</f>
        <v>0.95</v>
      </c>
      <c r="O30" s="1069">
        <f>O28</f>
        <v>30</v>
      </c>
      <c r="P30" s="1070">
        <f>P22</f>
        <v>3.1536000000000002E-2</v>
      </c>
      <c r="Q30" s="1067">
        <f>'103 Hydrogen to Ammonia'!$F$25*7.45*'103 Hydrogen to Ammonia'!$F$32</f>
        <v>6.6064027841405961</v>
      </c>
      <c r="R30" s="1067">
        <f>'103 Hydrogen to Ammonia'!$F$28*7.45*'103 Hydrogen to Ammonia'!$F$32/1000</f>
        <v>0.19819208352421788</v>
      </c>
      <c r="S30" s="1067">
        <f>ROUND('103 Hydrogen to Ammonia'!$F$29*'103 Hydrogen to Ammonia'!$F$32*7.45/3.6,4)</f>
        <v>4.5100000000000001E-2</v>
      </c>
      <c r="T30" s="1006">
        <f>T28</f>
        <v>2</v>
      </c>
      <c r="U30" s="1006" t="s">
        <v>1722</v>
      </c>
    </row>
    <row r="31" spans="2:21">
      <c r="B31" s="1232"/>
      <c r="C31" s="1232"/>
      <c r="D31" s="1232" t="s">
        <v>71</v>
      </c>
      <c r="E31" s="1006"/>
      <c r="F31" s="1006"/>
      <c r="G31" s="1006"/>
      <c r="H31" s="1006"/>
      <c r="I31" s="1006"/>
      <c r="J31" s="1006"/>
      <c r="K31" s="1235"/>
      <c r="L31" s="1235">
        <f>L29</f>
        <v>7.0000000000000007E-2</v>
      </c>
      <c r="M31" s="1235"/>
      <c r="N31" s="1067"/>
      <c r="O31" s="1070"/>
      <c r="P31" s="1006"/>
      <c r="Q31" s="1006"/>
      <c r="R31" s="1006"/>
      <c r="S31" s="1006"/>
      <c r="T31" s="1006"/>
      <c r="U31" s="1006"/>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C82CC-F588-4663-82B1-EDE23E96E100}">
  <sheetPr>
    <tabColor theme="6" tint="0.39997558519241921"/>
  </sheetPr>
  <dimension ref="A1:Z395"/>
  <sheetViews>
    <sheetView topLeftCell="N2" zoomScale="85" zoomScaleNormal="85" workbookViewId="0">
      <selection activeCell="T7" sqref="T7"/>
    </sheetView>
  </sheetViews>
  <sheetFormatPr defaultRowHeight="14.4"/>
  <cols>
    <col min="3" max="3" width="16.109375" bestFit="1" customWidth="1"/>
    <col min="4" max="4" width="43.5546875" bestFit="1" customWidth="1"/>
    <col min="5" max="5" width="15.88671875" bestFit="1" customWidth="1"/>
    <col min="6" max="6" width="11.109375" bestFit="1" customWidth="1"/>
    <col min="7" max="7" width="13.109375" bestFit="1" customWidth="1"/>
    <col min="11" max="12" width="9.44140625" bestFit="1" customWidth="1"/>
    <col min="13" max="13" width="10.44140625" bestFit="1" customWidth="1"/>
    <col min="14" max="14" width="9.44140625" customWidth="1"/>
    <col min="15" max="15" width="9.44140625" bestFit="1" customWidth="1"/>
    <col min="16" max="16" width="10.5546875" bestFit="1" customWidth="1"/>
    <col min="17" max="17" width="10.33203125" bestFit="1" customWidth="1"/>
    <col min="18" max="18" width="9.44140625" bestFit="1" customWidth="1"/>
    <col min="19" max="19" width="9.5546875" bestFit="1" customWidth="1"/>
    <col min="20" max="20" width="9.5546875" customWidth="1"/>
    <col min="22" max="22" width="23.44140625" bestFit="1" customWidth="1"/>
  </cols>
  <sheetData>
    <row r="1" spans="1:25">
      <c r="N1" s="6"/>
    </row>
    <row r="2" spans="1:25" ht="25.8">
      <c r="A2" s="1057"/>
      <c r="C2" s="1057" t="s">
        <v>1758</v>
      </c>
      <c r="N2" s="6"/>
    </row>
    <row r="3" spans="1:25" ht="25.8">
      <c r="A3" s="1057"/>
      <c r="N3" s="6"/>
    </row>
    <row r="4" spans="1:25">
      <c r="C4" s="7"/>
      <c r="D4" s="7"/>
      <c r="E4" s="7"/>
      <c r="F4" s="7"/>
      <c r="G4" s="8"/>
      <c r="H4" s="7"/>
      <c r="I4" s="9" t="s">
        <v>0</v>
      </c>
      <c r="J4" s="7"/>
      <c r="K4" s="7"/>
      <c r="L4" s="7"/>
      <c r="M4" s="7"/>
      <c r="N4" s="7"/>
      <c r="O4" s="7"/>
      <c r="P4" s="7"/>
      <c r="Q4" s="7"/>
      <c r="R4" s="7"/>
      <c r="S4" s="7"/>
      <c r="T4" s="7"/>
      <c r="U4" s="7"/>
      <c r="V4" s="7"/>
      <c r="W4" s="7"/>
      <c r="X4" s="7"/>
      <c r="Y4" s="8"/>
    </row>
    <row r="5" spans="1:25" ht="43.2">
      <c r="C5" s="10" t="s">
        <v>2</v>
      </c>
      <c r="D5" s="11" t="s">
        <v>31</v>
      </c>
      <c r="E5" s="11" t="s">
        <v>32</v>
      </c>
      <c r="F5" s="11" t="s">
        <v>3</v>
      </c>
      <c r="G5" s="11" t="s">
        <v>33</v>
      </c>
      <c r="H5" s="11" t="s">
        <v>34</v>
      </c>
      <c r="I5" s="11" t="s">
        <v>35</v>
      </c>
      <c r="J5" s="11" t="s">
        <v>4</v>
      </c>
      <c r="K5" s="11" t="s">
        <v>36</v>
      </c>
      <c r="L5" s="11" t="s">
        <v>37</v>
      </c>
      <c r="M5" s="11" t="s">
        <v>5</v>
      </c>
      <c r="N5" s="11" t="s">
        <v>6</v>
      </c>
      <c r="O5" s="11" t="s">
        <v>7</v>
      </c>
      <c r="P5" s="11" t="s">
        <v>8</v>
      </c>
      <c r="Q5" s="11" t="s">
        <v>38</v>
      </c>
      <c r="R5" s="11" t="s">
        <v>9</v>
      </c>
      <c r="S5" s="12" t="s">
        <v>39</v>
      </c>
      <c r="T5" s="12" t="s">
        <v>1775</v>
      </c>
      <c r="U5" s="11" t="s">
        <v>40</v>
      </c>
      <c r="V5" s="11" t="s">
        <v>41</v>
      </c>
      <c r="W5" s="11" t="str">
        <f>"*"&amp;E5</f>
        <v>*Comm-IN</v>
      </c>
      <c r="X5" s="11" t="str">
        <f>"*"&amp;F5</f>
        <v>*Comm-OUT</v>
      </c>
      <c r="Y5" s="11" t="str">
        <f>"*"&amp;G5</f>
        <v>*Comm-OUT-A</v>
      </c>
    </row>
    <row r="6" spans="1:25" ht="57" customHeight="1" thickBot="1">
      <c r="C6" s="13" t="s">
        <v>42</v>
      </c>
      <c r="D6" s="13"/>
      <c r="E6" s="13" t="s">
        <v>43</v>
      </c>
      <c r="F6" s="13" t="s">
        <v>44</v>
      </c>
      <c r="G6" s="13" t="s">
        <v>45</v>
      </c>
      <c r="H6" s="13" t="s">
        <v>46</v>
      </c>
      <c r="I6" s="13"/>
      <c r="J6" s="13"/>
      <c r="K6" s="13" t="s">
        <v>47</v>
      </c>
      <c r="L6" s="13" t="s">
        <v>48</v>
      </c>
      <c r="M6" s="13" t="s">
        <v>49</v>
      </c>
      <c r="N6" s="13" t="s">
        <v>50</v>
      </c>
      <c r="O6" s="13" t="s">
        <v>51</v>
      </c>
      <c r="P6" s="13"/>
      <c r="Q6" s="13" t="s">
        <v>52</v>
      </c>
      <c r="R6" s="13" t="s">
        <v>53</v>
      </c>
      <c r="S6" s="14" t="s">
        <v>54</v>
      </c>
      <c r="T6" s="1075"/>
      <c r="U6" s="13" t="s">
        <v>55</v>
      </c>
      <c r="V6" s="13" t="s">
        <v>56</v>
      </c>
      <c r="W6" s="13"/>
      <c r="X6" s="13"/>
      <c r="Y6" s="13"/>
    </row>
    <row r="7" spans="1:25" ht="56.25" customHeight="1" thickBot="1">
      <c r="C7" s="13" t="s">
        <v>42</v>
      </c>
      <c r="D7" s="13"/>
      <c r="E7" s="13"/>
      <c r="F7" s="13"/>
      <c r="G7" s="13"/>
      <c r="H7" s="13"/>
      <c r="I7" s="13"/>
      <c r="J7" s="13"/>
      <c r="K7" s="13"/>
      <c r="L7" s="13"/>
      <c r="M7" s="13"/>
      <c r="N7" s="13"/>
      <c r="O7" s="13"/>
      <c r="P7" s="13"/>
      <c r="Q7" s="13" t="str">
        <f>'95 Cellulosic ethanol'!C15</f>
        <v>Planned outage (weeks per year)</v>
      </c>
      <c r="R7" s="13"/>
      <c r="S7" s="14"/>
      <c r="T7" s="1075"/>
      <c r="U7" s="13"/>
      <c r="V7" s="13"/>
      <c r="W7" s="13"/>
      <c r="X7" s="13"/>
      <c r="Y7" s="13"/>
    </row>
    <row r="8" spans="1:25" ht="47.25" customHeight="1" thickBot="1">
      <c r="C8" s="13" t="s">
        <v>57</v>
      </c>
      <c r="D8" s="13"/>
      <c r="E8" s="13"/>
      <c r="F8" s="13"/>
      <c r="G8" s="13"/>
      <c r="H8" s="13"/>
      <c r="I8" s="13"/>
      <c r="J8" s="13"/>
      <c r="K8" s="13"/>
      <c r="L8" s="13"/>
      <c r="M8" s="13" t="s">
        <v>58</v>
      </c>
      <c r="N8" s="13" t="str">
        <f>LEFT('95 Cellulosic ethanol'!C19,27)</f>
        <v>Specific investment (M€ /MW</v>
      </c>
      <c r="O8" s="13" t="str">
        <f>LEFT('95 Cellulosic ethanol'!C22,17)</f>
        <v>Fixed O&amp;M (M€ /MW</v>
      </c>
      <c r="P8" s="13" t="str">
        <f>LEFT('95 Cellulosic ethanol'!C23,19)</f>
        <v>Variable O&amp;M (€ /MW</v>
      </c>
      <c r="Q8" s="13" t="s">
        <v>59</v>
      </c>
      <c r="R8" s="13"/>
      <c r="S8" s="13" t="s">
        <v>60</v>
      </c>
      <c r="T8" s="13"/>
      <c r="U8" s="13"/>
      <c r="V8" s="13"/>
      <c r="W8" s="13"/>
      <c r="X8" s="13"/>
      <c r="Y8" s="13"/>
    </row>
    <row r="9" spans="1:25" ht="15" thickBot="1">
      <c r="C9" s="15" t="s">
        <v>42</v>
      </c>
      <c r="D9" s="15"/>
      <c r="E9" s="15"/>
      <c r="F9" s="15"/>
      <c r="G9" s="15"/>
      <c r="H9" s="15"/>
      <c r="I9" s="15"/>
      <c r="J9" s="15"/>
      <c r="K9" s="15" t="s">
        <v>61</v>
      </c>
      <c r="L9" s="15" t="s">
        <v>61</v>
      </c>
      <c r="M9" s="15" t="s">
        <v>62</v>
      </c>
      <c r="N9" s="15" t="s">
        <v>63</v>
      </c>
      <c r="O9" s="15" t="s">
        <v>64</v>
      </c>
      <c r="P9" s="15" t="s">
        <v>65</v>
      </c>
      <c r="Q9" s="15" t="s">
        <v>66</v>
      </c>
      <c r="R9" s="15"/>
      <c r="S9" s="16" t="s">
        <v>67</v>
      </c>
      <c r="T9" s="16"/>
      <c r="U9" s="15"/>
      <c r="V9" s="15"/>
      <c r="W9" s="15"/>
      <c r="X9" s="15"/>
      <c r="Y9" s="15"/>
    </row>
    <row r="10" spans="1:25" ht="15.6">
      <c r="C10" s="54" t="str">
        <f>"SUP"&amp;F10&amp;RIGHT(E10,3)&amp;IF(RIGHT(D10,7)="Central","C3","D3")</f>
        <v>SUPDSB2WCHC3</v>
      </c>
      <c r="D10" s="57" t="str">
        <f>sheet8&amp;" Central"</f>
        <v>Gasifier, biomass, Fischer Tropsch liquid fuels, large scale Central</v>
      </c>
      <c r="E10" s="17" t="s">
        <v>68</v>
      </c>
      <c r="F10" s="17" t="s">
        <v>86</v>
      </c>
      <c r="G10" s="17"/>
      <c r="H10" s="17" t="s">
        <v>70</v>
      </c>
      <c r="I10" s="17">
        <f>'93 1st generation ethanol'!$D$3</f>
        <v>2015</v>
      </c>
      <c r="J10" s="19">
        <v>2025</v>
      </c>
      <c r="K10" s="33">
        <f>1/'85 Gasif Ent Flow FT liq fu'!$D$14</f>
        <v>10.020040080160321</v>
      </c>
      <c r="L10" s="33"/>
      <c r="M10" s="34">
        <f>'85 Gasif Ent Flow FT liq fu'!$D$19</f>
        <v>20</v>
      </c>
      <c r="N10" s="35" cm="1">
        <f t="array" ref="N10">'85 Gasif Ent Flow FT liq fu'!$D$22*(SUM('85 Gasif Ent Flow FT liq fu'!$D$12:$D$14/'85 Gasif Ent Flow FT liq fu'!$D$14))*7.45</f>
        <v>81.467914183345044</v>
      </c>
      <c r="O10" s="35" cm="1">
        <f t="array" ref="O10">'85 Gasif Ent Flow FT liq fu'!$D$25*(SUM('85 Gasif Ent Flow FT liq fu'!$D$12:$D$14/'85 Gasif Ent Flow FT liq fu'!$D$14))*7.45</f>
        <v>1.9552299404002813</v>
      </c>
      <c r="P10" s="35" cm="1">
        <f t="array" ref="P10">'85 Gasif Ent Flow FT liq fu'!$D$26*(SUM('85 Gasif Ent Flow FT liq fu'!$D$12:$D$14/'85 Gasif Ent Flow FT liq fu'!$D$14))*7.454/3.6</f>
        <v>5.5576128644538185</v>
      </c>
      <c r="Q10" s="33">
        <f>1-'85 Gasif Ent Flow FT liq fu'!$D$17/100</f>
        <v>0.96</v>
      </c>
      <c r="R10" s="36">
        <f>$R$39</f>
        <v>3.1536000000000002E-2</v>
      </c>
      <c r="S10" s="34">
        <v>2</v>
      </c>
      <c r="T10" s="34"/>
      <c r="U10" s="37"/>
      <c r="V10" s="38" t="s">
        <v>74</v>
      </c>
      <c r="W10" s="17" t="str">
        <f>'85 Gasif Ent Flow FT liq fu'!B10</f>
        <v>Feedstock Consumption, MWh/MWh Total Input</v>
      </c>
      <c r="X10" s="17" t="str">
        <f>'85 Gasif Ent Flow FT liq fu'!B12</f>
        <v>Naphta Output, MWh/MWh Total Input</v>
      </c>
      <c r="Y10" s="17"/>
    </row>
    <row r="11" spans="1:25">
      <c r="C11" s="43"/>
      <c r="D11" s="43"/>
      <c r="E11" s="43"/>
      <c r="F11" s="43"/>
      <c r="G11" s="43" t="s">
        <v>76</v>
      </c>
      <c r="H11" s="43"/>
      <c r="I11" s="43"/>
      <c r="J11" s="43"/>
      <c r="K11" s="43"/>
      <c r="L11" s="84">
        <f>'85 Gasif Ent Flow FT liq fu'!$D$12/'85 Gasif Ent Flow FT liq fu'!$D$14</f>
        <v>1.3787575150300602</v>
      </c>
      <c r="M11" s="43"/>
      <c r="N11" s="43"/>
      <c r="O11" s="43"/>
      <c r="P11" s="40"/>
      <c r="Q11" s="43"/>
      <c r="R11" s="43"/>
      <c r="S11" s="43"/>
      <c r="T11" s="43"/>
      <c r="U11" s="43"/>
      <c r="V11" s="43"/>
      <c r="W11" s="43"/>
      <c r="X11" s="43"/>
      <c r="Y11" s="43" t="str">
        <f>'85 Gasif Ent Flow FT liq fu'!B13</f>
        <v>Jet Fuel Output, MWh/MWh Total Input</v>
      </c>
    </row>
    <row r="12" spans="1:25">
      <c r="C12" s="43"/>
      <c r="D12" s="43"/>
      <c r="E12" s="43"/>
      <c r="F12" s="43"/>
      <c r="G12" s="43" t="s">
        <v>1759</v>
      </c>
      <c r="H12" s="43"/>
      <c r="I12" s="43"/>
      <c r="J12" s="43"/>
      <c r="K12" s="43"/>
      <c r="L12" s="33">
        <f>'85 Gasif Ent Flow FT liq fu'!$D$13/'85 Gasif Ent Flow FT liq fu'!$D$14</f>
        <v>0.14729458917835672</v>
      </c>
      <c r="M12" s="43"/>
      <c r="N12" s="43"/>
      <c r="O12" s="43"/>
      <c r="P12" s="40"/>
      <c r="Q12" s="43"/>
      <c r="R12" s="43"/>
      <c r="S12" s="43"/>
      <c r="T12" s="43"/>
      <c r="U12" s="43"/>
      <c r="V12" s="43"/>
      <c r="W12" s="43"/>
      <c r="X12" s="43"/>
      <c r="Y12" s="43" t="str">
        <f>'85 Gasif Ent Flow FT liq fu'!B14</f>
        <v>Diesel Output,  MWh/MWh Total Input</v>
      </c>
    </row>
    <row r="13" spans="1:25">
      <c r="C13" s="43"/>
      <c r="D13" s="43"/>
      <c r="E13" s="43"/>
      <c r="F13" s="43"/>
      <c r="G13" s="43" t="s">
        <v>84</v>
      </c>
      <c r="H13" s="43"/>
      <c r="I13" s="43"/>
      <c r="J13" s="43"/>
      <c r="K13" s="43"/>
      <c r="L13" s="33">
        <f>'85 Gasif Ent Flow FT liq fu'!$D$15/'85 Gasif Ent Flow FT liq fu'!$D$14</f>
        <v>0.11723446893787576</v>
      </c>
      <c r="M13" s="43"/>
      <c r="N13" s="43"/>
      <c r="O13" s="43"/>
      <c r="P13" s="40"/>
      <c r="Q13" s="43"/>
      <c r="R13" s="43"/>
      <c r="S13" s="43"/>
      <c r="T13" s="43"/>
      <c r="U13" s="43"/>
      <c r="V13" s="43"/>
      <c r="W13" s="43"/>
      <c r="X13" s="43"/>
      <c r="Y13" s="43" t="str">
        <f>'85 Gasif Ent Flow FT liq fu'!B15</f>
        <v>Electricity Output, MWh/MWh Total Input</v>
      </c>
    </row>
    <row r="14" spans="1:25" ht="15.6">
      <c r="C14" s="17"/>
      <c r="D14" s="32"/>
      <c r="E14" s="17" t="s">
        <v>68</v>
      </c>
      <c r="F14" s="17" t="s">
        <v>86</v>
      </c>
      <c r="G14" s="17"/>
      <c r="H14" s="17" t="s">
        <v>70</v>
      </c>
      <c r="I14" s="17">
        <v>2020</v>
      </c>
      <c r="J14" s="1076"/>
      <c r="K14" s="33">
        <f>1/'85 Gasif Ent Flow FT liq fu'!$E$14</f>
        <v>10.020040080160321</v>
      </c>
      <c r="L14" s="33"/>
      <c r="M14" s="34">
        <f>'85 Gasif Ent Flow FT liq fu'!$E$19</f>
        <v>25</v>
      </c>
      <c r="N14" s="35" cm="1">
        <f t="array" ref="N14">'85 Gasif Ent Flow FT liq fu'!$E$22*(SUM('85 Gasif Ent Flow FT liq fu'!$E$12:$E$14/'85 Gasif Ent Flow FT liq fu'!$E$14))*7.45</f>
        <v>81.467914183345044</v>
      </c>
      <c r="O14" s="35" cm="1">
        <f t="array" ref="O14">'85 Gasif Ent Flow FT liq fu'!$E$25*(SUM('85 Gasif Ent Flow FT liq fu'!$E$12:$E$14/'85 Gasif Ent Flow FT liq fu'!$E$14))*7.45</f>
        <v>1.9552299404002813</v>
      </c>
      <c r="P14" s="35" cm="1">
        <f t="array" ref="P14">'85 Gasif Ent Flow FT liq fu'!$E$26*(SUM('85 Gasif Ent Flow FT liq fu'!$E$12:$E$14/'85 Gasif Ent Flow FT liq fu'!$E$14))*7.454/3.6</f>
        <v>5.5576128644538185</v>
      </c>
      <c r="Q14" s="33">
        <f>1-'85 Gasif Ent Flow FT liq fu'!$E$17/100</f>
        <v>0.96</v>
      </c>
      <c r="R14" s="36">
        <f>$R$39</f>
        <v>3.1536000000000002E-2</v>
      </c>
      <c r="S14" s="34">
        <v>2</v>
      </c>
      <c r="T14" s="34"/>
      <c r="U14" s="44"/>
      <c r="V14" s="45"/>
      <c r="W14" s="17"/>
      <c r="X14" s="17"/>
      <c r="Y14" s="17"/>
    </row>
    <row r="15" spans="1:25">
      <c r="C15" s="17"/>
      <c r="D15" s="17"/>
      <c r="E15" s="43"/>
      <c r="F15" s="43"/>
      <c r="G15" s="43" t="s">
        <v>76</v>
      </c>
      <c r="H15" s="43"/>
      <c r="I15" s="43"/>
      <c r="J15" s="1244"/>
      <c r="K15" s="43"/>
      <c r="L15" s="84">
        <f>'85 Gasif Ent Flow FT liq fu'!$E$12/'85 Gasif Ent Flow FT liq fu'!$E$14</f>
        <v>1.3787575150300602</v>
      </c>
      <c r="M15" s="43"/>
      <c r="N15" s="43"/>
      <c r="O15" s="43"/>
      <c r="P15" s="40"/>
      <c r="Q15" s="43"/>
      <c r="R15" s="43"/>
      <c r="S15" s="43"/>
      <c r="T15" s="39"/>
      <c r="U15" s="43"/>
      <c r="V15" s="43"/>
      <c r="W15" s="17"/>
      <c r="X15" s="17"/>
      <c r="Y15" s="17"/>
    </row>
    <row r="16" spans="1:25">
      <c r="C16" s="43"/>
      <c r="D16" s="43"/>
      <c r="E16" s="43"/>
      <c r="F16" s="43"/>
      <c r="G16" s="43" t="s">
        <v>1759</v>
      </c>
      <c r="H16" s="43"/>
      <c r="I16" s="43"/>
      <c r="J16" s="1244"/>
      <c r="K16" s="43"/>
      <c r="L16" s="33">
        <f>'85 Gasif Ent Flow FT liq fu'!$E$13/'85 Gasif Ent Flow FT liq fu'!$E$14</f>
        <v>0.14729458917835672</v>
      </c>
      <c r="M16" s="43"/>
      <c r="N16" s="43"/>
      <c r="O16" s="43"/>
      <c r="P16" s="40"/>
      <c r="Q16" s="43"/>
      <c r="R16" s="43"/>
      <c r="S16" s="43"/>
      <c r="T16" s="43"/>
      <c r="U16" s="43"/>
      <c r="V16" s="43"/>
      <c r="W16" s="17"/>
      <c r="X16" s="43"/>
      <c r="Y16" s="43"/>
    </row>
    <row r="17" spans="3:25">
      <c r="C17" s="43"/>
      <c r="D17" s="43"/>
      <c r="E17" s="43"/>
      <c r="F17" s="43"/>
      <c r="G17" s="43" t="s">
        <v>84</v>
      </c>
      <c r="H17" s="43"/>
      <c r="I17" s="43"/>
      <c r="J17" s="1244"/>
      <c r="K17" s="43"/>
      <c r="L17" s="33">
        <f>'85 Gasif Ent Flow FT liq fu'!$E$15/'85 Gasif Ent Flow FT liq fu'!$E$14</f>
        <v>0.11723446893787576</v>
      </c>
      <c r="M17" s="43"/>
      <c r="N17" s="43"/>
      <c r="O17" s="43"/>
      <c r="P17" s="40"/>
      <c r="Q17" s="43"/>
      <c r="R17" s="43"/>
      <c r="S17" s="43"/>
      <c r="T17" s="43"/>
      <c r="U17" s="43"/>
      <c r="V17" s="43"/>
      <c r="W17" s="17"/>
      <c r="X17" s="43"/>
      <c r="Y17" s="43"/>
    </row>
    <row r="18" spans="3:25" ht="15.6">
      <c r="C18" s="43"/>
      <c r="D18" s="32"/>
      <c r="E18" s="17" t="s">
        <v>68</v>
      </c>
      <c r="F18" s="17" t="s">
        <v>86</v>
      </c>
      <c r="G18" s="17"/>
      <c r="H18" s="17" t="s">
        <v>70</v>
      </c>
      <c r="I18" s="17">
        <v>2030</v>
      </c>
      <c r="J18" s="1076"/>
      <c r="K18" s="33">
        <f>1/'85 Gasif Ent Flow FT liq fu'!$F$14</f>
        <v>9.5190380761523024</v>
      </c>
      <c r="L18" s="33"/>
      <c r="M18" s="34">
        <f>'85 Gasif Ent Flow FT liq fu'!$F$19</f>
        <v>25</v>
      </c>
      <c r="N18" s="35" cm="1">
        <f t="array" ref="N18">'85 Gasif Ent Flow FT liq fu'!$F$22*(SUM('85 Gasif Ent Flow FT liq fu'!$F$12:$F$14/'85 Gasif Ent Flow FT liq fu'!$F$14))*7.45</f>
        <v>73.321122765010529</v>
      </c>
      <c r="O18" s="35" cm="1">
        <f t="array" ref="O18">'85 Gasif Ent Flow FT liq fu'!$F$25*(SUM('85 Gasif Ent Flow FT liq fu'!$F$12:$F$14/'85 Gasif Ent Flow FT liq fu'!$F$14))*7.45</f>
        <v>1.9552299404002813</v>
      </c>
      <c r="P18" s="35" cm="1">
        <f t="array" ref="P18">'85 Gasif Ent Flow FT liq fu'!$F$26*(SUM('85 Gasif Ent Flow FT liq fu'!$F$12:$F$14/'85 Gasif Ent Flow FT liq fu'!$F$14))*7.454/3.6</f>
        <v>5.5576128644538185</v>
      </c>
      <c r="Q18" s="33">
        <f>1-'85 Gasif Ent Flow FT liq fu'!$F$17/100</f>
        <v>1</v>
      </c>
      <c r="R18" s="36">
        <f>$R$39</f>
        <v>3.1536000000000002E-2</v>
      </c>
      <c r="S18" s="34">
        <v>2</v>
      </c>
      <c r="T18" s="43"/>
      <c r="U18" s="43"/>
      <c r="V18" s="45"/>
      <c r="W18" s="43"/>
      <c r="X18" s="43"/>
      <c r="Y18" s="17"/>
    </row>
    <row r="19" spans="3:25">
      <c r="C19" s="43"/>
      <c r="D19" s="43"/>
      <c r="E19" s="43"/>
      <c r="F19" s="43"/>
      <c r="G19" s="43" t="s">
        <v>76</v>
      </c>
      <c r="H19" s="43"/>
      <c r="I19" s="43"/>
      <c r="J19" s="1244"/>
      <c r="K19" s="43"/>
      <c r="L19" s="84">
        <f>'85 Gasif Ent Flow FT liq fu'!$F$12/'85 Gasif Ent Flow FT liq fu'!$F$14</f>
        <v>1.3787575150300602</v>
      </c>
      <c r="M19" s="43"/>
      <c r="N19" s="43"/>
      <c r="O19" s="43"/>
      <c r="P19" s="40"/>
      <c r="Q19" s="43"/>
      <c r="R19" s="43"/>
      <c r="S19" s="43"/>
      <c r="T19" s="43"/>
      <c r="U19" s="43"/>
      <c r="V19" s="43"/>
      <c r="W19" s="43"/>
      <c r="X19" s="43"/>
      <c r="Y19" s="17"/>
    </row>
    <row r="20" spans="3:25">
      <c r="C20" s="43"/>
      <c r="D20" s="43"/>
      <c r="E20" s="43"/>
      <c r="F20" s="43"/>
      <c r="G20" s="43" t="s">
        <v>1759</v>
      </c>
      <c r="H20" s="43"/>
      <c r="I20" s="43"/>
      <c r="J20" s="1244"/>
      <c r="K20" s="43"/>
      <c r="L20" s="33">
        <f>'85 Gasif Ent Flow FT liq fu'!$F$13/'85 Gasif Ent Flow FT liq fu'!$F$14</f>
        <v>0.14729458917835669</v>
      </c>
      <c r="M20" s="43"/>
      <c r="N20" s="43"/>
      <c r="O20" s="43"/>
      <c r="P20" s="40"/>
      <c r="Q20" s="43"/>
      <c r="R20" s="43"/>
      <c r="S20" s="43"/>
      <c r="T20" s="43"/>
      <c r="U20" s="43"/>
      <c r="V20" s="43"/>
      <c r="W20" s="43"/>
      <c r="X20" s="43"/>
      <c r="Y20" s="17"/>
    </row>
    <row r="21" spans="3:25">
      <c r="C21" s="43"/>
      <c r="D21" s="43"/>
      <c r="E21" s="43"/>
      <c r="F21" s="43"/>
      <c r="G21" s="43" t="s">
        <v>84</v>
      </c>
      <c r="H21" s="43"/>
      <c r="I21" s="43"/>
      <c r="J21" s="1244"/>
      <c r="K21" s="43"/>
      <c r="L21" s="33">
        <f>'85 Gasif Ent Flow FT liq fu'!$F$15/'85 Gasif Ent Flow FT liq fu'!$F$14</f>
        <v>0.15230460921843686</v>
      </c>
      <c r="M21" s="43"/>
      <c r="N21" s="43"/>
      <c r="O21" s="43"/>
      <c r="P21" s="40"/>
      <c r="Q21" s="43"/>
      <c r="R21" s="43"/>
      <c r="S21" s="43"/>
      <c r="T21" s="43"/>
      <c r="U21" s="43"/>
      <c r="V21" s="43"/>
      <c r="W21" s="43"/>
      <c r="X21" s="43"/>
      <c r="Y21" s="17"/>
    </row>
    <row r="22" spans="3:25">
      <c r="C22" s="43"/>
      <c r="D22" s="17"/>
      <c r="E22" s="17" t="s">
        <v>68</v>
      </c>
      <c r="F22" s="17" t="s">
        <v>86</v>
      </c>
      <c r="G22" s="17"/>
      <c r="H22" s="17" t="s">
        <v>70</v>
      </c>
      <c r="I22" s="17">
        <v>2040</v>
      </c>
      <c r="J22" s="1076"/>
      <c r="K22" s="33">
        <f>1/'85 Gasif Ent Flow FT liq fu'!$G$14</f>
        <v>8.9590946599080503</v>
      </c>
      <c r="L22" s="33"/>
      <c r="M22" s="34">
        <f>'85 Gasif Ent Flow FT liq fu'!$G$19</f>
        <v>25</v>
      </c>
      <c r="N22" s="35" cm="1">
        <f t="array" ref="N22">'85 Gasif Ent Flow FT liq fu'!$G$22*(SUM('85 Gasif Ent Flow FT liq fu'!$G$12:$G$14/'85 Gasif Ent Flow FT liq fu'!$G$14))*7.45</f>
        <v>68.095384848644656</v>
      </c>
      <c r="O22" s="35" cm="1">
        <f t="array" ref="O22">'85 Gasif Ent Flow FT liq fu'!$G$25*(SUM('85 Gasif Ent Flow FT liq fu'!$G$12:$G$14/'85 Gasif Ent Flow FT liq fu'!$G$14))*7.45</f>
        <v>1.9314327338888306</v>
      </c>
      <c r="P22" s="35" cm="1">
        <f t="array" ref="P22">'85 Gasif Ent Flow FT liq fu'!$G$26*(SUM('85 Gasif Ent Flow FT liq fu'!$G$12:$G$14/'85 Gasif Ent Flow FT liq fu'!$G$14))*7.454/3.6</f>
        <v>5.5631704773182733</v>
      </c>
      <c r="Q22" s="33">
        <f>1-'85 Gasif Ent Flow FT liq fu'!$G$17/100</f>
        <v>1</v>
      </c>
      <c r="R22" s="36">
        <f>$R$39</f>
        <v>3.1536000000000002E-2</v>
      </c>
      <c r="S22" s="34">
        <v>2</v>
      </c>
      <c r="T22" s="34"/>
      <c r="U22" s="44"/>
      <c r="V22" s="43"/>
      <c r="W22" s="17"/>
      <c r="X22" s="17"/>
      <c r="Y22" s="17"/>
    </row>
    <row r="23" spans="3:25">
      <c r="C23" s="43"/>
      <c r="D23" s="43"/>
      <c r="E23" s="43"/>
      <c r="F23" s="43"/>
      <c r="G23" s="43" t="s">
        <v>76</v>
      </c>
      <c r="H23" s="43"/>
      <c r="I23" s="43"/>
      <c r="J23" s="1244"/>
      <c r="K23" s="43"/>
      <c r="L23" s="84">
        <f>'85 Gasif Ent Flow FT liq fu'!$G$12/'85 Gasif Ent Flow FT liq fu'!$G$14</f>
        <v>1.3787575150300602</v>
      </c>
      <c r="M23" s="43"/>
      <c r="N23" s="43"/>
      <c r="O23" s="43"/>
      <c r="P23" s="40"/>
      <c r="Q23" s="43"/>
      <c r="R23" s="43"/>
      <c r="S23" s="43"/>
      <c r="T23" s="39"/>
      <c r="U23" s="43"/>
      <c r="V23" s="43"/>
      <c r="W23" s="17"/>
      <c r="X23" s="17"/>
      <c r="Y23" s="17"/>
    </row>
    <row r="24" spans="3:25">
      <c r="C24" s="43"/>
      <c r="D24" s="43"/>
      <c r="E24" s="43"/>
      <c r="F24" s="43"/>
      <c r="G24" s="43" t="s">
        <v>1759</v>
      </c>
      <c r="H24" s="43"/>
      <c r="I24" s="43"/>
      <c r="J24" s="1244"/>
      <c r="K24" s="43"/>
      <c r="L24" s="33">
        <f>'85 Gasif Ent Flow FT liq fu'!$G$13/'85 Gasif Ent Flow FT liq fu'!$G$14</f>
        <v>0.14729458917835669</v>
      </c>
      <c r="M24" s="43"/>
      <c r="N24" s="43"/>
      <c r="O24" s="43"/>
      <c r="P24" s="40"/>
      <c r="Q24" s="43"/>
      <c r="R24" s="43"/>
      <c r="S24" s="43"/>
      <c r="T24" s="43"/>
      <c r="U24" s="43"/>
      <c r="V24" s="43"/>
      <c r="W24" s="17"/>
      <c r="X24" s="43"/>
      <c r="Y24" s="43"/>
    </row>
    <row r="25" spans="3:25" ht="15.6">
      <c r="C25" s="43"/>
      <c r="D25" s="32"/>
      <c r="E25" s="43"/>
      <c r="F25" s="43"/>
      <c r="G25" s="43" t="s">
        <v>84</v>
      </c>
      <c r="H25" s="43"/>
      <c r="I25" s="43"/>
      <c r="J25" s="1244"/>
      <c r="K25" s="43"/>
      <c r="L25" s="33">
        <f>'85 Gasif Ent Flow FT liq fu'!$G$15/'85 Gasif Ent Flow FT liq fu'!$G$14</f>
        <v>0.16126370387834493</v>
      </c>
      <c r="M25" s="43"/>
      <c r="N25" s="43"/>
      <c r="O25" s="43"/>
      <c r="P25" s="40"/>
      <c r="Q25" s="43"/>
      <c r="R25" s="43"/>
      <c r="S25" s="43"/>
      <c r="T25" s="43"/>
      <c r="U25" s="43"/>
      <c r="V25" s="45"/>
      <c r="W25" s="17"/>
      <c r="X25" s="43"/>
      <c r="Y25" s="43"/>
    </row>
    <row r="26" spans="3:25">
      <c r="C26" s="43"/>
      <c r="D26" s="17"/>
      <c r="E26" s="17" t="s">
        <v>68</v>
      </c>
      <c r="F26" s="17" t="s">
        <v>86</v>
      </c>
      <c r="G26" s="17"/>
      <c r="H26" s="17" t="s">
        <v>70</v>
      </c>
      <c r="I26" s="17">
        <v>2050</v>
      </c>
      <c r="J26" s="1076"/>
      <c r="K26" s="33">
        <f>1/'85 Gasif Ent Flow FT liq fu'!$H$14</f>
        <v>8.4613671788020497</v>
      </c>
      <c r="L26" s="33"/>
      <c r="M26" s="34">
        <f>'85 Gasif Ent Flow FT liq fu'!$H$19</f>
        <v>25</v>
      </c>
      <c r="N26" s="35" cm="1">
        <f t="array" ref="N26">'85 Gasif Ent Flow FT liq fu'!$H$22*(SUM('85 Gasif Ent Flow FT liq fu'!$H$12:$H$14/'85 Gasif Ent Flow FT liq fu'!$H$14))*7.45</f>
        <v>65.174331346676041</v>
      </c>
      <c r="O26" s="35" cm="1">
        <f t="array" ref="O26">'85 Gasif Ent Flow FT liq fu'!$H$25*(SUM('85 Gasif Ent Flow FT liq fu'!$H$12:$H$14/'85 Gasif Ent Flow FT liq fu'!$H$14))*7.45</f>
        <v>1.9552299404002813</v>
      </c>
      <c r="P26" s="35" cm="1">
        <f t="array" ref="P26">'85 Gasif Ent Flow FT liq fu'!$H$26*(SUM('85 Gasif Ent Flow FT liq fu'!$H$12:$H$14/'85 Gasif Ent Flow FT liq fu'!$H$14))*7.454/3.6</f>
        <v>5.5576128644538185</v>
      </c>
      <c r="Q26" s="33">
        <f>1-'85 Gasif Ent Flow FT liq fu'!$H$17/100</f>
        <v>1</v>
      </c>
      <c r="R26" s="36">
        <f>$R$39</f>
        <v>3.1536000000000002E-2</v>
      </c>
      <c r="S26" s="34">
        <v>2</v>
      </c>
      <c r="T26" s="43"/>
      <c r="U26" s="43"/>
      <c r="V26" s="43"/>
      <c r="W26" s="43"/>
      <c r="X26" s="43"/>
      <c r="Y26" s="17"/>
    </row>
    <row r="27" spans="3:25">
      <c r="C27" s="43"/>
      <c r="D27" s="43"/>
      <c r="E27" s="43"/>
      <c r="F27" s="43"/>
      <c r="G27" s="43" t="s">
        <v>76</v>
      </c>
      <c r="H27" s="43"/>
      <c r="I27" s="43"/>
      <c r="J27" s="43"/>
      <c r="K27" s="43"/>
      <c r="L27" s="84">
        <f>'85 Gasif Ent Flow FT liq fu'!$H$12/'85 Gasif Ent Flow FT liq fu'!$H$14</f>
        <v>1.3787575150300604</v>
      </c>
      <c r="M27" s="43"/>
      <c r="N27" s="43"/>
      <c r="O27" s="43"/>
      <c r="P27" s="40"/>
      <c r="Q27" s="43"/>
      <c r="R27" s="43"/>
      <c r="S27" s="43"/>
      <c r="T27" s="43"/>
      <c r="U27" s="43"/>
      <c r="V27" s="43"/>
      <c r="W27" s="43"/>
      <c r="X27" s="43"/>
      <c r="Y27" s="17"/>
    </row>
    <row r="28" spans="3:25">
      <c r="C28" s="43"/>
      <c r="D28" s="43"/>
      <c r="E28" s="43"/>
      <c r="F28" s="43"/>
      <c r="G28" s="43" t="s">
        <v>1759</v>
      </c>
      <c r="H28" s="43"/>
      <c r="I28" s="43"/>
      <c r="J28" s="43"/>
      <c r="K28" s="43"/>
      <c r="L28" s="33">
        <f>'85 Gasif Ent Flow FT liq fu'!$H$13/'85 Gasif Ent Flow FT liq fu'!$H$14</f>
        <v>0.14729458917835672</v>
      </c>
      <c r="M28" s="43"/>
      <c r="N28" s="43"/>
      <c r="O28" s="43"/>
      <c r="P28" s="40"/>
      <c r="Q28" s="43"/>
      <c r="R28" s="43"/>
      <c r="S28" s="43"/>
      <c r="T28" s="43"/>
      <c r="U28" s="43"/>
      <c r="V28" s="43"/>
      <c r="W28" s="43"/>
      <c r="X28" s="43"/>
      <c r="Y28" s="17"/>
    </row>
    <row r="29" spans="3:25" ht="15" thickBot="1">
      <c r="C29" s="46"/>
      <c r="D29" s="46"/>
      <c r="E29" s="46"/>
      <c r="F29" s="46"/>
      <c r="G29" s="46" t="s">
        <v>84</v>
      </c>
      <c r="H29" s="46"/>
      <c r="I29" s="46"/>
      <c r="J29" s="46"/>
      <c r="K29" s="46"/>
      <c r="L29" s="48">
        <f>'85 Gasif Ent Flow FT liq fu'!$H$15/'85 Gasif Ent Flow FT liq fu'!$H$14</f>
        <v>0.16922734357604099</v>
      </c>
      <c r="M29" s="46"/>
      <c r="N29" s="46"/>
      <c r="O29" s="46"/>
      <c r="P29" s="49"/>
      <c r="Q29" s="46"/>
      <c r="R29" s="46"/>
      <c r="S29" s="46"/>
      <c r="T29" s="46"/>
      <c r="U29" s="46"/>
      <c r="V29" s="46"/>
      <c r="W29" s="46"/>
      <c r="X29" s="46"/>
      <c r="Y29" s="47"/>
    </row>
    <row r="30" spans="3:25" ht="15.6">
      <c r="C30" s="17" t="str">
        <f>"SUP"&amp;F30&amp;RIGHT(E30,3)&amp;IF(RIGHT(D30,7)="Central","C1","D1")</f>
        <v>SUPMOB2WCHC1</v>
      </c>
      <c r="D30" s="1245" t="str">
        <f>'97 Methanol from biomass gasif.'!D2&amp;" Central"</f>
        <v>Bio Methanol Central</v>
      </c>
      <c r="E30" s="1076" t="s">
        <v>68</v>
      </c>
      <c r="F30" s="1076" t="s">
        <v>69</v>
      </c>
      <c r="G30" s="1076"/>
      <c r="H30" s="1076" t="s">
        <v>70</v>
      </c>
      <c r="I30" s="7">
        <v>2015</v>
      </c>
      <c r="J30" s="1076">
        <v>2030</v>
      </c>
      <c r="K30" s="33">
        <f>(INDEX('97 Methanol from biomass gasif.'!$D$4:$H$59,MATCH(SUP_Biofuels!W30,'97 Methanol from biomass gasif.'!$B$4:$B$59,0),MATCH(SUP_Biofuels!$I30,'97 Methanol from biomass gasif.'!$D$3:$H$3,0)))/INDEX('97 Methanol from biomass gasif.'!$D$4:$H$59,MATCH(SUP_Biofuels!X30,'97 Methanol from biomass gasif.'!$B$4:$B$59,0),MATCH(SUP_Biofuels!$I30,'97 Methanol from biomass gasif.'!$D$3:$H$3,0))</f>
        <v>1.7241379310344829</v>
      </c>
      <c r="L30" s="1246"/>
      <c r="M30" s="34">
        <f>INDEX('97 Methanol from biomass gasif.'!$D$4:$H$59,MATCH(SUP_Biofuels!M$8,'97 Methanol from biomass gasif.'!$B$4:$B$59,0),MATCH(SUP_Biofuels!$I30,'97 Methanol from biomass gasif.'!$D$3:$H$3,0))</f>
        <v>25</v>
      </c>
      <c r="N30" s="35">
        <f>INDEX('97 Methanol from biomass gasif.'!$D$4:$H$59,MATCH(SUP_Biofuels!N$8,'97 Methanol from biomass gasif.'!$B$4:$B$59,0),MATCH(SUP_Biofuels!$I30,'97 Methanol from biomass gasif.'!$D$3:$H$3,0))*7.45</f>
        <v>39.172346640701079</v>
      </c>
      <c r="O30" s="35">
        <f>INDEX('97 Methanol from biomass gasif.'!$D$4:$H$59,MATCH(SUP_Biofuels!O$8,'97 Methanol from biomass gasif.'!$B$4:$B$59,0),MATCH(SUP_Biofuels!$I30,'97 Methanol from biomass gasif.'!$D$3:$H$3,0))*7.45</f>
        <v>0.43524829600778958</v>
      </c>
      <c r="P30" s="35">
        <f>INDEX('97 Methanol from biomass gasif.'!$D$4:$H$59,MATCH(SUP_Biofuels!P$8,'97 Methanol from biomass gasif.'!$B$4:$B$59,0),MATCH(SUP_Biofuels!$I30,'97 Methanol from biomass gasif.'!$D$3:$H$3,0))*7.45/3.6</f>
        <v>42.225580955979595</v>
      </c>
      <c r="Q30" s="33">
        <f>1-INDEX('97 Methanol from biomass gasif.'!$D$4:$H$59,MATCH(SUP_Biofuels!Q$7,'97 Methanol from biomass gasif.'!$B$4:$B$59,0),MATCH(SUP_Biofuels!$I30,'97 Methanol from biomass gasif.'!$D$3:$H$3,0))/52-INDEX('97 Methanol from biomass gasif.'!$D$4:$H$59,MATCH(SUP_Biofuels!Q$8,'97 Methanol from biomass gasif.'!$B$4:$B$59,0),MATCH(SUP_Biofuels!$I30,'97 Methanol from biomass gasif.'!$D$3:$H$3,0))/100</f>
        <v>0.92153846153846153</v>
      </c>
      <c r="R30" s="36">
        <v>3.1536000000000002E-2</v>
      </c>
      <c r="S30" s="34">
        <v>4</v>
      </c>
      <c r="T30" s="34"/>
      <c r="U30" s="1247">
        <v>1</v>
      </c>
      <c r="V30" s="1248" t="s">
        <v>74</v>
      </c>
      <c r="W30" t="s">
        <v>112</v>
      </c>
      <c r="X30" t="s">
        <v>1201</v>
      </c>
      <c r="Y30" s="1076"/>
    </row>
    <row r="31" spans="3:25" ht="15.6">
      <c r="C31" s="7"/>
      <c r="D31" s="21"/>
      <c r="E31" s="7"/>
      <c r="F31" s="7"/>
      <c r="G31" s="7" t="s">
        <v>84</v>
      </c>
      <c r="H31" s="7"/>
      <c r="I31" s="7"/>
      <c r="J31" s="7"/>
      <c r="K31" s="22"/>
      <c r="L31" s="33">
        <f>INDEX('97 Methanol from biomass gasif.'!$D$4:$H$59,MATCH(SUP_Biofuels!Y31,'97 Methanol from biomass gasif.'!$B$4:$B$59,0),MATCH(SUP_Biofuels!$I30,'97 Methanol from biomass gasif.'!$D$3:$H$3,0))*(SUM(K30))</f>
        <v>0.37931034482758624</v>
      </c>
      <c r="M31" s="7"/>
      <c r="N31" s="23"/>
      <c r="O31" s="24"/>
      <c r="P31" s="24"/>
      <c r="Q31" s="22"/>
      <c r="R31" s="23"/>
      <c r="S31" s="23"/>
      <c r="T31" s="23"/>
      <c r="U31" s="25"/>
      <c r="V31" s="26"/>
      <c r="X31" s="7"/>
      <c r="Y31" t="s">
        <v>1200</v>
      </c>
    </row>
    <row r="32" spans="3:25">
      <c r="C32" s="7"/>
      <c r="D32" s="7"/>
      <c r="E32" s="7"/>
      <c r="F32" s="7"/>
      <c r="G32" s="7" t="s">
        <v>216</v>
      </c>
      <c r="H32" s="7"/>
      <c r="I32" s="7"/>
      <c r="J32" s="7"/>
      <c r="K32" s="22"/>
      <c r="L32" s="33">
        <f>INDEX('97 Methanol from biomass gasif.'!$D$4:$H$59,MATCH(SUP_Biofuels!Y32,'97 Methanol from biomass gasif.'!$B$4:$B$59,0),MATCH(SUP_Biofuels!$I30,'97 Methanol from biomass gasif.'!$D$3:$H$3,0))*(SUM(K30))</f>
        <v>3.4482758620689662E-2</v>
      </c>
      <c r="M32" s="7"/>
      <c r="N32" s="23"/>
      <c r="O32" s="7"/>
      <c r="P32" s="24"/>
      <c r="Q32" s="7"/>
      <c r="R32" s="7"/>
      <c r="S32" s="7"/>
      <c r="T32" s="7"/>
      <c r="U32" s="7"/>
      <c r="V32" s="7"/>
      <c r="X32" s="7"/>
      <c r="Y32" t="s">
        <v>1199</v>
      </c>
    </row>
    <row r="33" spans="3:25" ht="15.6">
      <c r="C33" s="7"/>
      <c r="D33" s="21"/>
      <c r="E33" s="7" t="str">
        <f>E30</f>
        <v>SUPWCH</v>
      </c>
      <c r="F33" s="7" t="str">
        <f>F30</f>
        <v>MOB2</v>
      </c>
      <c r="G33" s="7"/>
      <c r="H33" s="21" t="str">
        <f>H30</f>
        <v>MKr15</v>
      </c>
      <c r="I33" s="23">
        <v>2020</v>
      </c>
      <c r="J33" s="21"/>
      <c r="K33" s="33">
        <f>(INDEX('97 Methanol from biomass gasif.'!$D$4:$H$59,MATCH(SUP_Biofuels!W33,'97 Methanol from biomass gasif.'!$B$4:$B$59,0),MATCH(SUP_Biofuels!$I33,'97 Methanol from biomass gasif.'!$D$3:$H$3,0)))/INDEX('97 Methanol from biomass gasif.'!$D$4:$H$59,MATCH(SUP_Biofuels!X33,'97 Methanol from biomass gasif.'!$B$4:$B$59,0),MATCH(SUP_Biofuels!$I33,'97 Methanol from biomass gasif.'!$D$3:$H$3,0))</f>
        <v>1.7241379310344829</v>
      </c>
      <c r="L33" s="21"/>
      <c r="M33" s="34">
        <f>INDEX('97 Methanol from biomass gasif.'!$D$4:$H$59,MATCH(SUP_Biofuels!M$8,'97 Methanol from biomass gasif.'!$B$4:$B$59,0),MATCH(SUP_Biofuels!$I33,'97 Methanol from biomass gasif.'!$D$3:$H$3,0))</f>
        <v>20</v>
      </c>
      <c r="N33" s="35">
        <f>INDEX('97 Methanol from biomass gasif.'!$D$4:$H$59,MATCH(SUP_Biofuels!N$8,'97 Methanol from biomass gasif.'!$B$4:$B$59,0),MATCH(SUP_Biofuels!$I33,'97 Methanol from biomass gasif.'!$D$3:$H$3,0))*7.45</f>
        <v>39.172346640701079</v>
      </c>
      <c r="O33" s="35">
        <f>INDEX('97 Methanol from biomass gasif.'!$D$4:$H$59,MATCH(SUP_Biofuels!O$8,'97 Methanol from biomass gasif.'!$B$4:$B$59,0),MATCH(SUP_Biofuels!$I33,'97 Methanol from biomass gasif.'!$D$3:$H$3,0))*7.45</f>
        <v>0.43524829600778958</v>
      </c>
      <c r="P33" s="35">
        <f>INDEX('97 Methanol from biomass gasif.'!$D$4:$H$59,MATCH(SUP_Biofuels!P$8,'97 Methanol from biomass gasif.'!$B$4:$B$59,0),MATCH(SUP_Biofuels!$I33,'97 Methanol from biomass gasif.'!$D$3:$H$3,0))*7.45/3.6</f>
        <v>42.225580955979595</v>
      </c>
      <c r="Q33" s="33">
        <f>1-INDEX('97 Methanol from biomass gasif.'!$D$4:$H$59,MATCH(SUP_Biofuels!Q$7,'97 Methanol from biomass gasif.'!$B$4:$B$59,0),MATCH(SUP_Biofuels!$I33,'97 Methanol from biomass gasif.'!$D$3:$H$3,0))/52-INDEX('97 Methanol from biomass gasif.'!$D$4:$H$59,MATCH(SUP_Biofuels!Q$8,'97 Methanol from biomass gasif.'!$B$4:$B$59,0),MATCH(SUP_Biofuels!$I33,'97 Methanol from biomass gasif.'!$D$3:$H$3,0))/100</f>
        <v>0.92153846153846153</v>
      </c>
      <c r="R33" s="36">
        <v>3.1536000000000002E-2</v>
      </c>
      <c r="S33" s="34">
        <v>4</v>
      </c>
      <c r="T33" s="21"/>
      <c r="U33" s="21">
        <f>U30</f>
        <v>1</v>
      </c>
      <c r="V33" s="21" t="str">
        <f>V30</f>
        <v>Technology data for advanced bioenergy fuels, Danish Energy Agency, FORCE Technology
Department for Biomass &amp; Waste</v>
      </c>
      <c r="W33" t="s">
        <v>112</v>
      </c>
      <c r="X33" t="s">
        <v>1201</v>
      </c>
      <c r="Y33" s="7"/>
    </row>
    <row r="34" spans="3:25" ht="15.6">
      <c r="C34" s="7"/>
      <c r="D34" s="21"/>
      <c r="E34" s="7"/>
      <c r="F34" s="7"/>
      <c r="G34" s="7" t="str">
        <f>G31</f>
        <v>ELCC</v>
      </c>
      <c r="H34" s="21"/>
      <c r="I34" s="21"/>
      <c r="J34" s="21"/>
      <c r="K34" s="22"/>
      <c r="L34" s="33">
        <f>INDEX('97 Methanol from biomass gasif.'!$D$4:$H$59,MATCH(SUP_Biofuels!Y34,'97 Methanol from biomass gasif.'!$B$4:$B$59,0),MATCH(SUP_Biofuels!$I33,'97 Methanol from biomass gasif.'!$D$3:$H$3,0))*(SUM(K33))</f>
        <v>0.37931034482758624</v>
      </c>
      <c r="M34" s="21"/>
      <c r="N34" s="21"/>
      <c r="O34" s="21"/>
      <c r="P34" s="27"/>
      <c r="Q34" s="21"/>
      <c r="R34" s="21"/>
      <c r="S34" s="21"/>
      <c r="T34" s="21"/>
      <c r="U34" s="21"/>
      <c r="V34" s="21"/>
      <c r="X34" s="7"/>
      <c r="Y34" t="s">
        <v>1200</v>
      </c>
    </row>
    <row r="35" spans="3:25">
      <c r="C35" s="7"/>
      <c r="D35" s="7"/>
      <c r="E35" s="7"/>
      <c r="F35" s="7"/>
      <c r="G35" s="7" t="str">
        <f>G32</f>
        <v>HETC</v>
      </c>
      <c r="H35" s="7"/>
      <c r="I35" s="7"/>
      <c r="J35" s="7"/>
      <c r="K35" s="7"/>
      <c r="L35" s="33">
        <f>INDEX('97 Methanol from biomass gasif.'!$D$4:$H$59,MATCH(SUP_Biofuels!Y35,'97 Methanol from biomass gasif.'!$B$4:$B$59,0),MATCH(SUP_Biofuels!$I33,'97 Methanol from biomass gasif.'!$D$3:$H$3,0))*(SUM(K33))</f>
        <v>3.4482758620689662E-2</v>
      </c>
      <c r="M35" s="7"/>
      <c r="N35" s="7"/>
      <c r="O35" s="7"/>
      <c r="P35" s="24"/>
      <c r="Q35" s="7"/>
      <c r="R35" s="7"/>
      <c r="S35" s="34"/>
      <c r="T35" s="7"/>
      <c r="U35" s="7"/>
      <c r="V35" s="7"/>
      <c r="X35" s="7"/>
      <c r="Y35" t="s">
        <v>1199</v>
      </c>
    </row>
    <row r="36" spans="3:25" ht="15.6">
      <c r="C36" s="7"/>
      <c r="D36" s="21"/>
      <c r="E36" s="7" t="str">
        <f>E33</f>
        <v>SUPWCH</v>
      </c>
      <c r="F36" s="7" t="str">
        <f>F33</f>
        <v>MOB2</v>
      </c>
      <c r="G36" s="7"/>
      <c r="H36" s="21" t="str">
        <f>H33</f>
        <v>MKr15</v>
      </c>
      <c r="I36" s="21">
        <v>2030</v>
      </c>
      <c r="J36" s="21"/>
      <c r="K36" s="33">
        <f>(INDEX('97 Methanol from biomass gasif.'!$D$4:$H$59,MATCH(SUP_Biofuels!W36,'97 Methanol from biomass gasif.'!$B$4:$B$59,0),MATCH(SUP_Biofuels!$I36,'97 Methanol from biomass gasif.'!$D$3:$H$3,0)))/INDEX('97 Methanol from biomass gasif.'!$D$4:$H$59,MATCH(SUP_Biofuels!X36,'97 Methanol from biomass gasif.'!$B$4:$B$59,0),MATCH(SUP_Biofuels!$I36,'97 Methanol from biomass gasif.'!$D$3:$H$3,0))</f>
        <v>1.639344262295082</v>
      </c>
      <c r="L36" s="21"/>
      <c r="M36" s="34">
        <f>INDEX('97 Methanol from biomass gasif.'!$D$4:$H$59,MATCH(SUP_Biofuels!M$8,'97 Methanol from biomass gasif.'!$B$4:$B$59,0),MATCH(SUP_Biofuels!$I36,'97 Methanol from biomass gasif.'!$D$3:$H$3,0))</f>
        <v>20</v>
      </c>
      <c r="N36" s="35">
        <f>INDEX('97 Methanol from biomass gasif.'!$D$4:$H$59,MATCH(SUP_Biofuels!N$8,'97 Methanol from biomass gasif.'!$B$4:$B$59,0),MATCH(SUP_Biofuels!$I36,'97 Methanol from biomass gasif.'!$D$3:$H$3,0))*7.45</f>
        <v>21.762414800389482</v>
      </c>
      <c r="O36" s="35">
        <f>INDEX('97 Methanol from biomass gasif.'!$D$4:$H$59,MATCH(SUP_Biofuels!O$8,'97 Methanol from biomass gasif.'!$B$4:$B$59,0),MATCH(SUP_Biofuels!$I36,'97 Methanol from biomass gasif.'!$D$3:$H$3,0))*7.45</f>
        <v>0.29016553067185979</v>
      </c>
      <c r="P36" s="35">
        <f>INDEX('97 Methanol from biomass gasif.'!$D$4:$H$59,MATCH(SUP_Biofuels!P$8,'97 Methanol from biomass gasif.'!$B$4:$B$59,0),MATCH(SUP_Biofuels!$I36,'97 Methanol from biomass gasif.'!$D$3:$H$3,0))*7.45/3.6</f>
        <v>28.150387303986388</v>
      </c>
      <c r="Q36" s="33">
        <f>1-INDEX('97 Methanol from biomass gasif.'!$D$4:$H$59,MATCH(SUP_Biofuels!Q$7,'97 Methanol from biomass gasif.'!$B$4:$B$59,0),MATCH(SUP_Biofuels!$I36,'97 Methanol from biomass gasif.'!$D$3:$H$3,0))/52-INDEX('97 Methanol from biomass gasif.'!$D$4:$H$59,MATCH(SUP_Biofuels!Q$8,'97 Methanol from biomass gasif.'!$B$4:$B$59,0),MATCH(SUP_Biofuels!$I36,'97 Methanol from biomass gasif.'!$D$3:$H$3,0))/100</f>
        <v>0.96153846153846156</v>
      </c>
      <c r="R36" s="36">
        <v>3.1536000000000002E-2</v>
      </c>
      <c r="S36" s="34">
        <v>4</v>
      </c>
      <c r="T36" s="21"/>
      <c r="U36" s="21">
        <f>U33</f>
        <v>1</v>
      </c>
      <c r="V36" s="21" t="str">
        <f>V33</f>
        <v>Technology data for advanced bioenergy fuels, Danish Energy Agency, FORCE Technology
Department for Biomass &amp; Waste</v>
      </c>
      <c r="W36" t="s">
        <v>112</v>
      </c>
      <c r="X36" t="s">
        <v>1201</v>
      </c>
      <c r="Y36" s="7"/>
    </row>
    <row r="37" spans="3:25" ht="15.6">
      <c r="C37" s="7"/>
      <c r="D37" s="21"/>
      <c r="E37" s="7"/>
      <c r="F37" s="7"/>
      <c r="G37" s="7" t="str">
        <f>G34</f>
        <v>ELCC</v>
      </c>
      <c r="H37" s="21"/>
      <c r="I37" s="21"/>
      <c r="J37" s="21"/>
      <c r="K37" s="22"/>
      <c r="L37" s="33">
        <f>INDEX('97 Methanol from biomass gasif.'!$D$4:$H$59,MATCH(SUP_Biofuels!Y37,'97 Methanol from biomass gasif.'!$B$4:$B$59,0),MATCH(SUP_Biofuels!$I36,'97 Methanol from biomass gasif.'!$D$3:$H$3,0))*(SUM(K36))</f>
        <v>0.36065573770491804</v>
      </c>
      <c r="M37" s="21"/>
      <c r="N37" s="21"/>
      <c r="O37" s="21"/>
      <c r="P37" s="27"/>
      <c r="Q37" s="21"/>
      <c r="R37" s="21"/>
      <c r="S37" s="21"/>
      <c r="T37" s="21"/>
      <c r="U37" s="21"/>
      <c r="V37" s="21"/>
      <c r="X37" s="7"/>
      <c r="Y37" t="s">
        <v>1200</v>
      </c>
    </row>
    <row r="38" spans="3:25">
      <c r="C38" s="7"/>
      <c r="D38" s="7"/>
      <c r="E38" s="7"/>
      <c r="F38" s="7"/>
      <c r="G38" s="7" t="str">
        <f>G35</f>
        <v>HETC</v>
      </c>
      <c r="H38" s="7"/>
      <c r="I38" s="7"/>
      <c r="J38" s="7"/>
      <c r="K38" s="7"/>
      <c r="L38" s="33">
        <f>INDEX('97 Methanol from biomass gasif.'!$D$4:$H$59,MATCH(SUP_Biofuels!Y38,'97 Methanol from biomass gasif.'!$B$4:$B$59,0),MATCH(SUP_Biofuels!$I36,'97 Methanol from biomass gasif.'!$D$3:$H$3,0))*(SUM(K36))</f>
        <v>3.2786885245901641E-2</v>
      </c>
      <c r="M38" s="7"/>
      <c r="N38" s="7"/>
      <c r="O38" s="7"/>
      <c r="P38" s="24"/>
      <c r="Q38" s="7"/>
      <c r="R38" s="7"/>
      <c r="S38" s="7"/>
      <c r="T38" s="7"/>
      <c r="U38" s="7"/>
      <c r="V38" s="7"/>
      <c r="X38" s="7"/>
      <c r="Y38" t="s">
        <v>1199</v>
      </c>
    </row>
    <row r="39" spans="3:25" ht="15.6">
      <c r="C39" s="7"/>
      <c r="D39" s="21"/>
      <c r="E39" s="7" t="str">
        <f>E36</f>
        <v>SUPWCH</v>
      </c>
      <c r="F39" s="7" t="str">
        <f>F36</f>
        <v>MOB2</v>
      </c>
      <c r="G39" s="7"/>
      <c r="H39" s="21" t="str">
        <f>H36</f>
        <v>MKr15</v>
      </c>
      <c r="I39" s="21">
        <v>2050</v>
      </c>
      <c r="J39" s="21"/>
      <c r="K39" s="33">
        <f>(INDEX('97 Methanol from biomass gasif.'!$D$4:$H$59,MATCH(SUP_Biofuels!W39,'97 Methanol from biomass gasif.'!$B$4:$B$59,0),MATCH(SUP_Biofuels!$I39,'97 Methanol from biomass gasif.'!$D$3:$H$3,0)))/INDEX('97 Methanol from biomass gasif.'!$D$4:$H$59,MATCH(SUP_Biofuels!X39,'97 Methanol from biomass gasif.'!$B$4:$B$59,0),MATCH(SUP_Biofuels!$I39,'97 Methanol from biomass gasif.'!$D$3:$H$3,0))</f>
        <v>1.5384615384615383</v>
      </c>
      <c r="L39" s="21"/>
      <c r="M39" s="34">
        <f>INDEX('97 Methanol from biomass gasif.'!$D$4:$H$59,MATCH(SUP_Biofuels!M$8,'97 Methanol from biomass gasif.'!$B$4:$B$59,0),MATCH(SUP_Biofuels!$I39,'97 Methanol from biomass gasif.'!$D$3:$H$3,0))</f>
        <v>20</v>
      </c>
      <c r="N39" s="35">
        <f>INDEX('97 Methanol from biomass gasif.'!$D$4:$H$59,MATCH(SUP_Biofuels!N$8,'97 Methanol from biomass gasif.'!$B$4:$B$59,0),MATCH(SUP_Biofuels!$I39,'97 Methanol from biomass gasif.'!$D$3:$H$3,0))*7.45</f>
        <v>10.881207400194741</v>
      </c>
      <c r="O39" s="35">
        <f>INDEX('97 Methanol from biomass gasif.'!$D$4:$H$59,MATCH(SUP_Biofuels!O$8,'97 Methanol from biomass gasif.'!$B$4:$B$59,0),MATCH(SUP_Biofuels!$I39,'97 Methanol from biomass gasif.'!$D$3:$H$3,0))*7.45</f>
        <v>0.29016553067185974</v>
      </c>
      <c r="P39" s="35">
        <f>INDEX('97 Methanol from biomass gasif.'!$D$4:$H$59,MATCH(SUP_Biofuels!P$8,'97 Methanol from biomass gasif.'!$B$4:$B$59,0),MATCH(SUP_Biofuels!$I39,'97 Methanol from biomass gasif.'!$D$3:$H$3,0))*7.45/3.6</f>
        <v>28.150387303986399</v>
      </c>
      <c r="Q39" s="33">
        <f>1-INDEX('97 Methanol from biomass gasif.'!$D$4:$H$59,MATCH(SUP_Biofuels!Q$7,'97 Methanol from biomass gasif.'!$B$4:$B$59,0),MATCH(SUP_Biofuels!$I39,'97 Methanol from biomass gasif.'!$D$3:$H$3,0))/52-INDEX('97 Methanol from biomass gasif.'!$D$4:$H$59,MATCH(SUP_Biofuels!Q$8,'97 Methanol from biomass gasif.'!$B$4:$B$59,0),MATCH(SUP_Biofuels!$I39,'97 Methanol from biomass gasif.'!$D$3:$H$3,0))/100</f>
        <v>0.96153846153846156</v>
      </c>
      <c r="R39" s="36">
        <v>3.1536000000000002E-2</v>
      </c>
      <c r="S39" s="34">
        <v>4</v>
      </c>
      <c r="T39" s="21"/>
      <c r="U39" s="21">
        <f>U36</f>
        <v>1</v>
      </c>
      <c r="V39" s="21" t="str">
        <f>V36</f>
        <v>Technology data for advanced bioenergy fuels, Danish Energy Agency, FORCE Technology
Department for Biomass &amp; Waste</v>
      </c>
      <c r="W39" t="s">
        <v>112</v>
      </c>
      <c r="X39" t="s">
        <v>1201</v>
      </c>
      <c r="Y39" s="7"/>
    </row>
    <row r="40" spans="3:25" ht="15.6">
      <c r="C40" s="7"/>
      <c r="D40" s="21"/>
      <c r="E40" s="7"/>
      <c r="F40" s="7"/>
      <c r="G40" s="7" t="str">
        <f>G37</f>
        <v>ELCC</v>
      </c>
      <c r="H40" s="21"/>
      <c r="I40" s="21"/>
      <c r="J40" s="21"/>
      <c r="K40" s="22"/>
      <c r="L40" s="33">
        <f>INDEX('97 Methanol from biomass gasif.'!$D$4:$H$59,MATCH(SUP_Biofuels!Y40,'97 Methanol from biomass gasif.'!$B$4:$B$59,0),MATCH(SUP_Biofuels!$I39,'97 Methanol from biomass gasif.'!$D$3:$H$3,0))*(SUM(K39))</f>
        <v>0.33846153846153842</v>
      </c>
      <c r="M40" s="21"/>
      <c r="N40" s="21"/>
      <c r="O40" s="21"/>
      <c r="P40" s="27"/>
      <c r="Q40" s="21"/>
      <c r="R40" s="21"/>
      <c r="S40" s="21"/>
      <c r="T40" s="21"/>
      <c r="U40" s="21"/>
      <c r="V40" s="21"/>
      <c r="W40" s="7"/>
      <c r="X40" s="7"/>
      <c r="Y40" s="7" t="s">
        <v>1200</v>
      </c>
    </row>
    <row r="41" spans="3:25" ht="15" thickBot="1">
      <c r="C41" s="28"/>
      <c r="D41" s="28"/>
      <c r="E41" s="28"/>
      <c r="F41" s="28"/>
      <c r="G41" s="28" t="str">
        <f>G38</f>
        <v>HETC</v>
      </c>
      <c r="H41" s="28"/>
      <c r="I41" s="28"/>
      <c r="J41" s="28"/>
      <c r="K41" s="28"/>
      <c r="L41" s="29">
        <f>INDEX('97 Methanol from biomass gasif.'!$D$4:$H$59,MATCH(SUP_Biofuels!Y41,'97 Methanol from biomass gasif.'!$B$4:$B$59,0),MATCH(SUP_Biofuels!$I39,'97 Methanol from biomass gasif.'!$D$3:$H$3,0))*(SUM(K39))</f>
        <v>3.0769230769230767E-2</v>
      </c>
      <c r="M41" s="28"/>
      <c r="N41" s="28"/>
      <c r="O41" s="28"/>
      <c r="P41" s="30"/>
      <c r="Q41" s="28"/>
      <c r="R41" s="28"/>
      <c r="S41" s="28"/>
      <c r="T41" s="1076"/>
      <c r="U41" s="31"/>
      <c r="V41" s="31"/>
      <c r="W41" s="28"/>
      <c r="X41" s="28"/>
      <c r="Y41" s="28" t="s">
        <v>1199</v>
      </c>
    </row>
    <row r="42" spans="3:25" ht="15.6">
      <c r="C42" s="17" t="str">
        <f>"SUP"&amp;F42&amp;RIGHT(E42,3)&amp;IF(RIGHT(D42,7)="Central","C1","D1")</f>
        <v>SUPDSB1RPSC1</v>
      </c>
      <c r="D42" s="32" t="str">
        <f>'89 Vegetable oil FAME'!D2&amp;" Central"</f>
        <v>Vegetable Oil FAME Central</v>
      </c>
      <c r="E42" s="17" t="s">
        <v>72</v>
      </c>
      <c r="F42" s="17" t="s">
        <v>73</v>
      </c>
      <c r="G42" s="17"/>
      <c r="H42" s="17" t="s">
        <v>70</v>
      </c>
      <c r="I42" s="17">
        <f>'93 1st generation ethanol'!$D$3</f>
        <v>2015</v>
      </c>
      <c r="J42" s="19">
        <v>2030</v>
      </c>
      <c r="K42" s="33">
        <f>(INDEX('89 Vegetable oil FAME'!$D$4:$H$59,MATCH(SUP_Biofuels!W42,'89 Vegetable oil FAME'!$B$4:$B$59,0),MATCH(SUP_Biofuels!$I42,'89 Vegetable oil FAME'!$D$3:$H$3,0)))/INDEX('89 Vegetable oil FAME'!$D$4:$H$59,MATCH(SUP_Biofuels!X42,'89 Vegetable oil FAME'!$B$4:$B$59,0),MATCH(SUP_Biofuels!$I42,'89 Vegetable oil FAME'!$D$3:$H$3,0))</f>
        <v>1.0243632336655593</v>
      </c>
      <c r="L42" s="33"/>
      <c r="M42" s="34">
        <f>INDEX('89 Vegetable oil FAME'!$D$4:$H$59,MATCH(SUP_Biofuels!M$8,'89 Vegetable oil FAME'!$B$4:$B$59,0),MATCH(SUP_Biofuels!$I42,'89 Vegetable oil FAME'!$D$3:$H$3,0))</f>
        <v>25</v>
      </c>
      <c r="N42" s="35">
        <f>INDEX('89 Vegetable oil FAME'!$D$4:$H$59,MATCH(SUP_Biofuels!N$8,'89 Vegetable oil FAME'!$B$4:$B$59,0),MATCH(SUP_Biofuels!$I42,'89 Vegetable oil FAME'!$D$3:$H$3,0))*7.45</f>
        <v>3.8144</v>
      </c>
      <c r="O42" s="35">
        <f>INDEX('89 Vegetable oil FAME'!$D$4:$H$59,MATCH(SUP_Biofuels!O$8,'89 Vegetable oil FAME'!$B$4:$B$59,0),MATCH(SUP_Biofuels!$I42,'89 Vegetable oil FAME'!$D$3:$H$3,0))*7.45</f>
        <v>0.13112000000000001</v>
      </c>
      <c r="P42" s="35">
        <f>INDEX('89 Vegetable oil FAME'!$D$4:$H$59,MATCH(SUP_Biofuels!P$8,'89 Vegetable oil FAME'!$B$4:$B$59,0),MATCH(SUP_Biofuels!$I42,'89 Vegetable oil FAME'!$D$3:$H$3,0))*7.45/3.6</f>
        <v>14.010138888888887</v>
      </c>
      <c r="Q42" s="33">
        <f>1-INDEX('89 Vegetable oil FAME'!$D$4:$H$59,MATCH(SUP_Biofuels!Q$7,'89 Vegetable oil FAME'!$B$4:$B$59,0),MATCH(SUP_Biofuels!$I42,'89 Vegetable oil FAME'!$D$3:$H$3,0))/52-INDEX('89 Vegetable oil FAME'!$D$4:$H$59,MATCH(SUP_Biofuels!Q$8,'89 Vegetable oil FAME'!$B$4:$B$59,0),MATCH(SUP_Biofuels!$I42,'89 Vegetable oil FAME'!$D$3:$H$3,0))/100</f>
        <v>0.96153846153846156</v>
      </c>
      <c r="R42" s="36">
        <f>$R$39</f>
        <v>3.1536000000000002E-2</v>
      </c>
      <c r="S42" s="34">
        <f>INDEX('89 Vegetable oil FAME'!$D$4:$H$59,MATCH(SUP_Biofuels!S$8,'89 Vegetable oil FAME'!$B$4:$B$59,0),MATCH(SUP_Biofuels!$I42,'89 Vegetable oil FAME'!$D$3:$H$3,0))</f>
        <v>1.5</v>
      </c>
      <c r="T42" s="34"/>
      <c r="U42" s="37"/>
      <c r="V42" s="38" t="s">
        <v>74</v>
      </c>
      <c r="W42" s="17" t="str">
        <f>'89 Vegetable oil FAME'!B9</f>
        <v>Veg Oil Consumption, MWh/MWh Total Input</v>
      </c>
      <c r="X42" s="17" t="str">
        <f>'89 Vegetable oil FAME'!B14</f>
        <v>Biodiesel Output, MWh/MWh Total Input</v>
      </c>
      <c r="Y42" s="17"/>
    </row>
    <row r="43" spans="3:25">
      <c r="C43" s="17"/>
      <c r="D43" s="17"/>
      <c r="E43" s="17" t="s">
        <v>1419</v>
      </c>
      <c r="F43" s="17"/>
      <c r="G43" s="17"/>
      <c r="H43" s="17"/>
      <c r="I43" s="17"/>
      <c r="J43" s="17"/>
      <c r="K43" s="33">
        <f>(INDEX('89 Vegetable oil FAME'!$D$4:$H$59,MATCH(SUP_Biofuels!W43,'89 Vegetable oil FAME'!$B$4:$B$59,0),MATCH(SUP_Biofuels!$I42,'89 Vegetable oil FAME'!$D$3:$H$3,0)))/INDEX('89 Vegetable oil FAME'!$D$4:$H$59,MATCH(SUP_Biofuels!X42,'89 Vegetable oil FAME'!$B$4:$B$59,0),MATCH(SUP_Biofuels!$I42,'89 Vegetable oil FAME'!$D$3:$H$3,0))</f>
        <v>5.0941306755260242E-2</v>
      </c>
      <c r="L43" s="33"/>
      <c r="M43" s="39"/>
      <c r="N43" s="40"/>
      <c r="O43" s="40"/>
      <c r="P43" s="40"/>
      <c r="Q43" s="41"/>
      <c r="R43" s="42"/>
      <c r="S43" s="39"/>
      <c r="T43" s="39"/>
      <c r="U43" s="43"/>
      <c r="V43" s="43"/>
      <c r="W43" s="17" t="str">
        <f>'89 Vegetable oil FAME'!B10</f>
        <v>Methanol Consumption, MWh/MWh Total Input</v>
      </c>
      <c r="X43" s="17"/>
      <c r="Y43" s="17"/>
    </row>
    <row r="44" spans="3:25">
      <c r="C44" s="43"/>
      <c r="D44" s="43"/>
      <c r="E44" s="43" t="s">
        <v>71</v>
      </c>
      <c r="F44" s="43"/>
      <c r="G44" s="43"/>
      <c r="H44" s="43"/>
      <c r="I44" s="43"/>
      <c r="J44" s="43"/>
      <c r="K44" s="33">
        <f>(INDEX('89 Vegetable oil FAME'!$D$4:$H$59,MATCH(SUP_Biofuels!W44,'89 Vegetable oil FAME'!$B$4:$B$59,0),MATCH(SUP_Biofuels!$I42,'89 Vegetable oil FAME'!$D$3:$H$3,0)))/INDEX('89 Vegetable oil FAME'!$D$4:$H$59,MATCH(SUP_Biofuels!X42,'89 Vegetable oil FAME'!$B$4:$B$59,0),MATCH(SUP_Biofuels!$I42,'89 Vegetable oil FAME'!$D$3:$H$3,0))</f>
        <v>4.4296788482834993E-3</v>
      </c>
      <c r="L44" s="43"/>
      <c r="M44" s="43"/>
      <c r="N44" s="43"/>
      <c r="O44" s="43"/>
      <c r="P44" s="40"/>
      <c r="Q44" s="43"/>
      <c r="R44" s="43"/>
      <c r="S44" s="43"/>
      <c r="T44" s="43"/>
      <c r="U44" s="43"/>
      <c r="V44" s="43"/>
      <c r="W44" s="17" t="str">
        <f>'89 Vegetable oil FAME'!B11</f>
        <v>Electricity Consumption, MWh/MWh Total Input</v>
      </c>
      <c r="X44" s="43"/>
      <c r="Y44" s="43"/>
    </row>
    <row r="45" spans="3:25">
      <c r="C45" s="43"/>
      <c r="D45" s="43"/>
      <c r="E45" s="43" t="s">
        <v>1760</v>
      </c>
      <c r="F45" s="43"/>
      <c r="G45" s="43"/>
      <c r="H45" s="43"/>
      <c r="I45" s="43"/>
      <c r="J45" s="43"/>
      <c r="K45" s="33">
        <f>(INDEX('89 Vegetable oil FAME'!$D$4:$H$59,MATCH(SUP_Biofuels!W45,'89 Vegetable oil FAME'!$B$4:$B$59,0),MATCH(SUP_Biofuels!$I42,'89 Vegetable oil FAME'!$D$3:$H$3,0)))/INDEX('89 Vegetable oil FAME'!$D$4:$H$59,MATCH(SUP_Biofuels!X42,'89 Vegetable oil FAME'!$B$4:$B$59,0),MATCH(SUP_Biofuels!$I42,'89 Vegetable oil FAME'!$D$3:$H$3,0))</f>
        <v>2.7685492801771874E-2</v>
      </c>
      <c r="L45" s="43"/>
      <c r="M45" s="43"/>
      <c r="N45" s="43"/>
      <c r="O45" s="43"/>
      <c r="P45" s="40"/>
      <c r="Q45" s="43"/>
      <c r="R45" s="43"/>
      <c r="S45" s="43"/>
      <c r="T45" s="43"/>
      <c r="U45" s="43"/>
      <c r="V45" s="43"/>
      <c r="W45" s="17" t="str">
        <f>'89 Vegetable oil FAME'!B12</f>
        <v>Natural Gas Consumption, MWh/MWh Total Input</v>
      </c>
      <c r="X45" s="43"/>
      <c r="Y45" s="43"/>
    </row>
    <row r="46" spans="3:25">
      <c r="C46" s="43"/>
      <c r="D46" s="43"/>
      <c r="E46" s="43"/>
      <c r="F46" s="43"/>
      <c r="G46" s="43" t="s">
        <v>75</v>
      </c>
      <c r="H46" s="43"/>
      <c r="I46" s="43"/>
      <c r="J46" s="43"/>
      <c r="K46" s="43"/>
      <c r="L46" s="33">
        <f>INDEX('89 Vegetable oil FAME'!$D$4:$H$59,MATCH(SUP_Biofuels!Y46,'89 Vegetable oil FAME'!$B$4:$B$59,0),MATCH(SUP_Biofuels!$I42,'89 Vegetable oil FAME'!$D$3:$H$3,0))*(SUM(K42:K45))</f>
        <v>4.3189368770764118E-2</v>
      </c>
      <c r="M46" s="43"/>
      <c r="N46" s="43"/>
      <c r="O46" s="43"/>
      <c r="P46" s="40"/>
      <c r="Q46" s="43"/>
      <c r="R46" s="43"/>
      <c r="S46" s="43"/>
      <c r="T46" s="43"/>
      <c r="U46" s="43"/>
      <c r="V46" s="43"/>
      <c r="W46" s="43"/>
      <c r="X46" s="43"/>
      <c r="Y46" s="43" t="str">
        <f>'89 Vegetable oil FAME'!B15</f>
        <v>Glycerine  Output, MWh/MWh Total Input</v>
      </c>
    </row>
    <row r="47" spans="3:25" ht="15.6">
      <c r="C47" s="17"/>
      <c r="D47" s="32"/>
      <c r="E47" s="17" t="str">
        <f>E42</f>
        <v>SUPRPS</v>
      </c>
      <c r="F47" s="17" t="str">
        <f>F42</f>
        <v>DSB1</v>
      </c>
      <c r="G47" s="17"/>
      <c r="H47" s="17" t="s">
        <v>70</v>
      </c>
      <c r="I47" s="17">
        <v>2020</v>
      </c>
      <c r="J47" s="17"/>
      <c r="K47" s="33">
        <f>(INDEX('89 Vegetable oil FAME'!$D$4:$H$59,MATCH(SUP_Biofuels!W47,'89 Vegetable oil FAME'!$B$4:$B$59,0),MATCH(SUP_Biofuels!$I47,'89 Vegetable oil FAME'!$D$3:$H$3,0)))/INDEX('89 Vegetable oil FAME'!$D$4:$H$59,MATCH(SUP_Biofuels!X47,'89 Vegetable oil FAME'!$B$4:$B$59,0),MATCH(SUP_Biofuels!$I47,'89 Vegetable oil FAME'!$D$3:$H$3,0))</f>
        <v>1.0254706533776301</v>
      </c>
      <c r="L47" s="33"/>
      <c r="M47" s="34">
        <f>INDEX('89 Vegetable oil FAME'!$D$4:$H$59,MATCH(SUP_Biofuels!M$8,'89 Vegetable oil FAME'!$B$4:$B$59,0),MATCH(SUP_Biofuels!$I47,'89 Vegetable oil FAME'!$D$3:$H$3,0))</f>
        <v>25</v>
      </c>
      <c r="N47" s="35">
        <f>INDEX('89 Vegetable oil FAME'!$D$4:$H$59,MATCH(SUP_Biofuels!N$8,'89 Vegetable oil FAME'!$B$4:$B$59,0),MATCH(SUP_Biofuels!$I47,'89 Vegetable oil FAME'!$D$3:$H$3,0))*7.45</f>
        <v>3.7547999999999999</v>
      </c>
      <c r="O47" s="35">
        <f>INDEX('89 Vegetable oil FAME'!$D$4:$H$59,MATCH(SUP_Biofuels!O$8,'89 Vegetable oil FAME'!$B$4:$B$59,0),MATCH(SUP_Biofuels!$I47,'89 Vegetable oil FAME'!$D$3:$H$3,0))*7.45</f>
        <v>0.13112000000000001</v>
      </c>
      <c r="P47" s="35">
        <f>INDEX('89 Vegetable oil FAME'!$D$4:$H$59,MATCH(SUP_Biofuels!P$8,'89 Vegetable oil FAME'!$B$4:$B$59,0),MATCH(SUP_Biofuels!$I47,'89 Vegetable oil FAME'!$D$3:$H$3,0))*7.45/3.6</f>
        <v>14.010138888888887</v>
      </c>
      <c r="Q47" s="33">
        <f>1-INDEX('89 Vegetable oil FAME'!$D$4:$H$59,MATCH(SUP_Biofuels!Q$7,'89 Vegetable oil FAME'!$B$4:$B$59,0),MATCH(SUP_Biofuels!$I47,'89 Vegetable oil FAME'!$D$3:$H$3,0))/52-INDEX('89 Vegetable oil FAME'!$D$4:$H$59,MATCH(SUP_Biofuels!Q$8,'89 Vegetable oil FAME'!$B$4:$B$59,0),MATCH(SUP_Biofuels!$I47,'89 Vegetable oil FAME'!$D$3:$H$3,0))/100</f>
        <v>0.96153846153846156</v>
      </c>
      <c r="R47" s="36">
        <f>$R$39</f>
        <v>3.1536000000000002E-2</v>
      </c>
      <c r="S47" s="34">
        <f>INDEX('89 Vegetable oil FAME'!$D$4:$H$59,MATCH(SUP_Biofuels!S$8,'89 Vegetable oil FAME'!$B$4:$B$59,0),MATCH(SUP_Biofuels!$I47,'89 Vegetable oil FAME'!$D$3:$H$3,0))</f>
        <v>1.5</v>
      </c>
      <c r="T47" s="34"/>
      <c r="U47" s="44"/>
      <c r="V47" s="45"/>
      <c r="W47" s="17" t="str">
        <f>W42</f>
        <v>Veg Oil Consumption, MWh/MWh Total Input</v>
      </c>
      <c r="X47" s="17" t="str">
        <f>X42</f>
        <v>Biodiesel Output, MWh/MWh Total Input</v>
      </c>
      <c r="Y47" s="17"/>
    </row>
    <row r="48" spans="3:25">
      <c r="C48" s="17"/>
      <c r="D48" s="17"/>
      <c r="E48" s="17" t="str">
        <f>E43</f>
        <v>SUPMOB</v>
      </c>
      <c r="F48" s="17"/>
      <c r="G48" s="17"/>
      <c r="H48" s="17"/>
      <c r="I48" s="17"/>
      <c r="J48" s="17"/>
      <c r="K48" s="33">
        <f>(INDEX('89 Vegetable oil FAME'!$D$4:$H$59,MATCH(SUP_Biofuels!W48,'89 Vegetable oil FAME'!$B$4:$B$59,0),MATCH(SUP_Biofuels!$I47,'89 Vegetable oil FAME'!$D$3:$H$3,0)))/INDEX('89 Vegetable oil FAME'!$D$4:$H$59,MATCH(SUP_Biofuels!X47,'89 Vegetable oil FAME'!$B$4:$B$59,0),MATCH(SUP_Biofuels!$I47,'89 Vegetable oil FAME'!$D$3:$H$3,0))</f>
        <v>5.0941306755260242E-2</v>
      </c>
      <c r="L48" s="33"/>
      <c r="M48" s="39"/>
      <c r="N48" s="40"/>
      <c r="O48" s="40"/>
      <c r="P48" s="40"/>
      <c r="Q48" s="41"/>
      <c r="R48" s="42"/>
      <c r="S48" s="39"/>
      <c r="T48" s="39"/>
      <c r="U48" s="43"/>
      <c r="V48" s="43"/>
      <c r="W48" s="17" t="str">
        <f>W43</f>
        <v>Methanol Consumption, MWh/MWh Total Input</v>
      </c>
      <c r="X48" s="17"/>
      <c r="Y48" s="17"/>
    </row>
    <row r="49" spans="3:25">
      <c r="C49" s="43"/>
      <c r="D49" s="43"/>
      <c r="E49" s="17" t="str">
        <f>E44</f>
        <v>SUPELC</v>
      </c>
      <c r="F49" s="43"/>
      <c r="G49" s="43"/>
      <c r="H49" s="43"/>
      <c r="I49" s="43"/>
      <c r="J49" s="43"/>
      <c r="K49" s="33">
        <f>(INDEX('89 Vegetable oil FAME'!$D$4:$H$59,MATCH(SUP_Biofuels!W49,'89 Vegetable oil FAME'!$B$4:$B$59,0),MATCH(SUP_Biofuels!$I47,'89 Vegetable oil FAME'!$D$3:$H$3,0)))/INDEX('89 Vegetable oil FAME'!$D$4:$H$59,MATCH(SUP_Biofuels!X47,'89 Vegetable oil FAME'!$B$4:$B$59,0),MATCH(SUP_Biofuels!$I47,'89 Vegetable oil FAME'!$D$3:$H$3,0))</f>
        <v>4.4296788482834993E-3</v>
      </c>
      <c r="L49" s="43"/>
      <c r="M49" s="43"/>
      <c r="N49" s="43"/>
      <c r="O49" s="43"/>
      <c r="P49" s="40"/>
      <c r="Q49" s="43"/>
      <c r="R49" s="43"/>
      <c r="S49" s="43"/>
      <c r="T49" s="43"/>
      <c r="U49" s="43"/>
      <c r="V49" s="43"/>
      <c r="W49" s="17" t="str">
        <f>W44</f>
        <v>Electricity Consumption, MWh/MWh Total Input</v>
      </c>
      <c r="X49" s="43"/>
      <c r="Y49" s="43"/>
    </row>
    <row r="50" spans="3:25">
      <c r="C50" s="43"/>
      <c r="D50" s="43"/>
      <c r="E50" s="17" t="str">
        <f>E45</f>
        <v>SUPNGA,SUPSNG,SUPH2</v>
      </c>
      <c r="F50" s="43"/>
      <c r="G50" s="43"/>
      <c r="H50" s="43"/>
      <c r="I50" s="43"/>
      <c r="J50" s="43"/>
      <c r="K50" s="33">
        <f>(INDEX('89 Vegetable oil FAME'!$D$4:$H$59,MATCH(SUP_Biofuels!W50,'89 Vegetable oil FAME'!$B$4:$B$59,0),MATCH(SUP_Biofuels!$I47,'89 Vegetable oil FAME'!$D$3:$H$3,0)))/INDEX('89 Vegetable oil FAME'!$D$4:$H$59,MATCH(SUP_Biofuels!X47,'89 Vegetable oil FAME'!$B$4:$B$59,0),MATCH(SUP_Biofuels!$I47,'89 Vegetable oil FAME'!$D$3:$H$3,0))</f>
        <v>2.6578073089700997E-2</v>
      </c>
      <c r="L50" s="43"/>
      <c r="M50" s="43"/>
      <c r="N50" s="43"/>
      <c r="O50" s="43"/>
      <c r="P50" s="40"/>
      <c r="Q50" s="43"/>
      <c r="R50" s="43"/>
      <c r="S50" s="43"/>
      <c r="T50" s="43"/>
      <c r="U50" s="43"/>
      <c r="V50" s="43"/>
      <c r="W50" s="17" t="str">
        <f>W45</f>
        <v>Natural Gas Consumption, MWh/MWh Total Input</v>
      </c>
      <c r="X50" s="43"/>
      <c r="Y50" s="43"/>
    </row>
    <row r="51" spans="3:25" ht="15.6">
      <c r="C51" s="43"/>
      <c r="D51" s="32"/>
      <c r="E51" s="43"/>
      <c r="F51" s="43"/>
      <c r="G51" s="17" t="str">
        <f>G46</f>
        <v>GLY</v>
      </c>
      <c r="H51" s="43"/>
      <c r="I51" s="43"/>
      <c r="J51" s="43"/>
      <c r="K51" s="43"/>
      <c r="L51" s="33">
        <f>INDEX('89 Vegetable oil FAME'!$D$4:$H$59,MATCH(SUP_Biofuels!Y51,'89 Vegetable oil FAME'!$B$4:$B$59,0),MATCH(SUP_Biofuels!$I47,'89 Vegetable oil FAME'!$D$3:$H$3,0))*(SUM(K47:K50))</f>
        <v>4.3189368770764118E-2</v>
      </c>
      <c r="M51" s="43"/>
      <c r="N51" s="43"/>
      <c r="O51" s="43"/>
      <c r="P51" s="40"/>
      <c r="Q51" s="43"/>
      <c r="R51" s="43"/>
      <c r="S51" s="43"/>
      <c r="T51" s="43"/>
      <c r="U51" s="43"/>
      <c r="V51" s="45"/>
      <c r="W51" s="43"/>
      <c r="X51" s="43"/>
      <c r="Y51" s="17" t="str">
        <f>Y46</f>
        <v>Glycerine  Output, MWh/MWh Total Input</v>
      </c>
    </row>
    <row r="52" spans="3:25">
      <c r="C52" s="43"/>
      <c r="D52" s="17"/>
      <c r="E52" s="17" t="str">
        <f>E47</f>
        <v>SUPRPS</v>
      </c>
      <c r="F52" s="17" t="str">
        <f>F47</f>
        <v>DSB1</v>
      </c>
      <c r="G52" s="17"/>
      <c r="H52" s="17" t="s">
        <v>70</v>
      </c>
      <c r="I52" s="17">
        <v>2030</v>
      </c>
      <c r="J52" s="17"/>
      <c r="K52" s="33">
        <f>(INDEX('89 Vegetable oil FAME'!$D$4:$H$59,MATCH(SUP_Biofuels!W52,'89 Vegetable oil FAME'!$B$4:$B$59,0),MATCH(SUP_Biofuels!$I52,'89 Vegetable oil FAME'!$D$3:$H$3,0)))/INDEX('89 Vegetable oil FAME'!$D$4:$H$59,MATCH(SUP_Biofuels!X52,'89 Vegetable oil FAME'!$B$4:$B$59,0),MATCH(SUP_Biofuels!$I52,'89 Vegetable oil FAME'!$D$3:$H$3,0))</f>
        <v>1.0287929125138429</v>
      </c>
      <c r="L52" s="33"/>
      <c r="M52" s="34">
        <f>INDEX('89 Vegetable oil FAME'!$D$4:$H$59,MATCH(SUP_Biofuels!M$8,'89 Vegetable oil FAME'!$B$4:$B$59,0),MATCH(SUP_Biofuels!$I52,'89 Vegetable oil FAME'!$D$3:$H$3,0))</f>
        <v>25</v>
      </c>
      <c r="N52" s="35">
        <f>INDEX('89 Vegetable oil FAME'!$D$4:$H$59,MATCH(SUP_Biofuels!N$8,'89 Vegetable oil FAME'!$B$4:$B$59,0),MATCH(SUP_Biofuels!$I52,'89 Vegetable oil FAME'!$D$3:$H$3,0))*7.45</f>
        <v>3.6952000000000003</v>
      </c>
      <c r="O52" s="35">
        <f>INDEX('89 Vegetable oil FAME'!$D$4:$H$59,MATCH(SUP_Biofuels!O$8,'89 Vegetable oil FAME'!$B$4:$B$59,0),MATCH(SUP_Biofuels!$I52,'89 Vegetable oil FAME'!$D$3:$H$3,0))*7.45</f>
        <v>0.13112000000000001</v>
      </c>
      <c r="P52" s="35">
        <f>INDEX('89 Vegetable oil FAME'!$D$4:$H$59,MATCH(SUP_Biofuels!P$8,'89 Vegetable oil FAME'!$B$4:$B$59,0),MATCH(SUP_Biofuels!$I52,'89 Vegetable oil FAME'!$D$3:$H$3,0))*7.45/3.6</f>
        <v>14.010138888888887</v>
      </c>
      <c r="Q52" s="33">
        <f>1-INDEX('89 Vegetable oil FAME'!$D$4:$H$59,MATCH(SUP_Biofuels!Q$7,'89 Vegetable oil FAME'!$B$4:$B$59,0),MATCH(SUP_Biofuels!$I52,'89 Vegetable oil FAME'!$D$3:$H$3,0))/52-INDEX('89 Vegetable oil FAME'!$D$4:$H$59,MATCH(SUP_Biofuels!Q$8,'89 Vegetable oil FAME'!$B$4:$B$59,0),MATCH(SUP_Biofuels!$I52,'89 Vegetable oil FAME'!$D$3:$H$3,0))/100</f>
        <v>0.96153846153846156</v>
      </c>
      <c r="R52" s="36">
        <f>$R$39</f>
        <v>3.1536000000000002E-2</v>
      </c>
      <c r="S52" s="34">
        <f>INDEX('89 Vegetable oil FAME'!$D$4:$H$59,MATCH(SUP_Biofuels!S$8,'89 Vegetable oil FAME'!$B$4:$B$59,0),MATCH(SUP_Biofuels!$I52,'89 Vegetable oil FAME'!$D$3:$H$3,0))</f>
        <v>1.5</v>
      </c>
      <c r="T52" s="34"/>
      <c r="U52" s="44"/>
      <c r="V52" s="43"/>
      <c r="W52" s="17" t="str">
        <f>W47</f>
        <v>Veg Oil Consumption, MWh/MWh Total Input</v>
      </c>
      <c r="X52" s="17" t="str">
        <f>X47</f>
        <v>Biodiesel Output, MWh/MWh Total Input</v>
      </c>
      <c r="Y52" s="17"/>
    </row>
    <row r="53" spans="3:25">
      <c r="C53" s="43"/>
      <c r="D53" s="43"/>
      <c r="E53" s="17" t="str">
        <f>E48</f>
        <v>SUPMOB</v>
      </c>
      <c r="F53" s="17"/>
      <c r="G53" s="17"/>
      <c r="H53" s="17"/>
      <c r="I53" s="17"/>
      <c r="J53" s="17"/>
      <c r="K53" s="33">
        <f>(INDEX('89 Vegetable oil FAME'!$D$4:$H$59,MATCH(SUP_Biofuels!W53,'89 Vegetable oil FAME'!$B$4:$B$59,0),MATCH(SUP_Biofuels!$I52,'89 Vegetable oil FAME'!$D$3:$H$3,0)))/INDEX('89 Vegetable oil FAME'!$D$4:$H$59,MATCH(SUP_Biofuels!X52,'89 Vegetable oil FAME'!$B$4:$B$59,0),MATCH(SUP_Biofuels!$I52,'89 Vegetable oil FAME'!$D$3:$H$3,0))</f>
        <v>5.0941306755260242E-2</v>
      </c>
      <c r="L53" s="33"/>
      <c r="M53" s="39"/>
      <c r="N53" s="40"/>
      <c r="O53" s="40"/>
      <c r="P53" s="40"/>
      <c r="Q53" s="41"/>
      <c r="R53" s="42"/>
      <c r="S53" s="39"/>
      <c r="T53" s="39"/>
      <c r="U53" s="43"/>
      <c r="V53" s="43"/>
      <c r="W53" s="17" t="str">
        <f>W48</f>
        <v>Methanol Consumption, MWh/MWh Total Input</v>
      </c>
      <c r="X53" s="17"/>
      <c r="Y53" s="17"/>
    </row>
    <row r="54" spans="3:25">
      <c r="C54" s="43"/>
      <c r="D54" s="43"/>
      <c r="E54" s="17" t="str">
        <f>E49</f>
        <v>SUPELC</v>
      </c>
      <c r="F54" s="43"/>
      <c r="G54" s="43"/>
      <c r="H54" s="43"/>
      <c r="I54" s="43"/>
      <c r="J54" s="43"/>
      <c r="K54" s="33">
        <f>(INDEX('89 Vegetable oil FAME'!$D$4:$H$59,MATCH(SUP_Biofuels!W54,'89 Vegetable oil FAME'!$B$4:$B$59,0),MATCH(SUP_Biofuels!$I52,'89 Vegetable oil FAME'!$D$3:$H$3,0)))/INDEX('89 Vegetable oil FAME'!$D$4:$H$59,MATCH(SUP_Biofuels!X52,'89 Vegetable oil FAME'!$B$4:$B$59,0),MATCH(SUP_Biofuels!$I52,'89 Vegetable oil FAME'!$D$3:$H$3,0))</f>
        <v>3.3222591362126247E-3</v>
      </c>
      <c r="L54" s="43"/>
      <c r="M54" s="43"/>
      <c r="N54" s="43"/>
      <c r="O54" s="43"/>
      <c r="P54" s="40"/>
      <c r="Q54" s="43"/>
      <c r="R54" s="43"/>
      <c r="S54" s="43"/>
      <c r="T54" s="43"/>
      <c r="U54" s="43"/>
      <c r="V54" s="43"/>
      <c r="W54" s="17" t="str">
        <f>W49</f>
        <v>Electricity Consumption, MWh/MWh Total Input</v>
      </c>
      <c r="X54" s="43"/>
      <c r="Y54" s="43"/>
    </row>
    <row r="55" spans="3:25" ht="15.6">
      <c r="C55" s="43"/>
      <c r="D55" s="32"/>
      <c r="E55" s="17" t="str">
        <f>E50</f>
        <v>SUPNGA,SUPSNG,SUPH2</v>
      </c>
      <c r="F55" s="43"/>
      <c r="G55" s="43"/>
      <c r="H55" s="43"/>
      <c r="I55" s="43"/>
      <c r="J55" s="43"/>
      <c r="K55" s="33">
        <f>(INDEX('89 Vegetable oil FAME'!$D$4:$H$59,MATCH(SUP_Biofuels!W55,'89 Vegetable oil FAME'!$B$4:$B$59,0),MATCH(SUP_Biofuels!$I52,'89 Vegetable oil FAME'!$D$3:$H$3,0)))/INDEX('89 Vegetable oil FAME'!$D$4:$H$59,MATCH(SUP_Biofuels!X52,'89 Vegetable oil FAME'!$B$4:$B$59,0),MATCH(SUP_Biofuels!$I52,'89 Vegetable oil FAME'!$D$3:$H$3,0))</f>
        <v>2.4363233665559245E-2</v>
      </c>
      <c r="L55" s="43"/>
      <c r="M55" s="43"/>
      <c r="N55" s="43"/>
      <c r="O55" s="43"/>
      <c r="P55" s="40"/>
      <c r="Q55" s="43"/>
      <c r="R55" s="43"/>
      <c r="S55" s="43"/>
      <c r="T55" s="43"/>
      <c r="U55" s="43"/>
      <c r="V55" s="45"/>
      <c r="W55" s="17" t="str">
        <f>W50</f>
        <v>Natural Gas Consumption, MWh/MWh Total Input</v>
      </c>
      <c r="X55" s="43"/>
      <c r="Y55" s="43"/>
    </row>
    <row r="56" spans="3:25">
      <c r="C56" s="43"/>
      <c r="D56" s="17"/>
      <c r="E56" s="43"/>
      <c r="F56" s="43"/>
      <c r="G56" s="17" t="str">
        <f>G51</f>
        <v>GLY</v>
      </c>
      <c r="H56" s="43"/>
      <c r="I56" s="43"/>
      <c r="J56" s="43"/>
      <c r="K56" s="43"/>
      <c r="L56" s="33">
        <f>INDEX('89 Vegetable oil FAME'!$D$4:$H$59,MATCH(SUP_Biofuels!Y56,'89 Vegetable oil FAME'!$B$4:$B$59,0),MATCH(SUP_Biofuels!$I52,'89 Vegetable oil FAME'!$D$3:$H$3,0))*(SUM(K52:K55))</f>
        <v>4.3189368770764118E-2</v>
      </c>
      <c r="M56" s="43"/>
      <c r="N56" s="43"/>
      <c r="O56" s="43"/>
      <c r="P56" s="40"/>
      <c r="Q56" s="43"/>
      <c r="R56" s="43"/>
      <c r="S56" s="43"/>
      <c r="T56" s="43"/>
      <c r="U56" s="43"/>
      <c r="V56" s="43"/>
      <c r="W56" s="43"/>
      <c r="X56" s="43"/>
      <c r="Y56" s="17" t="str">
        <f>Y51</f>
        <v>Glycerine  Output, MWh/MWh Total Input</v>
      </c>
    </row>
    <row r="57" spans="3:25">
      <c r="C57" s="43"/>
      <c r="D57" s="43"/>
      <c r="E57" s="17" t="str">
        <f>E52</f>
        <v>SUPRPS</v>
      </c>
      <c r="F57" s="17" t="str">
        <f>F52</f>
        <v>DSB1</v>
      </c>
      <c r="G57" s="17"/>
      <c r="H57" s="17" t="s">
        <v>70</v>
      </c>
      <c r="I57" s="17">
        <v>2040</v>
      </c>
      <c r="J57" s="17"/>
      <c r="K57" s="33">
        <f>(INDEX('89 Vegetable oil FAME'!$D$4:$H$59,MATCH(SUP_Biofuels!W57,'89 Vegetable oil FAME'!$B$4:$B$59,0),MATCH(SUP_Biofuels!$I57,'89 Vegetable oil FAME'!$D$3:$H$3,0)))/INDEX('89 Vegetable oil FAME'!$D$4:$H$59,MATCH(SUP_Biofuels!X57,'89 Vegetable oil FAME'!$B$4:$B$59,0),MATCH(SUP_Biofuels!$I57,'89 Vegetable oil FAME'!$D$3:$H$3,0))</f>
        <v>1.0310077519379846</v>
      </c>
      <c r="L57" s="33"/>
      <c r="M57" s="34">
        <f>INDEX('89 Vegetable oil FAME'!$D$4:$H$59,MATCH(SUP_Biofuels!M$8,'89 Vegetable oil FAME'!$B$4:$B$59,0),MATCH(SUP_Biofuels!$I57,'89 Vegetable oil FAME'!$D$3:$H$3,0))</f>
        <v>25</v>
      </c>
      <c r="N57" s="35">
        <f>INDEX('89 Vegetable oil FAME'!$D$4:$H$59,MATCH(SUP_Biofuels!N$8,'89 Vegetable oil FAME'!$B$4:$B$59,0),MATCH(SUP_Biofuels!$I57,'89 Vegetable oil FAME'!$D$3:$H$3,0))*7.45</f>
        <v>3.6505000000000001</v>
      </c>
      <c r="O57" s="35">
        <f>INDEX('89 Vegetable oil FAME'!$D$4:$H$59,MATCH(SUP_Biofuels!O$8,'89 Vegetable oil FAME'!$B$4:$B$59,0),MATCH(SUP_Biofuels!$I57,'89 Vegetable oil FAME'!$D$3:$H$3,0))*7.45</f>
        <v>0.13112000000000001</v>
      </c>
      <c r="P57" s="35">
        <f>INDEX('89 Vegetable oil FAME'!$D$4:$H$59,MATCH(SUP_Biofuels!P$8,'89 Vegetable oil FAME'!$B$4:$B$59,0),MATCH(SUP_Biofuels!$I57,'89 Vegetable oil FAME'!$D$3:$H$3,0))*7.45/3.6</f>
        <v>14.010138888888887</v>
      </c>
      <c r="Q57" s="33">
        <f>1-INDEX('89 Vegetable oil FAME'!$D$4:$H$59,MATCH(SUP_Biofuels!Q$7,'89 Vegetable oil FAME'!$B$4:$B$59,0),MATCH(SUP_Biofuels!$I57,'89 Vegetable oil FAME'!$D$3:$H$3,0))/52-INDEX('89 Vegetable oil FAME'!$D$4:$H$59,MATCH(SUP_Biofuels!Q$8,'89 Vegetable oil FAME'!$B$4:$B$59,0),MATCH(SUP_Biofuels!$I57,'89 Vegetable oil FAME'!$D$3:$H$3,0))/100</f>
        <v>0.96153846153846156</v>
      </c>
      <c r="R57" s="36">
        <f>$R$39</f>
        <v>3.1536000000000002E-2</v>
      </c>
      <c r="S57" s="34">
        <f>INDEX('89 Vegetable oil FAME'!$D$4:$H$59,MATCH(SUP_Biofuels!S$8,'89 Vegetable oil FAME'!$B$4:$B$59,0),MATCH(SUP_Biofuels!$I57,'89 Vegetable oil FAME'!$D$3:$H$3,0))</f>
        <v>1.5</v>
      </c>
      <c r="T57" s="34"/>
      <c r="U57" s="44"/>
      <c r="V57" s="43"/>
      <c r="W57" s="17" t="str">
        <f>W52</f>
        <v>Veg Oil Consumption, MWh/MWh Total Input</v>
      </c>
      <c r="X57" s="17" t="str">
        <f>X52</f>
        <v>Biodiesel Output, MWh/MWh Total Input</v>
      </c>
      <c r="Y57" s="17"/>
    </row>
    <row r="58" spans="3:25">
      <c r="C58" s="43"/>
      <c r="D58" s="43"/>
      <c r="E58" s="17" t="str">
        <f>E53</f>
        <v>SUPMOB</v>
      </c>
      <c r="F58" s="17"/>
      <c r="G58" s="17"/>
      <c r="H58" s="17"/>
      <c r="I58" s="17"/>
      <c r="J58" s="17"/>
      <c r="K58" s="33">
        <f>(INDEX('89 Vegetable oil FAME'!$D$4:$H$59,MATCH(SUP_Biofuels!W58,'89 Vegetable oil FAME'!$B$4:$B$59,0),MATCH(SUP_Biofuels!$I57,'89 Vegetable oil FAME'!$D$3:$H$3,0)))/INDEX('89 Vegetable oil FAME'!$D$4:$H$59,MATCH(SUP_Biofuels!X57,'89 Vegetable oil FAME'!$B$4:$B$59,0),MATCH(SUP_Biofuels!$I57,'89 Vegetable oil FAME'!$D$3:$H$3,0))</f>
        <v>5.0941306755260242E-2</v>
      </c>
      <c r="L58" s="33"/>
      <c r="M58" s="39"/>
      <c r="N58" s="40"/>
      <c r="O58" s="40"/>
      <c r="P58" s="40"/>
      <c r="Q58" s="41"/>
      <c r="R58" s="42"/>
      <c r="S58" s="39"/>
      <c r="T58" s="39"/>
      <c r="U58" s="43"/>
      <c r="V58" s="43"/>
      <c r="W58" s="17" t="str">
        <f>W53</f>
        <v>Methanol Consumption, MWh/MWh Total Input</v>
      </c>
      <c r="X58" s="17"/>
      <c r="Y58" s="17"/>
    </row>
    <row r="59" spans="3:25">
      <c r="C59" s="43"/>
      <c r="D59" s="43"/>
      <c r="E59" s="17" t="str">
        <f>E54</f>
        <v>SUPELC</v>
      </c>
      <c r="F59" s="43"/>
      <c r="G59" s="43"/>
      <c r="H59" s="43"/>
      <c r="I59" s="43"/>
      <c r="J59" s="43"/>
      <c r="K59" s="33">
        <f>(INDEX('89 Vegetable oil FAME'!$D$4:$H$59,MATCH(SUP_Biofuels!W59,'89 Vegetable oil FAME'!$B$4:$B$59,0),MATCH(SUP_Biofuels!$I57,'89 Vegetable oil FAME'!$D$3:$H$3,0)))/INDEX('89 Vegetable oil FAME'!$D$4:$H$59,MATCH(SUP_Biofuels!X57,'89 Vegetable oil FAME'!$B$4:$B$59,0),MATCH(SUP_Biofuels!$I57,'89 Vegetable oil FAME'!$D$3:$H$3,0))</f>
        <v>2.7685492801771869E-3</v>
      </c>
      <c r="L59" s="43"/>
      <c r="M59" s="43"/>
      <c r="N59" s="43"/>
      <c r="O59" s="43"/>
      <c r="P59" s="40"/>
      <c r="Q59" s="43"/>
      <c r="R59" s="43"/>
      <c r="S59" s="43"/>
      <c r="T59" s="43"/>
      <c r="U59" s="43"/>
      <c r="V59" s="43"/>
      <c r="W59" s="17" t="str">
        <f>W54</f>
        <v>Electricity Consumption, MWh/MWh Total Input</v>
      </c>
      <c r="X59" s="43"/>
      <c r="Y59" s="43"/>
    </row>
    <row r="60" spans="3:25">
      <c r="C60" s="43"/>
      <c r="D60" s="43"/>
      <c r="E60" s="17" t="str">
        <f>E55</f>
        <v>SUPNGA,SUPSNG,SUPH2</v>
      </c>
      <c r="F60" s="43"/>
      <c r="G60" s="43"/>
      <c r="H60" s="43"/>
      <c r="I60" s="43"/>
      <c r="J60" s="43"/>
      <c r="K60" s="33">
        <f>(INDEX('89 Vegetable oil FAME'!$D$4:$H$59,MATCH(SUP_Biofuels!W60,'89 Vegetable oil FAME'!$B$4:$B$59,0),MATCH(SUP_Biofuels!$I57,'89 Vegetable oil FAME'!$D$3:$H$3,0)))/INDEX('89 Vegetable oil FAME'!$D$4:$H$59,MATCH(SUP_Biofuels!X57,'89 Vegetable oil FAME'!$B$4:$B$59,0),MATCH(SUP_Biofuels!$I57,'89 Vegetable oil FAME'!$D$3:$H$3,0))</f>
        <v>2.2148394241417495E-2</v>
      </c>
      <c r="L60" s="43"/>
      <c r="M60" s="43"/>
      <c r="N60" s="43"/>
      <c r="O60" s="43"/>
      <c r="P60" s="40"/>
      <c r="Q60" s="43"/>
      <c r="R60" s="43"/>
      <c r="S60" s="43"/>
      <c r="T60" s="43"/>
      <c r="U60" s="43"/>
      <c r="V60" s="43"/>
      <c r="W60" s="17" t="str">
        <f>W55</f>
        <v>Natural Gas Consumption, MWh/MWh Total Input</v>
      </c>
      <c r="X60" s="43"/>
      <c r="Y60" s="43"/>
    </row>
    <row r="61" spans="3:25">
      <c r="C61" s="43"/>
      <c r="D61" s="43"/>
      <c r="E61" s="43"/>
      <c r="F61" s="43"/>
      <c r="G61" s="17" t="str">
        <f>G56</f>
        <v>GLY</v>
      </c>
      <c r="H61" s="43"/>
      <c r="I61" s="43"/>
      <c r="J61" s="43"/>
      <c r="K61" s="43"/>
      <c r="L61" s="33">
        <f>INDEX('89 Vegetable oil FAME'!$D$4:$H$59,MATCH(SUP_Biofuels!Y61,'89 Vegetable oil FAME'!$B$4:$B$59,0),MATCH(SUP_Biofuels!$I57,'89 Vegetable oil FAME'!$D$3:$H$3,0))*(SUM(K57:K60))</f>
        <v>4.3167774086378743E-2</v>
      </c>
      <c r="M61" s="43"/>
      <c r="N61" s="43"/>
      <c r="O61" s="43"/>
      <c r="P61" s="40"/>
      <c r="Q61" s="43"/>
      <c r="R61" s="43"/>
      <c r="S61" s="43"/>
      <c r="T61" s="43"/>
      <c r="U61" s="43"/>
      <c r="V61" s="43"/>
      <c r="W61" s="43"/>
      <c r="X61" s="43"/>
      <c r="Y61" s="17" t="str">
        <f>Y56</f>
        <v>Glycerine  Output, MWh/MWh Total Input</v>
      </c>
    </row>
    <row r="62" spans="3:25">
      <c r="C62" s="43"/>
      <c r="D62" s="43"/>
      <c r="E62" s="17" t="str">
        <f>E57</f>
        <v>SUPRPS</v>
      </c>
      <c r="F62" s="17" t="str">
        <f>F57</f>
        <v>DSB1</v>
      </c>
      <c r="G62" s="17"/>
      <c r="H62" s="17" t="s">
        <v>70</v>
      </c>
      <c r="I62" s="17">
        <v>2050</v>
      </c>
      <c r="J62" s="17"/>
      <c r="K62" s="33">
        <f>(INDEX('89 Vegetable oil FAME'!$D$4:$H$59,MATCH(SUP_Biofuels!W62,'89 Vegetable oil FAME'!$B$4:$B$59,0),MATCH(SUP_Biofuels!$I62,'89 Vegetable oil FAME'!$D$3:$H$3,0)))/INDEX('89 Vegetable oil FAME'!$D$4:$H$59,MATCH(SUP_Biofuels!X62,'89 Vegetable oil FAME'!$B$4:$B$59,0),MATCH(SUP_Biofuels!$I62,'89 Vegetable oil FAME'!$D$3:$H$3,0))</f>
        <v>1.0332225913621262</v>
      </c>
      <c r="L62" s="33"/>
      <c r="M62" s="34">
        <f>INDEX('89 Vegetable oil FAME'!$D$4:$H$59,MATCH(SUP_Biofuels!M$8,'89 Vegetable oil FAME'!$B$4:$B$59,0),MATCH(SUP_Biofuels!$I62,'89 Vegetable oil FAME'!$D$3:$H$3,0))</f>
        <v>25</v>
      </c>
      <c r="N62" s="35">
        <f>INDEX('89 Vegetable oil FAME'!$D$4:$H$59,MATCH(SUP_Biofuels!N$8,'89 Vegetable oil FAME'!$B$4:$B$59,0),MATCH(SUP_Biofuels!$I62,'89 Vegetable oil FAME'!$D$3:$H$3,0))*7.45</f>
        <v>3.5760000000000001</v>
      </c>
      <c r="O62" s="35">
        <f>INDEX('89 Vegetable oil FAME'!$D$4:$H$59,MATCH(SUP_Biofuels!O$8,'89 Vegetable oil FAME'!$B$4:$B$59,0),MATCH(SUP_Biofuels!$I62,'89 Vegetable oil FAME'!$D$3:$H$3,0))*7.45</f>
        <v>0.13112000000000001</v>
      </c>
      <c r="P62" s="35">
        <f>INDEX('89 Vegetable oil FAME'!$D$4:$H$59,MATCH(SUP_Biofuels!P$8,'89 Vegetable oil FAME'!$B$4:$B$59,0),MATCH(SUP_Biofuels!$I62,'89 Vegetable oil FAME'!$D$3:$H$3,0))*7.45/3.6</f>
        <v>14.010138888888887</v>
      </c>
      <c r="Q62" s="33">
        <f>1-INDEX('89 Vegetable oil FAME'!$D$4:$H$59,MATCH(SUP_Biofuels!Q$7,'89 Vegetable oil FAME'!$B$4:$B$59,0),MATCH(SUP_Biofuels!$I62,'89 Vegetable oil FAME'!$D$3:$H$3,0))/52-INDEX('89 Vegetable oil FAME'!$D$4:$H$59,MATCH(SUP_Biofuels!Q$8,'89 Vegetable oil FAME'!$B$4:$B$59,0),MATCH(SUP_Biofuels!$I62,'89 Vegetable oil FAME'!$D$3:$H$3,0))/100</f>
        <v>0.96153846153846156</v>
      </c>
      <c r="R62" s="36">
        <f>$R$39</f>
        <v>3.1536000000000002E-2</v>
      </c>
      <c r="S62" s="34">
        <f>INDEX('89 Vegetable oil FAME'!$D$4:$H$59,MATCH(SUP_Biofuels!S$8,'89 Vegetable oil FAME'!$B$4:$B$59,0),MATCH(SUP_Biofuels!$I62,'89 Vegetable oil FAME'!$D$3:$H$3,0))</f>
        <v>1.5</v>
      </c>
      <c r="T62" s="34"/>
      <c r="U62" s="44"/>
      <c r="V62" s="43"/>
      <c r="W62" s="17" t="str">
        <f>W57</f>
        <v>Veg Oil Consumption, MWh/MWh Total Input</v>
      </c>
      <c r="X62" s="17" t="str">
        <f>X57</f>
        <v>Biodiesel Output, MWh/MWh Total Input</v>
      </c>
      <c r="Y62" s="17"/>
    </row>
    <row r="63" spans="3:25">
      <c r="C63" s="43"/>
      <c r="D63" s="43"/>
      <c r="E63" s="17" t="str">
        <f>E58</f>
        <v>SUPMOB</v>
      </c>
      <c r="F63" s="17"/>
      <c r="G63" s="17"/>
      <c r="H63" s="17"/>
      <c r="I63" s="17"/>
      <c r="J63" s="17"/>
      <c r="K63" s="33">
        <f>(INDEX('89 Vegetable oil FAME'!$D$4:$H$59,MATCH(SUP_Biofuels!W63,'89 Vegetable oil FAME'!$B$4:$B$59,0),MATCH(SUP_Biofuels!$I62,'89 Vegetable oil FAME'!$D$3:$H$3,0)))/INDEX('89 Vegetable oil FAME'!$D$4:$H$59,MATCH(SUP_Biofuels!X62,'89 Vegetable oil FAME'!$B$4:$B$59,0),MATCH(SUP_Biofuels!$I62,'89 Vegetable oil FAME'!$D$3:$H$3,0))</f>
        <v>5.0941306755260242E-2</v>
      </c>
      <c r="L63" s="33"/>
      <c r="M63" s="39"/>
      <c r="N63" s="40"/>
      <c r="O63" s="40"/>
      <c r="P63" s="40"/>
      <c r="Q63" s="41"/>
      <c r="R63" s="42"/>
      <c r="S63" s="39"/>
      <c r="T63" s="39"/>
      <c r="U63" s="43"/>
      <c r="V63" s="43"/>
      <c r="W63" s="17" t="str">
        <f>W58</f>
        <v>Methanol Consumption, MWh/MWh Total Input</v>
      </c>
      <c r="X63" s="17"/>
      <c r="Y63" s="17"/>
    </row>
    <row r="64" spans="3:25" ht="15.6">
      <c r="C64" s="43"/>
      <c r="D64" s="32"/>
      <c r="E64" s="17" t="str">
        <f>E59</f>
        <v>SUPELC</v>
      </c>
      <c r="F64" s="43"/>
      <c r="G64" s="43"/>
      <c r="H64" s="43"/>
      <c r="I64" s="43"/>
      <c r="J64" s="43"/>
      <c r="K64" s="33">
        <f>(INDEX('89 Vegetable oil FAME'!$D$4:$H$59,MATCH(SUP_Biofuels!W64,'89 Vegetable oil FAME'!$B$4:$B$59,0),MATCH(SUP_Biofuels!$I62,'89 Vegetable oil FAME'!$D$3:$H$3,0)))/INDEX('89 Vegetable oil FAME'!$D$4:$H$59,MATCH(SUP_Biofuels!X62,'89 Vegetable oil FAME'!$B$4:$B$59,0),MATCH(SUP_Biofuels!$I62,'89 Vegetable oil FAME'!$D$3:$H$3,0))</f>
        <v>2.2148394241417496E-3</v>
      </c>
      <c r="L64" s="43"/>
      <c r="M64" s="43"/>
      <c r="N64" s="43"/>
      <c r="O64" s="43"/>
      <c r="P64" s="40"/>
      <c r="Q64" s="43"/>
      <c r="R64" s="43"/>
      <c r="S64" s="43"/>
      <c r="T64" s="43"/>
      <c r="U64" s="43"/>
      <c r="V64" s="43"/>
      <c r="W64" s="17" t="str">
        <f>W59</f>
        <v>Electricity Consumption, MWh/MWh Total Input</v>
      </c>
      <c r="X64" s="43"/>
      <c r="Y64" s="43"/>
    </row>
    <row r="65" spans="3:25">
      <c r="C65" s="43"/>
      <c r="D65" s="17"/>
      <c r="E65" s="17" t="str">
        <f>E60</f>
        <v>SUPNGA,SUPSNG,SUPH2</v>
      </c>
      <c r="F65" s="43"/>
      <c r="G65" s="43"/>
      <c r="H65" s="43"/>
      <c r="I65" s="43"/>
      <c r="J65" s="43"/>
      <c r="K65" s="33">
        <f>(INDEX('89 Vegetable oil FAME'!$D$4:$H$59,MATCH(SUP_Biofuels!W65,'89 Vegetable oil FAME'!$B$4:$B$59,0),MATCH(SUP_Biofuels!$I62,'89 Vegetable oil FAME'!$D$3:$H$3,0)))/INDEX('89 Vegetable oil FAME'!$D$4:$H$59,MATCH(SUP_Biofuels!X62,'89 Vegetable oil FAME'!$B$4:$B$59,0),MATCH(SUP_Biofuels!$I62,'89 Vegetable oil FAME'!$D$3:$H$3,0))</f>
        <v>1.9933554817275746E-2</v>
      </c>
      <c r="L65" s="43"/>
      <c r="M65" s="43"/>
      <c r="N65" s="43"/>
      <c r="O65" s="43"/>
      <c r="P65" s="40"/>
      <c r="Q65" s="43"/>
      <c r="R65" s="43"/>
      <c r="S65" s="43"/>
      <c r="T65" s="43"/>
      <c r="U65" s="43"/>
      <c r="V65" s="43"/>
      <c r="W65" s="17" t="str">
        <f>W60</f>
        <v>Natural Gas Consumption, MWh/MWh Total Input</v>
      </c>
      <c r="X65" s="43"/>
      <c r="Y65" s="43"/>
    </row>
    <row r="66" spans="3:25" ht="15" thickBot="1">
      <c r="C66" s="46"/>
      <c r="D66" s="46"/>
      <c r="E66" s="46"/>
      <c r="F66" s="46"/>
      <c r="G66" s="47" t="str">
        <f>G61</f>
        <v>GLY</v>
      </c>
      <c r="H66" s="46"/>
      <c r="I66" s="46"/>
      <c r="J66" s="46"/>
      <c r="K66" s="46"/>
      <c r="L66" s="48">
        <f>INDEX('89 Vegetable oil FAME'!$D$4:$H$59,MATCH(SUP_Biofuels!Y66,'89 Vegetable oil FAME'!$B$4:$B$59,0),MATCH(SUP_Biofuels!$I62,'89 Vegetable oil FAME'!$D$3:$H$3,0))*(SUM(K62:K65))</f>
        <v>4.3146179401993348E-2</v>
      </c>
      <c r="M66" s="46"/>
      <c r="N66" s="46"/>
      <c r="O66" s="46"/>
      <c r="P66" s="49"/>
      <c r="Q66" s="46"/>
      <c r="R66" s="46"/>
      <c r="S66" s="46"/>
      <c r="T66" s="46"/>
      <c r="U66" s="46"/>
      <c r="V66" s="46"/>
      <c r="W66" s="46"/>
      <c r="X66" s="46"/>
      <c r="Y66" s="47" t="str">
        <f>Y61</f>
        <v>Glycerine  Output, MWh/MWh Total Input</v>
      </c>
    </row>
    <row r="67" spans="3:25" ht="15.6">
      <c r="C67" s="54" t="str">
        <f>"SUP"&amp;F67&amp;RIGHT(E67,3)&amp;IF(RIGHT(D67,7)="Central","C1","D1")</f>
        <v>SUPDSB1CRBC1</v>
      </c>
      <c r="D67" s="32" t="str">
        <f>'89 Vegetable oil FAME'!D2&amp;" Central"</f>
        <v>Vegetable Oil FAME Central</v>
      </c>
      <c r="E67" s="17" t="s">
        <v>1761</v>
      </c>
      <c r="F67" s="17" t="s">
        <v>73</v>
      </c>
      <c r="G67" s="17"/>
      <c r="H67" s="17" t="s">
        <v>70</v>
      </c>
      <c r="I67" s="17">
        <f>'93 1st generation ethanol'!$D$3</f>
        <v>2015</v>
      </c>
      <c r="J67" s="19">
        <v>2030</v>
      </c>
      <c r="K67" s="33">
        <f>(INDEX('89 Vegetable oil FAME'!$D$4:$H$59,MATCH(SUP_Biofuels!W67,'89 Vegetable oil FAME'!$B$4:$B$59,0),MATCH(SUP_Biofuels!$I67,'89 Vegetable oil FAME'!$D$3:$H$3,0)))/INDEX('89 Vegetable oil FAME'!$D$4:$H$59,MATCH(SUP_Biofuels!X67,'89 Vegetable oil FAME'!$B$4:$B$59,0),MATCH(SUP_Biofuels!$I67,'89 Vegetable oil FAME'!$D$3:$H$3,0))</f>
        <v>1.0243632336655593</v>
      </c>
      <c r="L67" s="33"/>
      <c r="M67" s="34">
        <f>INDEX('89 Vegetable oil FAME'!$D$4:$H$59,MATCH(SUP_Biofuels!M$8,'89 Vegetable oil FAME'!$B$4:$B$59,0),MATCH(SUP_Biofuels!$I67,'89 Vegetable oil FAME'!$D$3:$H$3,0))</f>
        <v>25</v>
      </c>
      <c r="N67" s="35">
        <f>INDEX('89 Vegetable oil FAME'!$D$4:$H$59,MATCH(SUP_Biofuels!N$8,'89 Vegetable oil FAME'!$B$4:$B$59,0),MATCH(SUP_Biofuels!$I67,'89 Vegetable oil FAME'!$D$3:$H$3,0))*7.45</f>
        <v>3.8144</v>
      </c>
      <c r="O67" s="35">
        <f>INDEX('89 Vegetable oil FAME'!$D$4:$H$59,MATCH(SUP_Biofuels!O$8,'89 Vegetable oil FAME'!$B$4:$B$59,0),MATCH(SUP_Biofuels!$I67,'89 Vegetable oil FAME'!$D$3:$H$3,0))*7.45</f>
        <v>0.13112000000000001</v>
      </c>
      <c r="P67" s="35">
        <f>INDEX('89 Vegetable oil FAME'!$D$4:$H$59,MATCH(SUP_Biofuels!P$8,'89 Vegetable oil FAME'!$B$4:$B$59,0),MATCH(SUP_Biofuels!$I67,'89 Vegetable oil FAME'!$D$3:$H$3,0))*7.45/3.6</f>
        <v>14.010138888888887</v>
      </c>
      <c r="Q67" s="33">
        <f>1-INDEX('89 Vegetable oil FAME'!$D$4:$H$59,MATCH(SUP_Biofuels!Q$7,'89 Vegetable oil FAME'!$B$4:$B$59,0),MATCH(SUP_Biofuels!$I67,'89 Vegetable oil FAME'!$D$3:$H$3,0))/52-INDEX('89 Vegetable oil FAME'!$D$4:$H$59,MATCH(SUP_Biofuels!Q$8,'89 Vegetable oil FAME'!$B$4:$B$59,0),MATCH(SUP_Biofuels!$I67,'89 Vegetable oil FAME'!$D$3:$H$3,0))/100</f>
        <v>0.96153846153846156</v>
      </c>
      <c r="R67" s="36">
        <f>$R$39</f>
        <v>3.1536000000000002E-2</v>
      </c>
      <c r="S67" s="34">
        <f>INDEX('89 Vegetable oil FAME'!$D$4:$H$59,MATCH(SUP_Biofuels!S$8,'89 Vegetable oil FAME'!$B$4:$B$59,0),MATCH(SUP_Biofuels!$I67,'89 Vegetable oil FAME'!$D$3:$H$3,0))</f>
        <v>1.5</v>
      </c>
      <c r="T67" s="34"/>
      <c r="U67" s="37"/>
      <c r="V67" s="38" t="s">
        <v>74</v>
      </c>
      <c r="W67" s="17" t="str">
        <f>W42</f>
        <v>Veg Oil Consumption, MWh/MWh Total Input</v>
      </c>
      <c r="X67" s="17" t="str">
        <f>X42</f>
        <v>Biodiesel Output, MWh/MWh Total Input</v>
      </c>
      <c r="Y67" s="17"/>
    </row>
    <row r="68" spans="3:25">
      <c r="C68" s="17"/>
      <c r="D68" s="17"/>
      <c r="E68" s="17" t="s">
        <v>1419</v>
      </c>
      <c r="F68" s="17"/>
      <c r="G68" s="17"/>
      <c r="H68" s="17"/>
      <c r="I68" s="17"/>
      <c r="J68" s="17"/>
      <c r="K68" s="33">
        <f>(INDEX('89 Vegetable oil FAME'!$D$4:$H$59,MATCH(SUP_Biofuels!W68,'89 Vegetable oil FAME'!$B$4:$B$59,0),MATCH(SUP_Biofuels!$I67,'89 Vegetable oil FAME'!$D$3:$H$3,0)))/INDEX('89 Vegetable oil FAME'!$D$4:$H$59,MATCH(SUP_Biofuels!X67,'89 Vegetable oil FAME'!$B$4:$B$59,0),MATCH(SUP_Biofuels!$I67,'89 Vegetable oil FAME'!$D$3:$H$3,0))</f>
        <v>5.0941306755260242E-2</v>
      </c>
      <c r="L68" s="33"/>
      <c r="M68" s="39"/>
      <c r="N68" s="40"/>
      <c r="O68" s="40"/>
      <c r="P68" s="40"/>
      <c r="Q68" s="41"/>
      <c r="R68" s="42"/>
      <c r="S68" s="39"/>
      <c r="T68" s="39"/>
      <c r="U68" s="43"/>
      <c r="V68" s="43"/>
      <c r="W68" s="17" t="str">
        <f>W43</f>
        <v>Methanol Consumption, MWh/MWh Total Input</v>
      </c>
      <c r="X68" s="17"/>
      <c r="Y68" s="17"/>
    </row>
    <row r="69" spans="3:25">
      <c r="C69" s="43"/>
      <c r="D69" s="43"/>
      <c r="E69" s="43" t="s">
        <v>71</v>
      </c>
      <c r="F69" s="43"/>
      <c r="G69" s="43"/>
      <c r="H69" s="43"/>
      <c r="I69" s="43"/>
      <c r="J69" s="43"/>
      <c r="K69" s="33">
        <f>(INDEX('89 Vegetable oil FAME'!$D$4:$H$59,MATCH(SUP_Biofuels!W69,'89 Vegetable oil FAME'!$B$4:$B$59,0),MATCH(SUP_Biofuels!$I67,'89 Vegetable oil FAME'!$D$3:$H$3,0)))/INDEX('89 Vegetable oil FAME'!$D$4:$H$59,MATCH(SUP_Biofuels!X67,'89 Vegetable oil FAME'!$B$4:$B$59,0),MATCH(SUP_Biofuels!$I67,'89 Vegetable oil FAME'!$D$3:$H$3,0))</f>
        <v>4.4296788482834993E-3</v>
      </c>
      <c r="L69" s="43"/>
      <c r="M69" s="43"/>
      <c r="N69" s="43"/>
      <c r="O69" s="43"/>
      <c r="P69" s="40"/>
      <c r="Q69" s="43"/>
      <c r="R69" s="43"/>
      <c r="S69" s="43"/>
      <c r="T69" s="43"/>
      <c r="U69" s="43"/>
      <c r="V69" s="43"/>
      <c r="W69" s="17" t="str">
        <f>W44</f>
        <v>Electricity Consumption, MWh/MWh Total Input</v>
      </c>
      <c r="X69" s="43"/>
      <c r="Y69" s="43"/>
    </row>
    <row r="70" spans="3:25">
      <c r="C70" s="43"/>
      <c r="D70" s="43"/>
      <c r="E70" s="43" t="s">
        <v>1760</v>
      </c>
      <c r="F70" s="43"/>
      <c r="G70" s="43"/>
      <c r="H70" s="43"/>
      <c r="I70" s="43"/>
      <c r="J70" s="43"/>
      <c r="K70" s="33">
        <f>(INDEX('89 Vegetable oil FAME'!$D$4:$H$59,MATCH(SUP_Biofuels!W70,'89 Vegetable oil FAME'!$B$4:$B$59,0),MATCH(SUP_Biofuels!$I67,'89 Vegetable oil FAME'!$D$3:$H$3,0)))/INDEX('89 Vegetable oil FAME'!$D$4:$H$59,MATCH(SUP_Biofuels!X67,'89 Vegetable oil FAME'!$B$4:$B$59,0),MATCH(SUP_Biofuels!$I67,'89 Vegetable oil FAME'!$D$3:$H$3,0))</f>
        <v>2.7685492801771874E-2</v>
      </c>
      <c r="L70" s="43"/>
      <c r="M70" s="43"/>
      <c r="N70" s="43"/>
      <c r="O70" s="43"/>
      <c r="P70" s="40"/>
      <c r="Q70" s="43"/>
      <c r="R70" s="43"/>
      <c r="S70" s="43"/>
      <c r="T70" s="43"/>
      <c r="U70" s="43"/>
      <c r="V70" s="43"/>
      <c r="W70" s="17" t="str">
        <f>W45</f>
        <v>Natural Gas Consumption, MWh/MWh Total Input</v>
      </c>
      <c r="X70" s="43"/>
      <c r="Y70" s="43"/>
    </row>
    <row r="71" spans="3:25">
      <c r="C71" s="43"/>
      <c r="D71" s="43"/>
      <c r="E71" s="43"/>
      <c r="F71" s="43"/>
      <c r="G71" s="43" t="s">
        <v>75</v>
      </c>
      <c r="H71" s="43"/>
      <c r="I71" s="43"/>
      <c r="J71" s="43"/>
      <c r="K71" s="43"/>
      <c r="L71" s="33">
        <f>INDEX('89 Vegetable oil FAME'!$D$4:$H$59,MATCH(SUP_Biofuels!Y71,'89 Vegetable oil FAME'!$B$4:$B$59,0),MATCH(SUP_Biofuels!$I67,'89 Vegetable oil FAME'!$D$3:$H$3,0))*(SUM(K67:K70))</f>
        <v>4.3189368770764118E-2</v>
      </c>
      <c r="M71" s="43"/>
      <c r="N71" s="43"/>
      <c r="O71" s="43"/>
      <c r="P71" s="40"/>
      <c r="Q71" s="43"/>
      <c r="R71" s="43"/>
      <c r="S71" s="43"/>
      <c r="T71" s="43"/>
      <c r="U71" s="43"/>
      <c r="V71" s="43"/>
      <c r="W71" s="43"/>
      <c r="X71" s="43"/>
      <c r="Y71" s="17" t="str">
        <f>Y46</f>
        <v>Glycerine  Output, MWh/MWh Total Input</v>
      </c>
    </row>
    <row r="72" spans="3:25" ht="15.6">
      <c r="C72" s="17"/>
      <c r="D72" s="32"/>
      <c r="E72" s="17" t="str">
        <f>E67</f>
        <v>SUPCRB</v>
      </c>
      <c r="F72" s="17" t="str">
        <f>F67</f>
        <v>DSB1</v>
      </c>
      <c r="G72" s="17"/>
      <c r="H72" s="17" t="s">
        <v>70</v>
      </c>
      <c r="I72" s="17">
        <v>2020</v>
      </c>
      <c r="J72" s="17"/>
      <c r="K72" s="33">
        <f>(INDEX('89 Vegetable oil FAME'!$D$4:$H$59,MATCH(SUP_Biofuels!W72,'89 Vegetable oil FAME'!$B$4:$B$59,0),MATCH(SUP_Biofuels!$I72,'89 Vegetable oil FAME'!$D$3:$H$3,0)))/INDEX('89 Vegetable oil FAME'!$D$4:$H$59,MATCH(SUP_Biofuels!X72,'89 Vegetable oil FAME'!$B$4:$B$59,0),MATCH(SUP_Biofuels!$I72,'89 Vegetable oil FAME'!$D$3:$H$3,0))</f>
        <v>1.0254706533776301</v>
      </c>
      <c r="L72" s="33"/>
      <c r="M72" s="34">
        <f>INDEX('89 Vegetable oil FAME'!$D$4:$H$59,MATCH(SUP_Biofuels!M$8,'89 Vegetable oil FAME'!$B$4:$B$59,0),MATCH(SUP_Biofuels!$I72,'89 Vegetable oil FAME'!$D$3:$H$3,0))</f>
        <v>25</v>
      </c>
      <c r="N72" s="35">
        <f>INDEX('89 Vegetable oil FAME'!$D$4:$H$59,MATCH(SUP_Biofuels!N$8,'89 Vegetable oil FAME'!$B$4:$B$59,0),MATCH(SUP_Biofuels!$I72,'89 Vegetable oil FAME'!$D$3:$H$3,0))*7.45</f>
        <v>3.7547999999999999</v>
      </c>
      <c r="O72" s="35">
        <f>INDEX('89 Vegetable oil FAME'!$D$4:$H$59,MATCH(SUP_Biofuels!O$8,'89 Vegetable oil FAME'!$B$4:$B$59,0),MATCH(SUP_Biofuels!$I72,'89 Vegetable oil FAME'!$D$3:$H$3,0))*7.45</f>
        <v>0.13112000000000001</v>
      </c>
      <c r="P72" s="35">
        <f>INDEX('89 Vegetable oil FAME'!$D$4:$H$59,MATCH(SUP_Biofuels!P$8,'89 Vegetable oil FAME'!$B$4:$B$59,0),MATCH(SUP_Biofuels!$I72,'89 Vegetable oil FAME'!$D$3:$H$3,0))*7.45/3.6</f>
        <v>14.010138888888887</v>
      </c>
      <c r="Q72" s="33">
        <f>1-INDEX('89 Vegetable oil FAME'!$D$4:$H$59,MATCH(SUP_Biofuels!Q$7,'89 Vegetable oil FAME'!$B$4:$B$59,0),MATCH(SUP_Biofuels!$I72,'89 Vegetable oil FAME'!$D$3:$H$3,0))/52-INDEX('89 Vegetable oil FAME'!$D$4:$H$59,MATCH(SUP_Biofuels!Q$8,'89 Vegetable oil FAME'!$B$4:$B$59,0),MATCH(SUP_Biofuels!$I72,'89 Vegetable oil FAME'!$D$3:$H$3,0))/100</f>
        <v>0.96153846153846156</v>
      </c>
      <c r="R72" s="36">
        <f>$R$39</f>
        <v>3.1536000000000002E-2</v>
      </c>
      <c r="S72" s="34">
        <f>INDEX('89 Vegetable oil FAME'!$D$4:$H$59,MATCH(SUP_Biofuels!S$8,'89 Vegetable oil FAME'!$B$4:$B$59,0),MATCH(SUP_Biofuels!$I72,'89 Vegetable oil FAME'!$D$3:$H$3,0))</f>
        <v>1.5</v>
      </c>
      <c r="T72" s="34"/>
      <c r="U72" s="44"/>
      <c r="V72" s="45"/>
      <c r="W72" s="17" t="str">
        <f>W67</f>
        <v>Veg Oil Consumption, MWh/MWh Total Input</v>
      </c>
      <c r="X72" s="17" t="str">
        <f>X67</f>
        <v>Biodiesel Output, MWh/MWh Total Input</v>
      </c>
      <c r="Y72" s="17"/>
    </row>
    <row r="73" spans="3:25">
      <c r="C73" s="17"/>
      <c r="D73" s="17"/>
      <c r="E73" s="17" t="str">
        <f>E68</f>
        <v>SUPMOB</v>
      </c>
      <c r="F73" s="17"/>
      <c r="G73" s="17"/>
      <c r="H73" s="17"/>
      <c r="I73" s="17"/>
      <c r="J73" s="17"/>
      <c r="K73" s="33">
        <f>(INDEX('89 Vegetable oil FAME'!$D$4:$H$59,MATCH(SUP_Biofuels!W73,'89 Vegetable oil FAME'!$B$4:$B$59,0),MATCH(SUP_Biofuels!$I72,'89 Vegetable oil FAME'!$D$3:$H$3,0)))/INDEX('89 Vegetable oil FAME'!$D$4:$H$59,MATCH(SUP_Biofuels!X72,'89 Vegetable oil FAME'!$B$4:$B$59,0),MATCH(SUP_Biofuels!$I72,'89 Vegetable oil FAME'!$D$3:$H$3,0))</f>
        <v>5.0941306755260242E-2</v>
      </c>
      <c r="L73" s="33"/>
      <c r="M73" s="39"/>
      <c r="N73" s="40"/>
      <c r="O73" s="40"/>
      <c r="P73" s="40"/>
      <c r="Q73" s="41"/>
      <c r="R73" s="42"/>
      <c r="S73" s="39"/>
      <c r="T73" s="39"/>
      <c r="U73" s="43"/>
      <c r="V73" s="43"/>
      <c r="W73" s="17" t="str">
        <f>W68</f>
        <v>Methanol Consumption, MWh/MWh Total Input</v>
      </c>
      <c r="X73" s="17"/>
      <c r="Y73" s="17"/>
    </row>
    <row r="74" spans="3:25">
      <c r="C74" s="43"/>
      <c r="D74" s="43"/>
      <c r="E74" s="17" t="str">
        <f>E69</f>
        <v>SUPELC</v>
      </c>
      <c r="F74" s="43"/>
      <c r="G74" s="43"/>
      <c r="H74" s="43"/>
      <c r="I74" s="43"/>
      <c r="J74" s="43"/>
      <c r="K74" s="33">
        <f>(INDEX('89 Vegetable oil FAME'!$D$4:$H$59,MATCH(SUP_Biofuels!W74,'89 Vegetable oil FAME'!$B$4:$B$59,0),MATCH(SUP_Biofuels!$I72,'89 Vegetable oil FAME'!$D$3:$H$3,0)))/INDEX('89 Vegetable oil FAME'!$D$4:$H$59,MATCH(SUP_Biofuels!X72,'89 Vegetable oil FAME'!$B$4:$B$59,0),MATCH(SUP_Biofuels!$I72,'89 Vegetable oil FAME'!$D$3:$H$3,0))</f>
        <v>4.4296788482834993E-3</v>
      </c>
      <c r="L74" s="43"/>
      <c r="M74" s="43"/>
      <c r="N74" s="43"/>
      <c r="O74" s="43"/>
      <c r="P74" s="40"/>
      <c r="Q74" s="43"/>
      <c r="R74" s="43"/>
      <c r="S74" s="43"/>
      <c r="T74" s="43"/>
      <c r="U74" s="43"/>
      <c r="V74" s="43"/>
      <c r="W74" s="17" t="str">
        <f>W69</f>
        <v>Electricity Consumption, MWh/MWh Total Input</v>
      </c>
      <c r="X74" s="43"/>
      <c r="Y74" s="43"/>
    </row>
    <row r="75" spans="3:25">
      <c r="C75" s="43"/>
      <c r="D75" s="43"/>
      <c r="E75" s="17" t="str">
        <f>E70</f>
        <v>SUPNGA,SUPSNG,SUPH2</v>
      </c>
      <c r="F75" s="43"/>
      <c r="G75" s="43"/>
      <c r="H75" s="43"/>
      <c r="I75" s="43"/>
      <c r="J75" s="43"/>
      <c r="K75" s="33">
        <f>(INDEX('89 Vegetable oil FAME'!$D$4:$H$59,MATCH(SUP_Biofuels!W75,'89 Vegetable oil FAME'!$B$4:$B$59,0),MATCH(SUP_Biofuels!$I72,'89 Vegetable oil FAME'!$D$3:$H$3,0)))/INDEX('89 Vegetable oil FAME'!$D$4:$H$59,MATCH(SUP_Biofuels!X72,'89 Vegetable oil FAME'!$B$4:$B$59,0),MATCH(SUP_Biofuels!$I72,'89 Vegetable oil FAME'!$D$3:$H$3,0))</f>
        <v>2.6578073089700997E-2</v>
      </c>
      <c r="L75" s="43"/>
      <c r="M75" s="43"/>
      <c r="N75" s="43"/>
      <c r="O75" s="43"/>
      <c r="P75" s="40"/>
      <c r="Q75" s="43"/>
      <c r="R75" s="43"/>
      <c r="S75" s="43"/>
      <c r="T75" s="43"/>
      <c r="U75" s="43"/>
      <c r="V75" s="43"/>
      <c r="W75" s="17" t="str">
        <f>W70</f>
        <v>Natural Gas Consumption, MWh/MWh Total Input</v>
      </c>
      <c r="X75" s="43"/>
      <c r="Y75" s="43"/>
    </row>
    <row r="76" spans="3:25" ht="15.6">
      <c r="C76" s="43"/>
      <c r="D76" s="32"/>
      <c r="E76" s="43"/>
      <c r="F76" s="43"/>
      <c r="G76" s="17" t="str">
        <f>G71</f>
        <v>GLY</v>
      </c>
      <c r="H76" s="43"/>
      <c r="I76" s="43"/>
      <c r="J76" s="43"/>
      <c r="K76" s="43"/>
      <c r="L76" s="33">
        <f>INDEX('89 Vegetable oil FAME'!$D$4:$H$59,MATCH(SUP_Biofuels!Y76,'89 Vegetable oil FAME'!$B$4:$B$59,0),MATCH(SUP_Biofuels!$I72,'89 Vegetable oil FAME'!$D$3:$H$3,0))*(SUM(K72:K75))</f>
        <v>4.3189368770764118E-2</v>
      </c>
      <c r="M76" s="43"/>
      <c r="N76" s="43"/>
      <c r="O76" s="43"/>
      <c r="P76" s="40"/>
      <c r="Q76" s="43"/>
      <c r="R76" s="43"/>
      <c r="S76" s="43"/>
      <c r="T76" s="43"/>
      <c r="U76" s="43"/>
      <c r="V76" s="45"/>
      <c r="W76" s="43"/>
      <c r="X76" s="43"/>
      <c r="Y76" s="17" t="str">
        <f>Y71</f>
        <v>Glycerine  Output, MWh/MWh Total Input</v>
      </c>
    </row>
    <row r="77" spans="3:25">
      <c r="C77" s="43"/>
      <c r="D77" s="17"/>
      <c r="E77" s="17" t="str">
        <f>E72</f>
        <v>SUPCRB</v>
      </c>
      <c r="F77" s="17" t="str">
        <f>F72</f>
        <v>DSB1</v>
      </c>
      <c r="G77" s="17"/>
      <c r="H77" s="17" t="s">
        <v>70</v>
      </c>
      <c r="I77" s="17">
        <v>2030</v>
      </c>
      <c r="J77" s="17"/>
      <c r="K77" s="33">
        <f>(INDEX('89 Vegetable oil FAME'!$D$4:$H$59,MATCH(SUP_Biofuels!W77,'89 Vegetable oil FAME'!$B$4:$B$59,0),MATCH(SUP_Biofuels!$I77,'89 Vegetable oil FAME'!$D$3:$H$3,0)))/INDEX('89 Vegetable oil FAME'!$D$4:$H$59,MATCH(SUP_Biofuels!X77,'89 Vegetable oil FAME'!$B$4:$B$59,0),MATCH(SUP_Biofuels!$I77,'89 Vegetable oil FAME'!$D$3:$H$3,0))</f>
        <v>1.0287929125138429</v>
      </c>
      <c r="L77" s="33"/>
      <c r="M77" s="34">
        <f>INDEX('89 Vegetable oil FAME'!$D$4:$H$59,MATCH(SUP_Biofuels!M$8,'89 Vegetable oil FAME'!$B$4:$B$59,0),MATCH(SUP_Biofuels!$I77,'89 Vegetable oil FAME'!$D$3:$H$3,0))</f>
        <v>25</v>
      </c>
      <c r="N77" s="35">
        <f>INDEX('89 Vegetable oil FAME'!$D$4:$H$59,MATCH(SUP_Biofuels!N$8,'89 Vegetable oil FAME'!$B$4:$B$59,0),MATCH(SUP_Biofuels!$I77,'89 Vegetable oil FAME'!$D$3:$H$3,0))*7.45</f>
        <v>3.6952000000000003</v>
      </c>
      <c r="O77" s="35">
        <f>INDEX('89 Vegetable oil FAME'!$D$4:$H$59,MATCH(SUP_Biofuels!O$8,'89 Vegetable oil FAME'!$B$4:$B$59,0),MATCH(SUP_Biofuels!$I77,'89 Vegetable oil FAME'!$D$3:$H$3,0))*7.45</f>
        <v>0.13112000000000001</v>
      </c>
      <c r="P77" s="35">
        <f>INDEX('89 Vegetable oil FAME'!$D$4:$H$59,MATCH(SUP_Biofuels!P$8,'89 Vegetable oil FAME'!$B$4:$B$59,0),MATCH(SUP_Biofuels!$I77,'89 Vegetable oil FAME'!$D$3:$H$3,0))*7.45/3.6</f>
        <v>14.010138888888887</v>
      </c>
      <c r="Q77" s="33">
        <f>1-INDEX('89 Vegetable oil FAME'!$D$4:$H$59,MATCH(SUP_Biofuels!Q$7,'89 Vegetable oil FAME'!$B$4:$B$59,0),MATCH(SUP_Biofuels!$I77,'89 Vegetable oil FAME'!$D$3:$H$3,0))/52-INDEX('89 Vegetable oil FAME'!$D$4:$H$59,MATCH(SUP_Biofuels!Q$8,'89 Vegetable oil FAME'!$B$4:$B$59,0),MATCH(SUP_Biofuels!$I77,'89 Vegetable oil FAME'!$D$3:$H$3,0))/100</f>
        <v>0.96153846153846156</v>
      </c>
      <c r="R77" s="36">
        <f>$R$39</f>
        <v>3.1536000000000002E-2</v>
      </c>
      <c r="S77" s="34">
        <f>INDEX('89 Vegetable oil FAME'!$D$4:$H$59,MATCH(SUP_Biofuels!S$8,'89 Vegetable oil FAME'!$B$4:$B$59,0),MATCH(SUP_Biofuels!$I77,'89 Vegetable oil FAME'!$D$3:$H$3,0))</f>
        <v>1.5</v>
      </c>
      <c r="T77" s="34"/>
      <c r="U77" s="44"/>
      <c r="V77" s="43"/>
      <c r="W77" s="17" t="str">
        <f>W72</f>
        <v>Veg Oil Consumption, MWh/MWh Total Input</v>
      </c>
      <c r="X77" s="17" t="str">
        <f>X72</f>
        <v>Biodiesel Output, MWh/MWh Total Input</v>
      </c>
      <c r="Y77" s="17"/>
    </row>
    <row r="78" spans="3:25">
      <c r="C78" s="43"/>
      <c r="D78" s="43"/>
      <c r="E78" s="17" t="str">
        <f>E73</f>
        <v>SUPMOB</v>
      </c>
      <c r="F78" s="17"/>
      <c r="G78" s="17"/>
      <c r="H78" s="17"/>
      <c r="I78" s="17"/>
      <c r="J78" s="17"/>
      <c r="K78" s="33">
        <f>(INDEX('89 Vegetable oil FAME'!$D$4:$H$59,MATCH(SUP_Biofuels!W78,'89 Vegetable oil FAME'!$B$4:$B$59,0),MATCH(SUP_Biofuels!$I77,'89 Vegetable oil FAME'!$D$3:$H$3,0)))/INDEX('89 Vegetable oil FAME'!$D$4:$H$59,MATCH(SUP_Biofuels!X77,'89 Vegetable oil FAME'!$B$4:$B$59,0),MATCH(SUP_Biofuels!$I77,'89 Vegetable oil FAME'!$D$3:$H$3,0))</f>
        <v>5.0941306755260242E-2</v>
      </c>
      <c r="L78" s="33"/>
      <c r="M78" s="39"/>
      <c r="N78" s="40"/>
      <c r="O78" s="40"/>
      <c r="P78" s="40"/>
      <c r="Q78" s="41"/>
      <c r="R78" s="42"/>
      <c r="S78" s="39"/>
      <c r="T78" s="39"/>
      <c r="U78" s="43"/>
      <c r="V78" s="43"/>
      <c r="W78" s="17" t="str">
        <f>W73</f>
        <v>Methanol Consumption, MWh/MWh Total Input</v>
      </c>
      <c r="X78" s="17"/>
      <c r="Y78" s="17"/>
    </row>
    <row r="79" spans="3:25">
      <c r="C79" s="43"/>
      <c r="D79" s="43"/>
      <c r="E79" s="17" t="str">
        <f>E74</f>
        <v>SUPELC</v>
      </c>
      <c r="F79" s="43"/>
      <c r="G79" s="43"/>
      <c r="H79" s="43"/>
      <c r="I79" s="43"/>
      <c r="J79" s="43"/>
      <c r="K79" s="33">
        <f>(INDEX('89 Vegetable oil FAME'!$D$4:$H$59,MATCH(SUP_Biofuels!W79,'89 Vegetable oil FAME'!$B$4:$B$59,0),MATCH(SUP_Biofuels!$I77,'89 Vegetable oil FAME'!$D$3:$H$3,0)))/INDEX('89 Vegetable oil FAME'!$D$4:$H$59,MATCH(SUP_Biofuels!X77,'89 Vegetable oil FAME'!$B$4:$B$59,0),MATCH(SUP_Biofuels!$I77,'89 Vegetable oil FAME'!$D$3:$H$3,0))</f>
        <v>3.3222591362126247E-3</v>
      </c>
      <c r="L79" s="43"/>
      <c r="M79" s="43"/>
      <c r="N79" s="43"/>
      <c r="O79" s="43"/>
      <c r="P79" s="40"/>
      <c r="Q79" s="43"/>
      <c r="R79" s="43"/>
      <c r="S79" s="43"/>
      <c r="T79" s="43"/>
      <c r="U79" s="43"/>
      <c r="V79" s="43"/>
      <c r="W79" s="17" t="str">
        <f>W74</f>
        <v>Electricity Consumption, MWh/MWh Total Input</v>
      </c>
      <c r="X79" s="43"/>
      <c r="Y79" s="43"/>
    </row>
    <row r="80" spans="3:25" ht="15.6">
      <c r="C80" s="43"/>
      <c r="D80" s="32"/>
      <c r="E80" s="17" t="str">
        <f>E75</f>
        <v>SUPNGA,SUPSNG,SUPH2</v>
      </c>
      <c r="F80" s="43"/>
      <c r="G80" s="43"/>
      <c r="H80" s="43"/>
      <c r="I80" s="43"/>
      <c r="J80" s="43"/>
      <c r="K80" s="33">
        <f>(INDEX('89 Vegetable oil FAME'!$D$4:$H$59,MATCH(SUP_Biofuels!W80,'89 Vegetable oil FAME'!$B$4:$B$59,0),MATCH(SUP_Biofuels!$I77,'89 Vegetable oil FAME'!$D$3:$H$3,0)))/INDEX('89 Vegetable oil FAME'!$D$4:$H$59,MATCH(SUP_Biofuels!X77,'89 Vegetable oil FAME'!$B$4:$B$59,0),MATCH(SUP_Biofuels!$I77,'89 Vegetable oil FAME'!$D$3:$H$3,0))</f>
        <v>2.4363233665559245E-2</v>
      </c>
      <c r="L80" s="43"/>
      <c r="M80" s="43"/>
      <c r="N80" s="43"/>
      <c r="O80" s="43"/>
      <c r="P80" s="40"/>
      <c r="Q80" s="43"/>
      <c r="R80" s="43"/>
      <c r="S80" s="43"/>
      <c r="T80" s="43"/>
      <c r="U80" s="43"/>
      <c r="V80" s="45"/>
      <c r="W80" s="17" t="str">
        <f>W75</f>
        <v>Natural Gas Consumption, MWh/MWh Total Input</v>
      </c>
      <c r="X80" s="43"/>
      <c r="Y80" s="43"/>
    </row>
    <row r="81" spans="3:25">
      <c r="C81" s="43"/>
      <c r="D81" s="17"/>
      <c r="E81" s="43"/>
      <c r="F81" s="43"/>
      <c r="G81" s="17" t="str">
        <f>G76</f>
        <v>GLY</v>
      </c>
      <c r="H81" s="43"/>
      <c r="I81" s="43"/>
      <c r="J81" s="43"/>
      <c r="K81" s="43"/>
      <c r="L81" s="33">
        <f>INDEX('89 Vegetable oil FAME'!$D$4:$H$59,MATCH(SUP_Biofuels!Y81,'89 Vegetable oil FAME'!$B$4:$B$59,0),MATCH(SUP_Biofuels!$I77,'89 Vegetable oil FAME'!$D$3:$H$3,0))*(SUM(K77:K80))</f>
        <v>4.3189368770764118E-2</v>
      </c>
      <c r="M81" s="43"/>
      <c r="N81" s="43"/>
      <c r="O81" s="43"/>
      <c r="P81" s="40"/>
      <c r="Q81" s="43"/>
      <c r="R81" s="43"/>
      <c r="S81" s="43"/>
      <c r="T81" s="43"/>
      <c r="U81" s="43"/>
      <c r="V81" s="43"/>
      <c r="W81" s="43"/>
      <c r="X81" s="43"/>
      <c r="Y81" s="17" t="str">
        <f>Y76</f>
        <v>Glycerine  Output, MWh/MWh Total Input</v>
      </c>
    </row>
    <row r="82" spans="3:25">
      <c r="C82" s="43"/>
      <c r="D82" s="43"/>
      <c r="E82" s="17" t="str">
        <f>E77</f>
        <v>SUPCRB</v>
      </c>
      <c r="F82" s="17" t="str">
        <f>F77</f>
        <v>DSB1</v>
      </c>
      <c r="G82" s="17"/>
      <c r="H82" s="17" t="s">
        <v>70</v>
      </c>
      <c r="I82" s="17">
        <v>2040</v>
      </c>
      <c r="J82" s="17"/>
      <c r="K82" s="33">
        <f>(INDEX('89 Vegetable oil FAME'!$D$4:$H$59,MATCH(SUP_Biofuels!W82,'89 Vegetable oil FAME'!$B$4:$B$59,0),MATCH(SUP_Biofuels!$I82,'89 Vegetable oil FAME'!$D$3:$H$3,0)))/INDEX('89 Vegetable oil FAME'!$D$4:$H$59,MATCH(SUP_Biofuels!X82,'89 Vegetable oil FAME'!$B$4:$B$59,0),MATCH(SUP_Biofuels!$I82,'89 Vegetable oil FAME'!$D$3:$H$3,0))</f>
        <v>1.0310077519379846</v>
      </c>
      <c r="L82" s="33"/>
      <c r="M82" s="34">
        <f>INDEX('89 Vegetable oil FAME'!$D$4:$H$59,MATCH(SUP_Biofuels!M$8,'89 Vegetable oil FAME'!$B$4:$B$59,0),MATCH(SUP_Biofuels!$I82,'89 Vegetable oil FAME'!$D$3:$H$3,0))</f>
        <v>25</v>
      </c>
      <c r="N82" s="35">
        <f>INDEX('89 Vegetable oil FAME'!$D$4:$H$59,MATCH(SUP_Biofuels!N$8,'89 Vegetable oil FAME'!$B$4:$B$59,0),MATCH(SUP_Biofuels!$I82,'89 Vegetable oil FAME'!$D$3:$H$3,0))*7.45</f>
        <v>3.6505000000000001</v>
      </c>
      <c r="O82" s="35">
        <f>INDEX('89 Vegetable oil FAME'!$D$4:$H$59,MATCH(SUP_Biofuels!O$8,'89 Vegetable oil FAME'!$B$4:$B$59,0),MATCH(SUP_Biofuels!$I82,'89 Vegetable oil FAME'!$D$3:$H$3,0))*7.45</f>
        <v>0.13112000000000001</v>
      </c>
      <c r="P82" s="35">
        <f>INDEX('89 Vegetable oil FAME'!$D$4:$H$59,MATCH(SUP_Biofuels!P$8,'89 Vegetable oil FAME'!$B$4:$B$59,0),MATCH(SUP_Biofuels!$I82,'89 Vegetable oil FAME'!$D$3:$H$3,0))*7.45/3.6</f>
        <v>14.010138888888887</v>
      </c>
      <c r="Q82" s="33">
        <f>1-INDEX('89 Vegetable oil FAME'!$D$4:$H$59,MATCH(SUP_Biofuels!Q$7,'89 Vegetable oil FAME'!$B$4:$B$59,0),MATCH(SUP_Biofuels!$I82,'89 Vegetable oil FAME'!$D$3:$H$3,0))/52-INDEX('89 Vegetable oil FAME'!$D$4:$H$59,MATCH(SUP_Biofuels!Q$8,'89 Vegetable oil FAME'!$B$4:$B$59,0),MATCH(SUP_Biofuels!$I82,'89 Vegetable oil FAME'!$D$3:$H$3,0))/100</f>
        <v>0.96153846153846156</v>
      </c>
      <c r="R82" s="36">
        <f>$R$39</f>
        <v>3.1536000000000002E-2</v>
      </c>
      <c r="S82" s="34">
        <f>INDEX('89 Vegetable oil FAME'!$D$4:$H$59,MATCH(SUP_Biofuels!S$8,'89 Vegetable oil FAME'!$B$4:$B$59,0),MATCH(SUP_Biofuels!$I82,'89 Vegetable oil FAME'!$D$3:$H$3,0))</f>
        <v>1.5</v>
      </c>
      <c r="T82" s="34"/>
      <c r="U82" s="44"/>
      <c r="V82" s="43"/>
      <c r="W82" s="17" t="str">
        <f>W77</f>
        <v>Veg Oil Consumption, MWh/MWh Total Input</v>
      </c>
      <c r="X82" s="17" t="str">
        <f>X77</f>
        <v>Biodiesel Output, MWh/MWh Total Input</v>
      </c>
      <c r="Y82" s="17"/>
    </row>
    <row r="83" spans="3:25">
      <c r="C83" s="43"/>
      <c r="D83" s="43"/>
      <c r="E83" s="17" t="str">
        <f>E78</f>
        <v>SUPMOB</v>
      </c>
      <c r="F83" s="17"/>
      <c r="G83" s="17"/>
      <c r="H83" s="17"/>
      <c r="I83" s="17"/>
      <c r="J83" s="17"/>
      <c r="K83" s="33">
        <f>(INDEX('89 Vegetable oil FAME'!$D$4:$H$59,MATCH(SUP_Biofuels!W83,'89 Vegetable oil FAME'!$B$4:$B$59,0),MATCH(SUP_Biofuels!$I82,'89 Vegetable oil FAME'!$D$3:$H$3,0)))/INDEX('89 Vegetable oil FAME'!$D$4:$H$59,MATCH(SUP_Biofuels!X82,'89 Vegetable oil FAME'!$B$4:$B$59,0),MATCH(SUP_Biofuels!$I82,'89 Vegetable oil FAME'!$D$3:$H$3,0))</f>
        <v>5.0941306755260242E-2</v>
      </c>
      <c r="L83" s="33"/>
      <c r="M83" s="39"/>
      <c r="N83" s="40"/>
      <c r="O83" s="40"/>
      <c r="P83" s="40"/>
      <c r="Q83" s="41"/>
      <c r="R83" s="42"/>
      <c r="S83" s="39"/>
      <c r="T83" s="39"/>
      <c r="U83" s="43"/>
      <c r="V83" s="43"/>
      <c r="W83" s="17" t="str">
        <f>W78</f>
        <v>Methanol Consumption, MWh/MWh Total Input</v>
      </c>
      <c r="X83" s="17"/>
      <c r="Y83" s="17"/>
    </row>
    <row r="84" spans="3:25">
      <c r="C84" s="43"/>
      <c r="D84" s="43"/>
      <c r="E84" s="17" t="str">
        <f>E79</f>
        <v>SUPELC</v>
      </c>
      <c r="F84" s="43"/>
      <c r="G84" s="43"/>
      <c r="H84" s="43"/>
      <c r="I84" s="43"/>
      <c r="J84" s="43"/>
      <c r="K84" s="33">
        <f>(INDEX('89 Vegetable oil FAME'!$D$4:$H$59,MATCH(SUP_Biofuels!W84,'89 Vegetable oil FAME'!$B$4:$B$59,0),MATCH(SUP_Biofuels!$I82,'89 Vegetable oil FAME'!$D$3:$H$3,0)))/INDEX('89 Vegetable oil FAME'!$D$4:$H$59,MATCH(SUP_Biofuels!X82,'89 Vegetable oil FAME'!$B$4:$B$59,0),MATCH(SUP_Biofuels!$I82,'89 Vegetable oil FAME'!$D$3:$H$3,0))</f>
        <v>2.7685492801771869E-3</v>
      </c>
      <c r="L84" s="43"/>
      <c r="M84" s="43"/>
      <c r="N84" s="43"/>
      <c r="O84" s="43"/>
      <c r="P84" s="40"/>
      <c r="Q84" s="43"/>
      <c r="R84" s="43"/>
      <c r="S84" s="43"/>
      <c r="T84" s="43"/>
      <c r="U84" s="43"/>
      <c r="V84" s="43"/>
      <c r="W84" s="17" t="str">
        <f>W79</f>
        <v>Electricity Consumption, MWh/MWh Total Input</v>
      </c>
      <c r="X84" s="43"/>
      <c r="Y84" s="43"/>
    </row>
    <row r="85" spans="3:25">
      <c r="C85" s="43"/>
      <c r="D85" s="43"/>
      <c r="E85" s="17" t="str">
        <f>E80</f>
        <v>SUPNGA,SUPSNG,SUPH2</v>
      </c>
      <c r="F85" s="43"/>
      <c r="G85" s="43"/>
      <c r="H85" s="43"/>
      <c r="I85" s="43"/>
      <c r="J85" s="43"/>
      <c r="K85" s="33">
        <f>(INDEX('89 Vegetable oil FAME'!$D$4:$H$59,MATCH(SUP_Biofuels!W85,'89 Vegetable oil FAME'!$B$4:$B$59,0),MATCH(SUP_Biofuels!$I82,'89 Vegetable oil FAME'!$D$3:$H$3,0)))/INDEX('89 Vegetable oil FAME'!$D$4:$H$59,MATCH(SUP_Biofuels!X82,'89 Vegetable oil FAME'!$B$4:$B$59,0),MATCH(SUP_Biofuels!$I82,'89 Vegetable oil FAME'!$D$3:$H$3,0))</f>
        <v>2.2148394241417495E-2</v>
      </c>
      <c r="L85" s="43"/>
      <c r="M85" s="43"/>
      <c r="N85" s="43"/>
      <c r="O85" s="43"/>
      <c r="P85" s="40"/>
      <c r="Q85" s="43"/>
      <c r="R85" s="43"/>
      <c r="S85" s="43"/>
      <c r="T85" s="43"/>
      <c r="U85" s="43"/>
      <c r="V85" s="43"/>
      <c r="W85" s="17" t="str">
        <f>W80</f>
        <v>Natural Gas Consumption, MWh/MWh Total Input</v>
      </c>
      <c r="X85" s="43"/>
      <c r="Y85" s="43"/>
    </row>
    <row r="86" spans="3:25">
      <c r="C86" s="43"/>
      <c r="D86" s="43"/>
      <c r="E86" s="43"/>
      <c r="F86" s="43"/>
      <c r="G86" s="17" t="str">
        <f>G81</f>
        <v>GLY</v>
      </c>
      <c r="H86" s="43"/>
      <c r="I86" s="43"/>
      <c r="J86" s="43"/>
      <c r="K86" s="43"/>
      <c r="L86" s="33">
        <f>INDEX('89 Vegetable oil FAME'!$D$4:$H$59,MATCH(SUP_Biofuels!Y86,'89 Vegetable oil FAME'!$B$4:$B$59,0),MATCH(SUP_Biofuels!$I82,'89 Vegetable oil FAME'!$D$3:$H$3,0))*(SUM(K82:K85))</f>
        <v>4.3167774086378743E-2</v>
      </c>
      <c r="M86" s="43"/>
      <c r="N86" s="43"/>
      <c r="O86" s="43"/>
      <c r="P86" s="40"/>
      <c r="Q86" s="43"/>
      <c r="R86" s="43"/>
      <c r="S86" s="43"/>
      <c r="T86" s="43"/>
      <c r="U86" s="43"/>
      <c r="V86" s="43"/>
      <c r="W86" s="43"/>
      <c r="X86" s="43"/>
      <c r="Y86" s="17" t="str">
        <f>Y81</f>
        <v>Glycerine  Output, MWh/MWh Total Input</v>
      </c>
    </row>
    <row r="87" spans="3:25">
      <c r="C87" s="43"/>
      <c r="D87" s="43"/>
      <c r="E87" s="17" t="str">
        <f>E82</f>
        <v>SUPCRB</v>
      </c>
      <c r="F87" s="17" t="str">
        <f>F82</f>
        <v>DSB1</v>
      </c>
      <c r="G87" s="17"/>
      <c r="H87" s="17" t="s">
        <v>70</v>
      </c>
      <c r="I87" s="17">
        <v>2050</v>
      </c>
      <c r="J87" s="17"/>
      <c r="K87" s="33">
        <f>(INDEX('89 Vegetable oil FAME'!$D$4:$H$59,MATCH(SUP_Biofuels!W87,'89 Vegetable oil FAME'!$B$4:$B$59,0),MATCH(SUP_Biofuels!$I87,'89 Vegetable oil FAME'!$D$3:$H$3,0)))/INDEX('89 Vegetable oil FAME'!$D$4:$H$59,MATCH(SUP_Biofuels!X87,'89 Vegetable oil FAME'!$B$4:$B$59,0),MATCH(SUP_Biofuels!$I87,'89 Vegetable oil FAME'!$D$3:$H$3,0))</f>
        <v>1.0332225913621262</v>
      </c>
      <c r="L87" s="33"/>
      <c r="M87" s="34">
        <f>INDEX('89 Vegetable oil FAME'!$D$4:$H$59,MATCH(SUP_Biofuels!M$8,'89 Vegetable oil FAME'!$B$4:$B$59,0),MATCH(SUP_Biofuels!$I87,'89 Vegetable oil FAME'!$D$3:$H$3,0))</f>
        <v>25</v>
      </c>
      <c r="N87" s="35">
        <f>INDEX('89 Vegetable oil FAME'!$D$4:$H$59,MATCH(SUP_Biofuels!N$8,'89 Vegetable oil FAME'!$B$4:$B$59,0),MATCH(SUP_Biofuels!$I87,'89 Vegetable oil FAME'!$D$3:$H$3,0))*7.45</f>
        <v>3.5760000000000001</v>
      </c>
      <c r="O87" s="35">
        <f>INDEX('89 Vegetable oil FAME'!$D$4:$H$59,MATCH(SUP_Biofuels!O$8,'89 Vegetable oil FAME'!$B$4:$B$59,0),MATCH(SUP_Biofuels!$I87,'89 Vegetable oil FAME'!$D$3:$H$3,0))*7.45</f>
        <v>0.13112000000000001</v>
      </c>
      <c r="P87" s="35">
        <f>INDEX('89 Vegetable oil FAME'!$D$4:$H$59,MATCH(SUP_Biofuels!P$8,'89 Vegetable oil FAME'!$B$4:$B$59,0),MATCH(SUP_Biofuels!$I87,'89 Vegetable oil FAME'!$D$3:$H$3,0))*7.45/3.6</f>
        <v>14.010138888888887</v>
      </c>
      <c r="Q87" s="33">
        <f>1-INDEX('89 Vegetable oil FAME'!$D$4:$H$59,MATCH(SUP_Biofuels!Q$7,'89 Vegetable oil FAME'!$B$4:$B$59,0),MATCH(SUP_Biofuels!$I87,'89 Vegetable oil FAME'!$D$3:$H$3,0))/52-INDEX('89 Vegetable oil FAME'!$D$4:$H$59,MATCH(SUP_Biofuels!Q$8,'89 Vegetable oil FAME'!$B$4:$B$59,0),MATCH(SUP_Biofuels!$I87,'89 Vegetable oil FAME'!$D$3:$H$3,0))/100</f>
        <v>0.96153846153846156</v>
      </c>
      <c r="R87" s="36">
        <f>$R$39</f>
        <v>3.1536000000000002E-2</v>
      </c>
      <c r="S87" s="34">
        <f>INDEX('89 Vegetable oil FAME'!$D$4:$H$59,MATCH(SUP_Biofuels!S$8,'89 Vegetable oil FAME'!$B$4:$B$59,0),MATCH(SUP_Biofuels!$I87,'89 Vegetable oil FAME'!$D$3:$H$3,0))</f>
        <v>1.5</v>
      </c>
      <c r="T87" s="34"/>
      <c r="U87" s="44"/>
      <c r="V87" s="43"/>
      <c r="W87" s="17" t="str">
        <f>W82</f>
        <v>Veg Oil Consumption, MWh/MWh Total Input</v>
      </c>
      <c r="X87" s="17" t="str">
        <f>X82</f>
        <v>Biodiesel Output, MWh/MWh Total Input</v>
      </c>
      <c r="Y87" s="17"/>
    </row>
    <row r="88" spans="3:25">
      <c r="C88" s="43"/>
      <c r="D88" s="43"/>
      <c r="E88" s="17" t="str">
        <f>E83</f>
        <v>SUPMOB</v>
      </c>
      <c r="F88" s="17"/>
      <c r="G88" s="17"/>
      <c r="H88" s="17"/>
      <c r="I88" s="17"/>
      <c r="J88" s="17"/>
      <c r="K88" s="33">
        <f>(INDEX('89 Vegetable oil FAME'!$D$4:$H$59,MATCH(SUP_Biofuels!W88,'89 Vegetable oil FAME'!$B$4:$B$59,0),MATCH(SUP_Biofuels!$I87,'89 Vegetable oil FAME'!$D$3:$H$3,0)))/INDEX('89 Vegetable oil FAME'!$D$4:$H$59,MATCH(SUP_Biofuels!X87,'89 Vegetable oil FAME'!$B$4:$B$59,0),MATCH(SUP_Biofuels!$I87,'89 Vegetable oil FAME'!$D$3:$H$3,0))</f>
        <v>5.0941306755260242E-2</v>
      </c>
      <c r="L88" s="33"/>
      <c r="M88" s="39"/>
      <c r="N88" s="40"/>
      <c r="O88" s="40"/>
      <c r="P88" s="40"/>
      <c r="Q88" s="41"/>
      <c r="R88" s="42"/>
      <c r="S88" s="39"/>
      <c r="T88" s="39"/>
      <c r="U88" s="43"/>
      <c r="V88" s="43"/>
      <c r="W88" s="17" t="str">
        <f>W83</f>
        <v>Methanol Consumption, MWh/MWh Total Input</v>
      </c>
      <c r="X88" s="17"/>
      <c r="Y88" s="17"/>
    </row>
    <row r="89" spans="3:25" ht="15.6">
      <c r="C89" s="43"/>
      <c r="D89" s="32"/>
      <c r="E89" s="17" t="str">
        <f>E84</f>
        <v>SUPELC</v>
      </c>
      <c r="F89" s="43"/>
      <c r="G89" s="43"/>
      <c r="H89" s="43"/>
      <c r="I89" s="43"/>
      <c r="J89" s="43"/>
      <c r="K89" s="33">
        <f>(INDEX('89 Vegetable oil FAME'!$D$4:$H$59,MATCH(SUP_Biofuels!W89,'89 Vegetable oil FAME'!$B$4:$B$59,0),MATCH(SUP_Biofuels!$I87,'89 Vegetable oil FAME'!$D$3:$H$3,0)))/INDEX('89 Vegetable oil FAME'!$D$4:$H$59,MATCH(SUP_Biofuels!X87,'89 Vegetable oil FAME'!$B$4:$B$59,0),MATCH(SUP_Biofuels!$I87,'89 Vegetable oil FAME'!$D$3:$H$3,0))</f>
        <v>2.2148394241417496E-3</v>
      </c>
      <c r="L89" s="43"/>
      <c r="M89" s="43"/>
      <c r="N89" s="43"/>
      <c r="O89" s="43"/>
      <c r="P89" s="40"/>
      <c r="Q89" s="43"/>
      <c r="R89" s="43"/>
      <c r="S89" s="43"/>
      <c r="T89" s="43"/>
      <c r="U89" s="43"/>
      <c r="V89" s="43"/>
      <c r="W89" s="17" t="str">
        <f>W84</f>
        <v>Electricity Consumption, MWh/MWh Total Input</v>
      </c>
      <c r="X89" s="43"/>
      <c r="Y89" s="43"/>
    </row>
    <row r="90" spans="3:25">
      <c r="C90" s="43"/>
      <c r="D90" s="17"/>
      <c r="E90" s="17" t="str">
        <f>E85</f>
        <v>SUPNGA,SUPSNG,SUPH2</v>
      </c>
      <c r="F90" s="43"/>
      <c r="G90" s="43"/>
      <c r="H90" s="43"/>
      <c r="I90" s="43"/>
      <c r="J90" s="43"/>
      <c r="K90" s="33">
        <f>(INDEX('89 Vegetable oil FAME'!$D$4:$H$59,MATCH(SUP_Biofuels!W90,'89 Vegetable oil FAME'!$B$4:$B$59,0),MATCH(SUP_Biofuels!$I87,'89 Vegetable oil FAME'!$D$3:$H$3,0)))/INDEX('89 Vegetable oil FAME'!$D$4:$H$59,MATCH(SUP_Biofuels!X87,'89 Vegetable oil FAME'!$B$4:$B$59,0),MATCH(SUP_Biofuels!$I87,'89 Vegetable oil FAME'!$D$3:$H$3,0))</f>
        <v>1.9933554817275746E-2</v>
      </c>
      <c r="L90" s="43"/>
      <c r="M90" s="43"/>
      <c r="N90" s="43"/>
      <c r="O90" s="43"/>
      <c r="P90" s="40"/>
      <c r="Q90" s="43"/>
      <c r="R90" s="43"/>
      <c r="S90" s="43"/>
      <c r="T90" s="43"/>
      <c r="U90" s="43"/>
      <c r="V90" s="43"/>
      <c r="W90" s="17" t="str">
        <f>W85</f>
        <v>Natural Gas Consumption, MWh/MWh Total Input</v>
      </c>
      <c r="X90" s="43"/>
      <c r="Y90" s="43"/>
    </row>
    <row r="91" spans="3:25" ht="15" thickBot="1">
      <c r="C91" s="46"/>
      <c r="D91" s="46"/>
      <c r="E91" s="46"/>
      <c r="F91" s="46"/>
      <c r="G91" s="47" t="str">
        <f>G86</f>
        <v>GLY</v>
      </c>
      <c r="H91" s="46"/>
      <c r="I91" s="46"/>
      <c r="J91" s="46"/>
      <c r="K91" s="46"/>
      <c r="L91" s="48">
        <f>INDEX('89 Vegetable oil FAME'!$D$4:$H$59,MATCH(SUP_Biofuels!Y91,'89 Vegetable oil FAME'!$B$4:$B$59,0),MATCH(SUP_Biofuels!$I87,'89 Vegetable oil FAME'!$D$3:$H$3,0))*(SUM(K87:K90))</f>
        <v>4.3146179401993348E-2</v>
      </c>
      <c r="M91" s="46"/>
      <c r="N91" s="46"/>
      <c r="O91" s="46"/>
      <c r="P91" s="49"/>
      <c r="Q91" s="46"/>
      <c r="R91" s="46"/>
      <c r="S91" s="46"/>
      <c r="T91" s="46"/>
      <c r="U91" s="46"/>
      <c r="V91" s="46"/>
      <c r="W91" s="46"/>
      <c r="X91" s="46"/>
      <c r="Y91" s="47" t="str">
        <f>Y86</f>
        <v>Glycerine  Output, MWh/MWh Total Input</v>
      </c>
    </row>
    <row r="92" spans="3:25" ht="15.6">
      <c r="C92" s="17" t="str">
        <f>"SUP"&amp;F92&amp;RIGHT(E92,3)&amp;IF(RIGHT(D92,7)="Central","C2","D2")</f>
        <v>SUPDSB1RPSC2</v>
      </c>
      <c r="D92" s="32" t="str">
        <f>'90 UCO &amp; animal fat FAME'!D2&amp;" Central"</f>
        <v>UCO and Animal Fat FAME Central</v>
      </c>
      <c r="E92" s="17" t="s">
        <v>72</v>
      </c>
      <c r="F92" s="17" t="s">
        <v>73</v>
      </c>
      <c r="G92" s="17"/>
      <c r="H92" s="17" t="s">
        <v>70</v>
      </c>
      <c r="I92" s="17">
        <f>'93 1st generation ethanol'!$D$3</f>
        <v>2015</v>
      </c>
      <c r="J92" s="19">
        <v>2030</v>
      </c>
      <c r="K92" s="33">
        <f>(INDEX('90 UCO &amp; animal fat FAME'!$D$4:$H$59,MATCH(SUP_Biofuels!W92,'90 UCO &amp; animal fat FAME'!$B$4:$B$59,0),MATCH(SUP_Biofuels!$I92,'90 UCO &amp; animal fat FAME'!$D$3:$H$3,0)))/INDEX('90 UCO &amp; animal fat FAME'!$D$4:$H$59,MATCH(SUP_Biofuels!X92,'90 UCO &amp; animal fat FAME'!$B$4:$B$59,0),MATCH(SUP_Biofuels!$I92,'90 UCO &amp; animal fat FAME'!$D$3:$H$3,0))</f>
        <v>1.0785714285714287</v>
      </c>
      <c r="L92" s="33"/>
      <c r="M92" s="34">
        <f>INDEX('90 UCO &amp; animal fat FAME'!$D$4:$H$59,MATCH(SUP_Biofuels!M$8,'90 UCO &amp; animal fat FAME'!$B$4:$B$59,0),MATCH(SUP_Biofuels!$I92,'90 UCO &amp; animal fat FAME'!$D$3:$H$3,0))</f>
        <v>25</v>
      </c>
      <c r="N92" s="35">
        <f>INDEX('90 UCO &amp; animal fat FAME'!$D$4:$H$59,MATCH(SUP_Biofuels!N$8,'90 UCO &amp; animal fat FAME'!$B$4:$B$59,0),MATCH(SUP_Biofuels!$I92,'90 UCO &amp; animal fat FAME'!$D$3:$H$3,0))*7.45</f>
        <v>8.0545871762058141</v>
      </c>
      <c r="O92" s="35">
        <f>INDEX('90 UCO &amp; animal fat FAME'!$D$4:$H$59,MATCH(SUP_Biofuels!O$8,'90 UCO &amp; animal fat FAME'!$B$4:$B$59,0),MATCH(SUP_Biofuels!$I92,'90 UCO &amp; animal fat FAME'!$D$3:$H$3,0))*7.45</f>
        <v>0.91195856873822978</v>
      </c>
      <c r="P92" s="35">
        <f>INDEX('90 UCO &amp; animal fat FAME'!$D$4:$H$59,MATCH(SUP_Biofuels!P$8,'90 UCO &amp; animal fat FAME'!$B$4:$B$59,0),MATCH(SUP_Biofuels!$I92,'90 UCO &amp; animal fat FAME'!$D$3:$H$3,0))*7.45/3.6</f>
        <v>15.840344694531794</v>
      </c>
      <c r="Q92" s="33">
        <f>1-INDEX('90 UCO &amp; animal fat FAME'!$D$4:$H$59,MATCH(SUP_Biofuels!Q$7,'90 UCO &amp; animal fat FAME'!$B$4:$B$59,0),MATCH(SUP_Biofuels!$I92,'90 UCO &amp; animal fat FAME'!$D$3:$H$3,0))/52-INDEX('90 UCO &amp; animal fat FAME'!$D$4:$H$59,MATCH(SUP_Biofuels!Q$8,'90 UCO &amp; animal fat FAME'!$B$4:$B$59,0),MATCH(SUP_Biofuels!$I92,'90 UCO &amp; animal fat FAME'!$D$3:$H$3,0))/100</f>
        <v>0.96153846153846156</v>
      </c>
      <c r="R92" s="36">
        <f>$R$39</f>
        <v>3.1536000000000002E-2</v>
      </c>
      <c r="S92" s="34">
        <f>INDEX('90 UCO &amp; animal fat FAME'!$D$4:$H$59,MATCH(SUP_Biofuels!S$8,'90 UCO &amp; animal fat FAME'!$B$4:$B$59,0),MATCH(SUP_Biofuels!$I92,'90 UCO &amp; animal fat FAME'!$D$3:$H$3,0))</f>
        <v>1.5</v>
      </c>
      <c r="T92" s="34"/>
      <c r="U92" s="37"/>
      <c r="V92" s="38" t="s">
        <v>74</v>
      </c>
      <c r="W92" s="17" t="str">
        <f>'90 UCO &amp; animal fat FAME'!B9</f>
        <v>Veg Oil Consumption, MWh/MWh Total Input</v>
      </c>
      <c r="X92" s="17" t="str">
        <f>'90 UCO &amp; animal fat FAME'!B14</f>
        <v xml:space="preserve">Biodiesel Output, MWH/MWh </v>
      </c>
      <c r="Y92" s="17"/>
    </row>
    <row r="93" spans="3:25">
      <c r="C93" s="17"/>
      <c r="D93" s="17"/>
      <c r="E93" s="17" t="s">
        <v>1419</v>
      </c>
      <c r="F93" s="17"/>
      <c r="G93" s="17"/>
      <c r="H93" s="17"/>
      <c r="I93" s="17"/>
      <c r="J93" s="17"/>
      <c r="K93" s="33">
        <f>(INDEX('90 UCO &amp; animal fat FAME'!$D$4:$H$59,MATCH(SUP_Biofuels!W93,'90 UCO &amp; animal fat FAME'!$B$4:$B$59,0),MATCH(SUP_Biofuels!$I92,'90 UCO &amp; animal fat FAME'!$D$3:$H$3,0)))/INDEX('90 UCO &amp; animal fat FAME'!$D$4:$H$59,MATCH(SUP_Biofuels!X92,'90 UCO &amp; animal fat FAME'!$B$4:$B$59,0),MATCH(SUP_Biofuels!$I92,'90 UCO &amp; animal fat FAME'!$D$3:$H$3,0))</f>
        <v>5.2380952380952382E-2</v>
      </c>
      <c r="L93" s="33"/>
      <c r="M93" s="39"/>
      <c r="N93" s="40"/>
      <c r="O93" s="40"/>
      <c r="P93" s="40"/>
      <c r="Q93" s="41"/>
      <c r="R93" s="42"/>
      <c r="S93" s="39"/>
      <c r="T93" s="39"/>
      <c r="U93" s="43"/>
      <c r="V93" s="43"/>
      <c r="W93" s="17" t="str">
        <f>'90 UCO &amp; animal fat FAME'!B10</f>
        <v>Methanol Consumption, MWh/MWh Total Input</v>
      </c>
      <c r="X93" s="17"/>
      <c r="Y93" s="17"/>
    </row>
    <row r="94" spans="3:25">
      <c r="C94" s="43"/>
      <c r="D94" s="43"/>
      <c r="E94" s="43" t="s">
        <v>71</v>
      </c>
      <c r="F94" s="43"/>
      <c r="G94" s="43"/>
      <c r="H94" s="43"/>
      <c r="I94" s="43"/>
      <c r="J94" s="43"/>
      <c r="K94" s="33">
        <f>(INDEX('90 UCO &amp; animal fat FAME'!$D$4:$H$59,MATCH(SUP_Biofuels!W94,'90 UCO &amp; animal fat FAME'!$B$4:$B$59,0),MATCH(SUP_Biofuels!$I92,'90 UCO &amp; animal fat FAME'!$D$3:$H$3,0)))/INDEX('90 UCO &amp; animal fat FAME'!$D$4:$H$59,MATCH(SUP_Biofuels!X92,'90 UCO &amp; animal fat FAME'!$B$4:$B$59,0),MATCH(SUP_Biofuels!$I92,'90 UCO &amp; animal fat FAME'!$D$3:$H$3,0))</f>
        <v>8.3333333333333332E-3</v>
      </c>
      <c r="L94" s="43"/>
      <c r="M94" s="43"/>
      <c r="N94" s="43"/>
      <c r="O94" s="43"/>
      <c r="P94" s="40"/>
      <c r="Q94" s="43"/>
      <c r="R94" s="43"/>
      <c r="S94" s="43"/>
      <c r="T94" s="43"/>
      <c r="U94" s="43"/>
      <c r="V94" s="43"/>
      <c r="W94" s="17" t="str">
        <f>'90 UCO &amp; animal fat FAME'!B11</f>
        <v>Electricity Consumption, MWh/MWh Total Input</v>
      </c>
      <c r="X94" s="43"/>
      <c r="Y94" s="43"/>
    </row>
    <row r="95" spans="3:25">
      <c r="C95" s="43"/>
      <c r="D95" s="43"/>
      <c r="E95" s="43" t="s">
        <v>1760</v>
      </c>
      <c r="F95" s="43"/>
      <c r="G95" s="43"/>
      <c r="H95" s="43"/>
      <c r="I95" s="43"/>
      <c r="J95" s="43"/>
      <c r="K95" s="33">
        <f>(INDEX('90 UCO &amp; animal fat FAME'!$D$4:$H$59,MATCH(SUP_Biofuels!W95,'90 UCO &amp; animal fat FAME'!$B$4:$B$59,0),MATCH(SUP_Biofuels!$I92,'90 UCO &amp; animal fat FAME'!$D$3:$H$3,0)))/INDEX('90 UCO &amp; animal fat FAME'!$D$4:$H$59,MATCH(SUP_Biofuels!X92,'90 UCO &amp; animal fat FAME'!$B$4:$B$59,0),MATCH(SUP_Biofuels!$I92,'90 UCO &amp; animal fat FAME'!$D$3:$H$3,0))</f>
        <v>5.2380952380952382E-2</v>
      </c>
      <c r="L95" s="43"/>
      <c r="M95" s="43"/>
      <c r="N95" s="43"/>
      <c r="O95" s="43"/>
      <c r="P95" s="40"/>
      <c r="Q95" s="43"/>
      <c r="R95" s="43"/>
      <c r="S95" s="43"/>
      <c r="T95" s="43"/>
      <c r="U95" s="43"/>
      <c r="V95" s="43"/>
      <c r="W95" s="17" t="str">
        <f>'90 UCO &amp; animal fat FAME'!B12</f>
        <v>Natural Gas Consumption, MWh/MWh Total Input</v>
      </c>
      <c r="X95" s="43"/>
      <c r="Y95" s="43"/>
    </row>
    <row r="96" spans="3:25">
      <c r="C96" s="43"/>
      <c r="D96" s="43"/>
      <c r="E96" s="43"/>
      <c r="F96" s="43"/>
      <c r="G96" s="43" t="s">
        <v>75</v>
      </c>
      <c r="H96" s="43"/>
      <c r="I96" s="43"/>
      <c r="J96" s="43"/>
      <c r="K96" s="43"/>
      <c r="L96" s="33">
        <f>INDEX('90 UCO &amp; animal fat FAME'!$D$4:$H$59,MATCH(SUP_Biofuels!Y96,'90 UCO &amp; animal fat FAME'!$B$4:$B$59,0),MATCH(SUP_Biofuels!$I92,'90 UCO &amp; animal fat FAME'!$D$3:$H$3,0))*(SUM(K92:K95))</f>
        <v>4.7666666666666677E-2</v>
      </c>
      <c r="M96" s="43"/>
      <c r="N96" s="43"/>
      <c r="O96" s="43"/>
      <c r="P96" s="40"/>
      <c r="Q96" s="43"/>
      <c r="R96" s="43"/>
      <c r="S96" s="43"/>
      <c r="T96" s="43"/>
      <c r="U96" s="43"/>
      <c r="V96" s="43"/>
      <c r="W96" s="43"/>
      <c r="X96" s="43"/>
      <c r="Y96" s="43" t="str">
        <f>'90 UCO &amp; animal fat FAME'!B15</f>
        <v>Glycerine  Output, MWH/MWh Total Input</v>
      </c>
    </row>
    <row r="97" spans="3:25" ht="15.6">
      <c r="C97" s="17"/>
      <c r="D97" s="32"/>
      <c r="E97" s="17" t="str">
        <f>E92</f>
        <v>SUPRPS</v>
      </c>
      <c r="F97" s="17" t="str">
        <f>F92</f>
        <v>DSB1</v>
      </c>
      <c r="G97" s="17"/>
      <c r="H97" s="17" t="s">
        <v>70</v>
      </c>
      <c r="I97" s="17">
        <v>2020</v>
      </c>
      <c r="J97" s="17"/>
      <c r="K97" s="33">
        <f>(INDEX('90 UCO &amp; animal fat FAME'!$D$4:$H$59,MATCH(SUP_Biofuels!W97,'90 UCO &amp; animal fat FAME'!$B$4:$B$59,0),MATCH(SUP_Biofuels!$I97,'90 UCO &amp; animal fat FAME'!$D$3:$H$3,0)))/INDEX('90 UCO &amp; animal fat FAME'!$D$4:$H$59,MATCH(SUP_Biofuels!X97,'90 UCO &amp; animal fat FAME'!$B$4:$B$59,0),MATCH(SUP_Biofuels!$I97,'90 UCO &amp; animal fat FAME'!$D$3:$H$3,0))</f>
        <v>1.0694117647058825</v>
      </c>
      <c r="L97" s="33"/>
      <c r="M97" s="34">
        <f>INDEX('90 UCO &amp; animal fat FAME'!$D$4:$H$59,MATCH(SUP_Biofuels!M$8,'90 UCO &amp; animal fat FAME'!$B$4:$B$59,0),MATCH(SUP_Biofuels!$I97,'90 UCO &amp; animal fat FAME'!$D$3:$H$3,0))</f>
        <v>25</v>
      </c>
      <c r="N97" s="35">
        <f>INDEX('90 UCO &amp; animal fat FAME'!$D$4:$H$59,MATCH(SUP_Biofuels!N$8,'90 UCO &amp; animal fat FAME'!$B$4:$B$59,0),MATCH(SUP_Biofuels!$I97,'90 UCO &amp; animal fat FAME'!$D$3:$H$3,0))*7.45</f>
        <v>7.570100729516744</v>
      </c>
      <c r="O97" s="35">
        <f>INDEX('90 UCO &amp; animal fat FAME'!$D$4:$H$59,MATCH(SUP_Biofuels!O$8,'90 UCO &amp; animal fat FAME'!$B$4:$B$59,0),MATCH(SUP_Biofuels!$I97,'90 UCO &amp; animal fat FAME'!$D$3:$H$3,0))*7.45</f>
        <v>0.91195856873822978</v>
      </c>
      <c r="P97" s="35">
        <f>INDEX('90 UCO &amp; animal fat FAME'!$D$4:$H$59,MATCH(SUP_Biofuels!P$8,'90 UCO &amp; animal fat FAME'!$B$4:$B$59,0),MATCH(SUP_Biofuels!$I97,'90 UCO &amp; animal fat FAME'!$D$3:$H$3,0))*7.45/3.6</f>
        <v>15.840344694531794</v>
      </c>
      <c r="Q97" s="33">
        <f>1-INDEX('90 UCO &amp; animal fat FAME'!$D$4:$H$59,MATCH(SUP_Biofuels!Q$7,'90 UCO &amp; animal fat FAME'!$B$4:$B$59,0),MATCH(SUP_Biofuels!$I97,'90 UCO &amp; animal fat FAME'!$D$3:$H$3,0))/52-INDEX('90 UCO &amp; animal fat FAME'!$D$4:$H$59,MATCH(SUP_Biofuels!Q$8,'90 UCO &amp; animal fat FAME'!$B$4:$B$59,0),MATCH(SUP_Biofuels!$I97,'90 UCO &amp; animal fat FAME'!$D$3:$H$3,0))/100</f>
        <v>0.96153846153846156</v>
      </c>
      <c r="R97" s="36">
        <f>$R$39</f>
        <v>3.1536000000000002E-2</v>
      </c>
      <c r="S97" s="34">
        <f>INDEX('90 UCO &amp; animal fat FAME'!$D$4:$H$59,MATCH(SUP_Biofuels!S$8,'90 UCO &amp; animal fat FAME'!$B$4:$B$59,0),MATCH(SUP_Biofuels!$I97,'90 UCO &amp; animal fat FAME'!$D$3:$H$3,0))</f>
        <v>1.5</v>
      </c>
      <c r="T97" s="34"/>
      <c r="U97" s="44"/>
      <c r="V97" s="45"/>
      <c r="W97" s="17" t="str">
        <f>W92</f>
        <v>Veg Oil Consumption, MWh/MWh Total Input</v>
      </c>
      <c r="X97" s="17" t="str">
        <f>X92</f>
        <v xml:space="preserve">Biodiesel Output, MWH/MWh </v>
      </c>
      <c r="Y97" s="17"/>
    </row>
    <row r="98" spans="3:25">
      <c r="C98" s="17"/>
      <c r="D98" s="17"/>
      <c r="E98" s="17" t="str">
        <f>E93</f>
        <v>SUPMOB</v>
      </c>
      <c r="F98" s="17"/>
      <c r="G98" s="17"/>
      <c r="H98" s="17"/>
      <c r="I98" s="17"/>
      <c r="J98" s="17"/>
      <c r="K98" s="33">
        <f>(INDEX('90 UCO &amp; animal fat FAME'!$D$4:$H$59,MATCH(SUP_Biofuels!W98,'90 UCO &amp; animal fat FAME'!$B$4:$B$59,0),MATCH(SUP_Biofuels!$I97,'90 UCO &amp; animal fat FAME'!$D$3:$H$3,0)))/INDEX('90 UCO &amp; animal fat FAME'!$D$4:$H$59,MATCH(SUP_Biofuels!X97,'90 UCO &amp; animal fat FAME'!$B$4:$B$59,0),MATCH(SUP_Biofuels!$I97,'90 UCO &amp; animal fat FAME'!$D$3:$H$3,0))</f>
        <v>5.1764705882352942E-2</v>
      </c>
      <c r="L98" s="33"/>
      <c r="M98" s="39"/>
      <c r="N98" s="40"/>
      <c r="O98" s="40"/>
      <c r="P98" s="40"/>
      <c r="Q98" s="41"/>
      <c r="R98" s="42"/>
      <c r="S98" s="39"/>
      <c r="T98" s="39"/>
      <c r="U98" s="43"/>
      <c r="V98" s="43"/>
      <c r="W98" s="17" t="str">
        <f>W93</f>
        <v>Methanol Consumption, MWh/MWh Total Input</v>
      </c>
      <c r="X98" s="17"/>
      <c r="Y98" s="17"/>
    </row>
    <row r="99" spans="3:25">
      <c r="C99" s="43"/>
      <c r="D99" s="43"/>
      <c r="E99" s="17" t="str">
        <f>E94</f>
        <v>SUPELC</v>
      </c>
      <c r="F99" s="43"/>
      <c r="G99" s="43"/>
      <c r="H99" s="43"/>
      <c r="I99" s="43"/>
      <c r="J99" s="43"/>
      <c r="K99" s="33">
        <f>(INDEX('90 UCO &amp; animal fat FAME'!$D$4:$H$59,MATCH(SUP_Biofuels!W99,'90 UCO &amp; animal fat FAME'!$B$4:$B$59,0),MATCH(SUP_Biofuels!$I97,'90 UCO &amp; animal fat FAME'!$D$3:$H$3,0)))/INDEX('90 UCO &amp; animal fat FAME'!$D$4:$H$59,MATCH(SUP_Biofuels!X97,'90 UCO &amp; animal fat FAME'!$B$4:$B$59,0),MATCH(SUP_Biofuels!$I97,'90 UCO &amp; animal fat FAME'!$D$3:$H$3,0))</f>
        <v>7.058823529411765E-3</v>
      </c>
      <c r="L99" s="43"/>
      <c r="M99" s="43"/>
      <c r="N99" s="43"/>
      <c r="O99" s="43"/>
      <c r="P99" s="40"/>
      <c r="Q99" s="43"/>
      <c r="R99" s="43"/>
      <c r="S99" s="43"/>
      <c r="T99" s="43"/>
      <c r="U99" s="43"/>
      <c r="V99" s="43"/>
      <c r="W99" s="17" t="str">
        <f>W94</f>
        <v>Electricity Consumption, MWh/MWh Total Input</v>
      </c>
      <c r="X99" s="43"/>
      <c r="Y99" s="43"/>
    </row>
    <row r="100" spans="3:25">
      <c r="C100" s="43"/>
      <c r="D100" s="43"/>
      <c r="E100" s="17" t="str">
        <f>E95</f>
        <v>SUPNGA,SUPSNG,SUPH2</v>
      </c>
      <c r="F100" s="43"/>
      <c r="G100" s="43"/>
      <c r="H100" s="43"/>
      <c r="I100" s="43"/>
      <c r="J100" s="43"/>
      <c r="K100" s="33">
        <f>(INDEX('90 UCO &amp; animal fat FAME'!$D$4:$H$59,MATCH(SUP_Biofuels!W100,'90 UCO &amp; animal fat FAME'!$B$4:$B$59,0),MATCH(SUP_Biofuels!$I97,'90 UCO &amp; animal fat FAME'!$D$3:$H$3,0)))/INDEX('90 UCO &amp; animal fat FAME'!$D$4:$H$59,MATCH(SUP_Biofuels!X97,'90 UCO &amp; animal fat FAME'!$B$4:$B$59,0),MATCH(SUP_Biofuels!$I97,'90 UCO &amp; animal fat FAME'!$D$3:$H$3,0))</f>
        <v>4.7058823529411764E-2</v>
      </c>
      <c r="L100" s="43"/>
      <c r="M100" s="43"/>
      <c r="N100" s="43"/>
      <c r="O100" s="43"/>
      <c r="P100" s="40"/>
      <c r="Q100" s="43"/>
      <c r="R100" s="43"/>
      <c r="S100" s="43"/>
      <c r="T100" s="43"/>
      <c r="U100" s="43"/>
      <c r="V100" s="43"/>
      <c r="W100" s="17" t="str">
        <f>W95</f>
        <v>Natural Gas Consumption, MWh/MWh Total Input</v>
      </c>
      <c r="X100" s="43"/>
      <c r="Y100" s="43"/>
    </row>
    <row r="101" spans="3:25" ht="15.6">
      <c r="C101" s="43"/>
      <c r="D101" s="32"/>
      <c r="E101" s="43"/>
      <c r="F101" s="43"/>
      <c r="G101" s="17" t="str">
        <f>G96</f>
        <v>GLY</v>
      </c>
      <c r="H101" s="43"/>
      <c r="I101" s="43"/>
      <c r="J101" s="43"/>
      <c r="K101" s="43"/>
      <c r="L101" s="33">
        <f>INDEX('90 UCO &amp; animal fat FAME'!$D$4:$H$59,MATCH(SUP_Biofuels!Y101,'90 UCO &amp; animal fat FAME'!$B$4:$B$59,0),MATCH(SUP_Biofuels!$I97,'90 UCO &amp; animal fat FAME'!$D$3:$H$3,0))*(SUM(K97:K100))</f>
        <v>4.7011764705882364E-2</v>
      </c>
      <c r="M101" s="43"/>
      <c r="N101" s="43"/>
      <c r="O101" s="43"/>
      <c r="P101" s="40"/>
      <c r="Q101" s="43"/>
      <c r="R101" s="43"/>
      <c r="S101" s="43"/>
      <c r="T101" s="43"/>
      <c r="U101" s="43"/>
      <c r="V101" s="45"/>
      <c r="W101" s="43"/>
      <c r="X101" s="43"/>
      <c r="Y101" s="17" t="str">
        <f>Y96</f>
        <v>Glycerine  Output, MWH/MWh Total Input</v>
      </c>
    </row>
    <row r="102" spans="3:25">
      <c r="C102" s="43"/>
      <c r="D102" s="17"/>
      <c r="E102" s="17" t="str">
        <f>E97</f>
        <v>SUPRPS</v>
      </c>
      <c r="F102" s="17" t="str">
        <f>F97</f>
        <v>DSB1</v>
      </c>
      <c r="G102" s="17"/>
      <c r="H102" s="17" t="s">
        <v>70</v>
      </c>
      <c r="I102" s="17">
        <v>2030</v>
      </c>
      <c r="J102" s="17"/>
      <c r="K102" s="33">
        <f>(INDEX('90 UCO &amp; animal fat FAME'!$D$4:$H$59,MATCH(SUP_Biofuels!W102,'90 UCO &amp; animal fat FAME'!$B$4:$B$59,0),MATCH(SUP_Biofuels!$I102,'90 UCO &amp; animal fat FAME'!$D$3:$H$3,0)))/INDEX('90 UCO &amp; animal fat FAME'!$D$4:$H$59,MATCH(SUP_Biofuels!X102,'90 UCO &amp; animal fat FAME'!$B$4:$B$59,0),MATCH(SUP_Biofuels!$I102,'90 UCO &amp; animal fat FAME'!$D$3:$H$3,0))</f>
        <v>1.0604651162790699</v>
      </c>
      <c r="L102" s="33"/>
      <c r="M102" s="34">
        <f>INDEX('90 UCO &amp; animal fat FAME'!$D$4:$H$59,MATCH(SUP_Biofuels!M$8,'90 UCO &amp; animal fat FAME'!$B$4:$B$59,0),MATCH(SUP_Biofuels!$I102,'90 UCO &amp; animal fat FAME'!$D$3:$H$3,0))</f>
        <v>25</v>
      </c>
      <c r="N102" s="35">
        <f>INDEX('90 UCO &amp; animal fat FAME'!$D$4:$H$59,MATCH(SUP_Biofuels!N$8,'90 UCO &amp; animal fat FAME'!$B$4:$B$59,0),MATCH(SUP_Biofuels!$I102,'90 UCO &amp; animal fat FAME'!$D$3:$H$3,0))*7.45</f>
        <v>6.9644926711554032</v>
      </c>
      <c r="O102" s="35">
        <f>INDEX('90 UCO &amp; animal fat FAME'!$D$4:$H$59,MATCH(SUP_Biofuels!O$8,'90 UCO &amp; animal fat FAME'!$B$4:$B$59,0),MATCH(SUP_Biofuels!$I102,'90 UCO &amp; animal fat FAME'!$D$3:$H$3,0))*7.45</f>
        <v>0.91195856873822978</v>
      </c>
      <c r="P102" s="35">
        <f>INDEX('90 UCO &amp; animal fat FAME'!$D$4:$H$59,MATCH(SUP_Biofuels!P$8,'90 UCO &amp; animal fat FAME'!$B$4:$B$59,0),MATCH(SUP_Biofuels!$I102,'90 UCO &amp; animal fat FAME'!$D$3:$H$3,0))*7.45/3.6</f>
        <v>15.840344694531794</v>
      </c>
      <c r="Q102" s="33">
        <f>1-INDEX('90 UCO &amp; animal fat FAME'!$D$4:$H$59,MATCH(SUP_Biofuels!Q$7,'90 UCO &amp; animal fat FAME'!$B$4:$B$59,0),MATCH(SUP_Biofuels!$I102,'90 UCO &amp; animal fat FAME'!$D$3:$H$3,0))/52-INDEX('90 UCO &amp; animal fat FAME'!$D$4:$H$59,MATCH(SUP_Biofuels!Q$8,'90 UCO &amp; animal fat FAME'!$B$4:$B$59,0),MATCH(SUP_Biofuels!$I102,'90 UCO &amp; animal fat FAME'!$D$3:$H$3,0))/100</f>
        <v>0.96153846153846156</v>
      </c>
      <c r="R102" s="36">
        <f>$R$39</f>
        <v>3.1536000000000002E-2</v>
      </c>
      <c r="S102" s="34">
        <f>INDEX('90 UCO &amp; animal fat FAME'!$D$4:$H$59,MATCH(SUP_Biofuels!S$8,'90 UCO &amp; animal fat FAME'!$B$4:$B$59,0),MATCH(SUP_Biofuels!$I102,'90 UCO &amp; animal fat FAME'!$D$3:$H$3,0))</f>
        <v>1.5</v>
      </c>
      <c r="T102" s="34"/>
      <c r="U102" s="44"/>
      <c r="V102" s="43"/>
      <c r="W102" s="17" t="str">
        <f>W97</f>
        <v>Veg Oil Consumption, MWh/MWh Total Input</v>
      </c>
      <c r="X102" s="17" t="str">
        <f>X97</f>
        <v xml:space="preserve">Biodiesel Output, MWH/MWh </v>
      </c>
      <c r="Y102" s="17"/>
    </row>
    <row r="103" spans="3:25">
      <c r="C103" s="43"/>
      <c r="D103" s="43"/>
      <c r="E103" s="17" t="str">
        <f>E98</f>
        <v>SUPMOB</v>
      </c>
      <c r="F103" s="17"/>
      <c r="G103" s="17"/>
      <c r="H103" s="17"/>
      <c r="I103" s="17"/>
      <c r="J103" s="17"/>
      <c r="K103" s="33">
        <f>(INDEX('90 UCO &amp; animal fat FAME'!$D$4:$H$59,MATCH(SUP_Biofuels!W103,'90 UCO &amp; animal fat FAME'!$B$4:$B$59,0),MATCH(SUP_Biofuels!$I102,'90 UCO &amp; animal fat FAME'!$D$3:$H$3,0)))/INDEX('90 UCO &amp; animal fat FAME'!$D$4:$H$59,MATCH(SUP_Biofuels!X102,'90 UCO &amp; animal fat FAME'!$B$4:$B$59,0),MATCH(SUP_Biofuels!$I102,'90 UCO &amp; animal fat FAME'!$D$3:$H$3,0))</f>
        <v>5.1162790697674418E-2</v>
      </c>
      <c r="L103" s="33"/>
      <c r="M103" s="39"/>
      <c r="N103" s="40"/>
      <c r="O103" s="40"/>
      <c r="P103" s="40"/>
      <c r="Q103" s="41"/>
      <c r="R103" s="42"/>
      <c r="S103" s="39"/>
      <c r="T103" s="39"/>
      <c r="U103" s="43"/>
      <c r="V103" s="43"/>
      <c r="W103" s="17" t="str">
        <f>W98</f>
        <v>Methanol Consumption, MWh/MWh Total Input</v>
      </c>
      <c r="X103" s="17"/>
      <c r="Y103" s="17"/>
    </row>
    <row r="104" spans="3:25">
      <c r="C104" s="43"/>
      <c r="D104" s="43"/>
      <c r="E104" s="17" t="str">
        <f>E99</f>
        <v>SUPELC</v>
      </c>
      <c r="F104" s="43"/>
      <c r="G104" s="43"/>
      <c r="H104" s="43"/>
      <c r="I104" s="43"/>
      <c r="J104" s="43"/>
      <c r="K104" s="33">
        <f>(INDEX('90 UCO &amp; animal fat FAME'!$D$4:$H$59,MATCH(SUP_Biofuels!W104,'90 UCO &amp; animal fat FAME'!$B$4:$B$59,0),MATCH(SUP_Biofuels!$I102,'90 UCO &amp; animal fat FAME'!$D$3:$H$3,0)))/INDEX('90 UCO &amp; animal fat FAME'!$D$4:$H$59,MATCH(SUP_Biofuels!X102,'90 UCO &amp; animal fat FAME'!$B$4:$B$59,0),MATCH(SUP_Biofuels!$I102,'90 UCO &amp; animal fat FAME'!$D$3:$H$3,0))</f>
        <v>5.8139534883720929E-3</v>
      </c>
      <c r="L104" s="43"/>
      <c r="M104" s="43"/>
      <c r="N104" s="43"/>
      <c r="O104" s="43"/>
      <c r="P104" s="40"/>
      <c r="Q104" s="43"/>
      <c r="R104" s="43"/>
      <c r="S104" s="43"/>
      <c r="T104" s="43"/>
      <c r="U104" s="43"/>
      <c r="V104" s="43"/>
      <c r="W104" s="17" t="str">
        <f>W99</f>
        <v>Electricity Consumption, MWh/MWh Total Input</v>
      </c>
      <c r="X104" s="43"/>
      <c r="Y104" s="43"/>
    </row>
    <row r="105" spans="3:25" ht="15.6">
      <c r="C105" s="43"/>
      <c r="D105" s="32"/>
      <c r="E105" s="17" t="str">
        <f>E100</f>
        <v>SUPNGA,SUPSNG,SUPH2</v>
      </c>
      <c r="F105" s="43"/>
      <c r="G105" s="43"/>
      <c r="H105" s="43"/>
      <c r="I105" s="43"/>
      <c r="J105" s="43"/>
      <c r="K105" s="33">
        <f>(INDEX('90 UCO &amp; animal fat FAME'!$D$4:$H$59,MATCH(SUP_Biofuels!W105,'90 UCO &amp; animal fat FAME'!$B$4:$B$59,0),MATCH(SUP_Biofuels!$I102,'90 UCO &amp; animal fat FAME'!$D$3:$H$3,0)))/INDEX('90 UCO &amp; animal fat FAME'!$D$4:$H$59,MATCH(SUP_Biofuels!X102,'90 UCO &amp; animal fat FAME'!$B$4:$B$59,0),MATCH(SUP_Biofuels!$I102,'90 UCO &amp; animal fat FAME'!$D$3:$H$3,0))</f>
        <v>4.1860465116279069E-2</v>
      </c>
      <c r="L105" s="43"/>
      <c r="M105" s="43"/>
      <c r="N105" s="43"/>
      <c r="O105" s="43"/>
      <c r="P105" s="40"/>
      <c r="Q105" s="43"/>
      <c r="R105" s="43"/>
      <c r="S105" s="43"/>
      <c r="T105" s="43"/>
      <c r="U105" s="43"/>
      <c r="V105" s="45"/>
      <c r="W105" s="17" t="str">
        <f>W100</f>
        <v>Natural Gas Consumption, MWh/MWh Total Input</v>
      </c>
      <c r="X105" s="43"/>
      <c r="Y105" s="43"/>
    </row>
    <row r="106" spans="3:25">
      <c r="C106" s="43"/>
      <c r="D106" s="17"/>
      <c r="E106" s="43"/>
      <c r="F106" s="43"/>
      <c r="G106" s="17" t="str">
        <f>G101</f>
        <v>GLY</v>
      </c>
      <c r="H106" s="43"/>
      <c r="I106" s="43"/>
      <c r="J106" s="43"/>
      <c r="K106" s="43"/>
      <c r="L106" s="33">
        <f>INDEX('90 UCO &amp; animal fat FAME'!$D$4:$H$59,MATCH(SUP_Biofuels!Y106,'90 UCO &amp; animal fat FAME'!$B$4:$B$59,0),MATCH(SUP_Biofuels!$I102,'90 UCO &amp; animal fat FAME'!$D$3:$H$3,0))*(SUM(K102:K105))</f>
        <v>4.6372093023255817E-2</v>
      </c>
      <c r="M106" s="43"/>
      <c r="N106" s="43"/>
      <c r="O106" s="43"/>
      <c r="P106" s="40"/>
      <c r="Q106" s="43"/>
      <c r="R106" s="43"/>
      <c r="S106" s="43"/>
      <c r="T106" s="43"/>
      <c r="U106" s="43"/>
      <c r="V106" s="43"/>
      <c r="W106" s="43"/>
      <c r="X106" s="43"/>
      <c r="Y106" s="17" t="str">
        <f>Y101</f>
        <v>Glycerine  Output, MWH/MWh Total Input</v>
      </c>
    </row>
    <row r="107" spans="3:25">
      <c r="C107" s="43"/>
      <c r="D107" s="43"/>
      <c r="E107" s="17" t="str">
        <f>E102</f>
        <v>SUPRPS</v>
      </c>
      <c r="F107" s="17" t="str">
        <f>F102</f>
        <v>DSB1</v>
      </c>
      <c r="G107" s="17"/>
      <c r="H107" s="17" t="s">
        <v>70</v>
      </c>
      <c r="I107" s="17">
        <v>2040</v>
      </c>
      <c r="J107" s="17"/>
      <c r="K107" s="33">
        <f>(INDEX('90 UCO &amp; animal fat FAME'!$D$4:$H$59,MATCH(SUP_Biofuels!W107,'90 UCO &amp; animal fat FAME'!$B$4:$B$59,0),MATCH(SUP_Biofuels!$I107,'90 UCO &amp; animal fat FAME'!$D$3:$H$3,0)))/INDEX('90 UCO &amp; animal fat FAME'!$D$4:$H$59,MATCH(SUP_Biofuels!X107,'90 UCO &amp; animal fat FAME'!$B$4:$B$59,0),MATCH(SUP_Biofuels!$I107,'90 UCO &amp; animal fat FAME'!$D$3:$H$3,0))</f>
        <v>1.0604651162790699</v>
      </c>
      <c r="L107" s="33"/>
      <c r="M107" s="34">
        <f>INDEX('90 UCO &amp; animal fat FAME'!$D$4:$H$59,MATCH(SUP_Biofuels!M$8,'90 UCO &amp; animal fat FAME'!$B$4:$B$59,0),MATCH(SUP_Biofuels!$I107,'90 UCO &amp; animal fat FAME'!$D$3:$H$3,0))</f>
        <v>25</v>
      </c>
      <c r="N107" s="35">
        <f>INDEX('90 UCO &amp; animal fat FAME'!$D$4:$H$59,MATCH(SUP_Biofuels!N$8,'90 UCO &amp; animal fat FAME'!$B$4:$B$59,0),MATCH(SUP_Biofuels!$I107,'90 UCO &amp; animal fat FAME'!$D$3:$H$3,0))*7.45</f>
        <v>6.6616886419747345</v>
      </c>
      <c r="O107" s="35">
        <f>INDEX('90 UCO &amp; animal fat FAME'!$D$4:$H$59,MATCH(SUP_Biofuels!O$8,'90 UCO &amp; animal fat FAME'!$B$4:$B$59,0),MATCH(SUP_Biofuels!$I107,'90 UCO &amp; animal fat FAME'!$D$3:$H$3,0))*7.45</f>
        <v>0.91195856873822978</v>
      </c>
      <c r="P107" s="35">
        <f>INDEX('90 UCO &amp; animal fat FAME'!$D$4:$H$59,MATCH(SUP_Biofuels!P$8,'90 UCO &amp; animal fat FAME'!$B$4:$B$59,0),MATCH(SUP_Biofuels!$I107,'90 UCO &amp; animal fat FAME'!$D$3:$H$3,0))*7.45/3.6</f>
        <v>15.840344694531794</v>
      </c>
      <c r="Q107" s="33">
        <f>1-INDEX('90 UCO &amp; animal fat FAME'!$D$4:$H$59,MATCH(SUP_Biofuels!Q$7,'90 UCO &amp; animal fat FAME'!$B$4:$B$59,0),MATCH(SUP_Biofuels!$I107,'90 UCO &amp; animal fat FAME'!$D$3:$H$3,0))/52-INDEX('90 UCO &amp; animal fat FAME'!$D$4:$H$59,MATCH(SUP_Biofuels!Q$8,'90 UCO &amp; animal fat FAME'!$B$4:$B$59,0),MATCH(SUP_Biofuels!$I107,'90 UCO &amp; animal fat FAME'!$D$3:$H$3,0))/100</f>
        <v>0.96153846153846156</v>
      </c>
      <c r="R107" s="36">
        <f>$R$39</f>
        <v>3.1536000000000002E-2</v>
      </c>
      <c r="S107" s="34">
        <f>INDEX('90 UCO &amp; animal fat FAME'!$D$4:$H$59,MATCH(SUP_Biofuels!S$8,'90 UCO &amp; animal fat FAME'!$B$4:$B$59,0),MATCH(SUP_Biofuels!$I107,'90 UCO &amp; animal fat FAME'!$D$3:$H$3,0))</f>
        <v>1.5</v>
      </c>
      <c r="T107" s="34"/>
      <c r="U107" s="44"/>
      <c r="V107" s="43"/>
      <c r="W107" s="17" t="str">
        <f>W102</f>
        <v>Veg Oil Consumption, MWh/MWh Total Input</v>
      </c>
      <c r="X107" s="17" t="str">
        <f>X102</f>
        <v xml:space="preserve">Biodiesel Output, MWH/MWh </v>
      </c>
      <c r="Y107" s="17"/>
    </row>
    <row r="108" spans="3:25">
      <c r="C108" s="43"/>
      <c r="D108" s="43"/>
      <c r="E108" s="17" t="str">
        <f>E103</f>
        <v>SUPMOB</v>
      </c>
      <c r="F108" s="17"/>
      <c r="G108" s="17"/>
      <c r="H108" s="17"/>
      <c r="I108" s="17"/>
      <c r="J108" s="17"/>
      <c r="K108" s="33">
        <f>(INDEX('90 UCO &amp; animal fat FAME'!$D$4:$H$59,MATCH(SUP_Biofuels!W108,'90 UCO &amp; animal fat FAME'!$B$4:$B$59,0),MATCH(SUP_Biofuels!$I107,'90 UCO &amp; animal fat FAME'!$D$3:$H$3,0)))/INDEX('90 UCO &amp; animal fat FAME'!$D$4:$H$59,MATCH(SUP_Biofuels!X107,'90 UCO &amp; animal fat FAME'!$B$4:$B$59,0),MATCH(SUP_Biofuels!$I107,'90 UCO &amp; animal fat FAME'!$D$3:$H$3,0))</f>
        <v>5.1162790697674418E-2</v>
      </c>
      <c r="L108" s="33"/>
      <c r="M108" s="39"/>
      <c r="N108" s="40"/>
      <c r="O108" s="40"/>
      <c r="P108" s="40"/>
      <c r="Q108" s="41"/>
      <c r="R108" s="42"/>
      <c r="S108" s="39"/>
      <c r="T108" s="39"/>
      <c r="U108" s="43"/>
      <c r="V108" s="43"/>
      <c r="W108" s="17" t="str">
        <f>W103</f>
        <v>Methanol Consumption, MWh/MWh Total Input</v>
      </c>
      <c r="X108" s="17"/>
      <c r="Y108" s="17"/>
    </row>
    <row r="109" spans="3:25">
      <c r="C109" s="43"/>
      <c r="D109" s="43"/>
      <c r="E109" s="17" t="str">
        <f>E104</f>
        <v>SUPELC</v>
      </c>
      <c r="F109" s="43"/>
      <c r="G109" s="43"/>
      <c r="H109" s="43"/>
      <c r="I109" s="43"/>
      <c r="J109" s="43"/>
      <c r="K109" s="33">
        <f>(INDEX('90 UCO &amp; animal fat FAME'!$D$4:$H$59,MATCH(SUP_Biofuels!W109,'90 UCO &amp; animal fat FAME'!$B$4:$B$59,0),MATCH(SUP_Biofuels!$I107,'90 UCO &amp; animal fat FAME'!$D$3:$H$3,0)))/INDEX('90 UCO &amp; animal fat FAME'!$D$4:$H$59,MATCH(SUP_Biofuels!X107,'90 UCO &amp; animal fat FAME'!$B$4:$B$59,0),MATCH(SUP_Biofuels!$I107,'90 UCO &amp; animal fat FAME'!$D$3:$H$3,0))</f>
        <v>5.8139534883720929E-3</v>
      </c>
      <c r="L109" s="43"/>
      <c r="M109" s="43"/>
      <c r="N109" s="43"/>
      <c r="O109" s="43"/>
      <c r="P109" s="40"/>
      <c r="Q109" s="43"/>
      <c r="R109" s="43"/>
      <c r="S109" s="43"/>
      <c r="T109" s="43"/>
      <c r="U109" s="43"/>
      <c r="V109" s="43"/>
      <c r="W109" s="17" t="str">
        <f>W104</f>
        <v>Electricity Consumption, MWh/MWh Total Input</v>
      </c>
      <c r="X109" s="43"/>
      <c r="Y109" s="43"/>
    </row>
    <row r="110" spans="3:25">
      <c r="C110" s="43"/>
      <c r="D110" s="43"/>
      <c r="E110" s="17" t="str">
        <f>E105</f>
        <v>SUPNGA,SUPSNG,SUPH2</v>
      </c>
      <c r="F110" s="43"/>
      <c r="G110" s="43"/>
      <c r="H110" s="43"/>
      <c r="I110" s="43"/>
      <c r="J110" s="43"/>
      <c r="K110" s="33">
        <f>(INDEX('90 UCO &amp; animal fat FAME'!$D$4:$H$59,MATCH(SUP_Biofuels!W110,'90 UCO &amp; animal fat FAME'!$B$4:$B$59,0),MATCH(SUP_Biofuels!$I107,'90 UCO &amp; animal fat FAME'!$D$3:$H$3,0)))/INDEX('90 UCO &amp; animal fat FAME'!$D$4:$H$59,MATCH(SUP_Biofuels!X107,'90 UCO &amp; animal fat FAME'!$B$4:$B$59,0),MATCH(SUP_Biofuels!$I107,'90 UCO &amp; animal fat FAME'!$D$3:$H$3,0))</f>
        <v>3.9534883720930239E-2</v>
      </c>
      <c r="L110" s="43"/>
      <c r="M110" s="43"/>
      <c r="N110" s="43"/>
      <c r="O110" s="43"/>
      <c r="P110" s="40"/>
      <c r="Q110" s="43"/>
      <c r="R110" s="43"/>
      <c r="S110" s="43"/>
      <c r="T110" s="43"/>
      <c r="U110" s="43"/>
      <c r="V110" s="43"/>
      <c r="W110" s="17" t="str">
        <f>W105</f>
        <v>Natural Gas Consumption, MWh/MWh Total Input</v>
      </c>
      <c r="X110" s="43"/>
      <c r="Y110" s="43"/>
    </row>
    <row r="111" spans="3:25">
      <c r="C111" s="43"/>
      <c r="D111" s="43"/>
      <c r="E111" s="43"/>
      <c r="F111" s="43"/>
      <c r="G111" s="17" t="str">
        <f>G106</f>
        <v>GLY</v>
      </c>
      <c r="H111" s="43"/>
      <c r="I111" s="43"/>
      <c r="J111" s="43"/>
      <c r="K111" s="43"/>
      <c r="L111" s="33">
        <f>INDEX('90 UCO &amp; animal fat FAME'!$D$4:$H$59,MATCH(SUP_Biofuels!Y111,'90 UCO &amp; animal fat FAME'!$B$4:$B$59,0),MATCH(SUP_Biofuels!$I107,'90 UCO &amp; animal fat FAME'!$D$3:$H$3,0))*(SUM(K107:K110))</f>
        <v>4.6279069767441866E-2</v>
      </c>
      <c r="M111" s="43"/>
      <c r="N111" s="43"/>
      <c r="O111" s="43"/>
      <c r="P111" s="40"/>
      <c r="Q111" s="43"/>
      <c r="R111" s="43"/>
      <c r="S111" s="43"/>
      <c r="T111" s="43"/>
      <c r="U111" s="43"/>
      <c r="V111" s="43"/>
      <c r="W111" s="43"/>
      <c r="X111" s="43"/>
      <c r="Y111" s="17" t="str">
        <f>Y106</f>
        <v>Glycerine  Output, MWH/MWh Total Input</v>
      </c>
    </row>
    <row r="112" spans="3:25">
      <c r="C112" s="43"/>
      <c r="D112" s="43"/>
      <c r="E112" s="17" t="str">
        <f>E107</f>
        <v>SUPRPS</v>
      </c>
      <c r="F112" s="17" t="str">
        <f>F107</f>
        <v>DSB1</v>
      </c>
      <c r="G112" s="17"/>
      <c r="H112" s="17" t="s">
        <v>70</v>
      </c>
      <c r="I112" s="17">
        <v>2050</v>
      </c>
      <c r="J112" s="17"/>
      <c r="K112" s="33">
        <f>(INDEX('90 UCO &amp; animal fat FAME'!$D$4:$H$59,MATCH(SUP_Biofuels!W112,'90 UCO &amp; animal fat FAME'!$B$4:$B$59,0),MATCH(SUP_Biofuels!$I112,'90 UCO &amp; animal fat FAME'!$D$3:$H$3,0)))/INDEX('90 UCO &amp; animal fat FAME'!$D$4:$H$59,MATCH(SUP_Biofuels!X112,'90 UCO &amp; animal fat FAME'!$B$4:$B$59,0),MATCH(SUP_Biofuels!$I112,'90 UCO &amp; animal fat FAME'!$D$3:$H$3,0))</f>
        <v>1.0482758620689656</v>
      </c>
      <c r="L112" s="33"/>
      <c r="M112" s="34">
        <f>INDEX('90 UCO &amp; animal fat FAME'!$D$4:$H$59,MATCH(SUP_Biofuels!M$8,'90 UCO &amp; animal fat FAME'!$B$4:$B$59,0),MATCH(SUP_Biofuels!$I112,'90 UCO &amp; animal fat FAME'!$D$3:$H$3,0))</f>
        <v>25</v>
      </c>
      <c r="N112" s="35">
        <f>INDEX('90 UCO &amp; animal fat FAME'!$D$4:$H$59,MATCH(SUP_Biofuels!N$8,'90 UCO &amp; animal fat FAME'!$B$4:$B$59,0),MATCH(SUP_Biofuels!$I112,'90 UCO &amp; animal fat FAME'!$D$3:$H$3,0))*7.45</f>
        <v>6.258</v>
      </c>
      <c r="O112" s="35">
        <f>INDEX('90 UCO &amp; animal fat FAME'!$D$4:$H$59,MATCH(SUP_Biofuels!O$8,'90 UCO &amp; animal fat FAME'!$B$4:$B$59,0),MATCH(SUP_Biofuels!$I112,'90 UCO &amp; animal fat FAME'!$D$3:$H$3,0))*7.45</f>
        <v>0.91195856873822978</v>
      </c>
      <c r="P112" s="35">
        <f>INDEX('90 UCO &amp; animal fat FAME'!$D$4:$H$59,MATCH(SUP_Biofuels!P$8,'90 UCO &amp; animal fat FAME'!$B$4:$B$59,0),MATCH(SUP_Biofuels!$I112,'90 UCO &amp; animal fat FAME'!$D$3:$H$3,0))*7.45/3.6</f>
        <v>15.840344694531794</v>
      </c>
      <c r="Q112" s="33">
        <f>1-INDEX('90 UCO &amp; animal fat FAME'!$D$4:$H$59,MATCH(SUP_Biofuels!Q$7,'90 UCO &amp; animal fat FAME'!$B$4:$B$59,0),MATCH(SUP_Biofuels!$I112,'90 UCO &amp; animal fat FAME'!$D$3:$H$3,0))/52-INDEX('90 UCO &amp; animal fat FAME'!$D$4:$H$59,MATCH(SUP_Biofuels!Q$8,'90 UCO &amp; animal fat FAME'!$B$4:$B$59,0),MATCH(SUP_Biofuels!$I112,'90 UCO &amp; animal fat FAME'!$D$3:$H$3,0))/100</f>
        <v>0.96153846153846156</v>
      </c>
      <c r="R112" s="36">
        <f>$R$39</f>
        <v>3.1536000000000002E-2</v>
      </c>
      <c r="S112" s="34">
        <f>INDEX('90 UCO &amp; animal fat FAME'!$D$4:$H$59,MATCH(SUP_Biofuels!S$8,'90 UCO &amp; animal fat FAME'!$B$4:$B$59,0),MATCH(SUP_Biofuels!$I112,'90 UCO &amp; animal fat FAME'!$D$3:$H$3,0))</f>
        <v>1.5</v>
      </c>
      <c r="T112" s="34"/>
      <c r="U112" s="44"/>
      <c r="V112" s="43"/>
      <c r="W112" s="17" t="str">
        <f>W107</f>
        <v>Veg Oil Consumption, MWh/MWh Total Input</v>
      </c>
      <c r="X112" s="17" t="str">
        <f>X107</f>
        <v xml:space="preserve">Biodiesel Output, MWH/MWh </v>
      </c>
      <c r="Y112" s="17"/>
    </row>
    <row r="113" spans="3:25">
      <c r="C113" s="43"/>
      <c r="D113" s="43"/>
      <c r="E113" s="17" t="str">
        <f>E108</f>
        <v>SUPMOB</v>
      </c>
      <c r="F113" s="17"/>
      <c r="G113" s="17"/>
      <c r="H113" s="17"/>
      <c r="I113" s="17"/>
      <c r="J113" s="17"/>
      <c r="K113" s="33">
        <f>(INDEX('90 UCO &amp; animal fat FAME'!$D$4:$H$59,MATCH(SUP_Biofuels!W113,'90 UCO &amp; animal fat FAME'!$B$4:$B$59,0),MATCH(SUP_Biofuels!$I112,'90 UCO &amp; animal fat FAME'!$D$3:$H$3,0)))/INDEX('90 UCO &amp; animal fat FAME'!$D$4:$H$59,MATCH(SUP_Biofuels!X112,'90 UCO &amp; animal fat FAME'!$B$4:$B$59,0),MATCH(SUP_Biofuels!$I112,'90 UCO &amp; animal fat FAME'!$D$3:$H$3,0))</f>
        <v>5.057471264367816E-2</v>
      </c>
      <c r="L113" s="33"/>
      <c r="M113" s="39"/>
      <c r="N113" s="40"/>
      <c r="O113" s="40"/>
      <c r="P113" s="40"/>
      <c r="Q113" s="41"/>
      <c r="R113" s="42"/>
      <c r="S113" s="39"/>
      <c r="T113" s="39"/>
      <c r="U113" s="43"/>
      <c r="V113" s="43"/>
      <c r="W113" s="17" t="str">
        <f>W108</f>
        <v>Methanol Consumption, MWh/MWh Total Input</v>
      </c>
      <c r="X113" s="17"/>
      <c r="Y113" s="17"/>
    </row>
    <row r="114" spans="3:25" ht="15.6">
      <c r="C114" s="43"/>
      <c r="D114" s="32"/>
      <c r="E114" s="17" t="str">
        <f>E109</f>
        <v>SUPELC</v>
      </c>
      <c r="F114" s="43"/>
      <c r="G114" s="43"/>
      <c r="H114" s="43"/>
      <c r="I114" s="43"/>
      <c r="J114" s="43"/>
      <c r="K114" s="33">
        <f>(INDEX('90 UCO &amp; animal fat FAME'!$D$4:$H$59,MATCH(SUP_Biofuels!W114,'90 UCO &amp; animal fat FAME'!$B$4:$B$59,0),MATCH(SUP_Biofuels!$I112,'90 UCO &amp; animal fat FAME'!$D$3:$H$3,0)))/INDEX('90 UCO &amp; animal fat FAME'!$D$4:$H$59,MATCH(SUP_Biofuels!X112,'90 UCO &amp; animal fat FAME'!$B$4:$B$59,0),MATCH(SUP_Biofuels!$I112,'90 UCO &amp; animal fat FAME'!$D$3:$H$3,0))</f>
        <v>4.5977011494252873E-3</v>
      </c>
      <c r="L114" s="43"/>
      <c r="M114" s="43"/>
      <c r="N114" s="43"/>
      <c r="O114" s="43"/>
      <c r="P114" s="40"/>
      <c r="Q114" s="43"/>
      <c r="R114" s="43"/>
      <c r="S114" s="43"/>
      <c r="T114" s="43"/>
      <c r="U114" s="43"/>
      <c r="V114" s="43"/>
      <c r="W114" s="17" t="str">
        <f>W109</f>
        <v>Electricity Consumption, MWh/MWh Total Input</v>
      </c>
      <c r="X114" s="43"/>
      <c r="Y114" s="43"/>
    </row>
    <row r="115" spans="3:25">
      <c r="C115" s="43"/>
      <c r="D115" s="17"/>
      <c r="E115" s="17" t="str">
        <f>E110</f>
        <v>SUPNGA,SUPSNG,SUPH2</v>
      </c>
      <c r="F115" s="43"/>
      <c r="G115" s="43"/>
      <c r="H115" s="43"/>
      <c r="I115" s="43"/>
      <c r="J115" s="43"/>
      <c r="K115" s="33">
        <f>(INDEX('90 UCO &amp; animal fat FAME'!$D$4:$H$59,MATCH(SUP_Biofuels!W115,'90 UCO &amp; animal fat FAME'!$B$4:$B$59,0),MATCH(SUP_Biofuels!$I112,'90 UCO &amp; animal fat FAME'!$D$3:$H$3,0)))/INDEX('90 UCO &amp; animal fat FAME'!$D$4:$H$59,MATCH(SUP_Biofuels!X112,'90 UCO &amp; animal fat FAME'!$B$4:$B$59,0),MATCH(SUP_Biofuels!$I112,'90 UCO &amp; animal fat FAME'!$D$3:$H$3,0))</f>
        <v>3.6781609195402298E-2</v>
      </c>
      <c r="L115" s="43"/>
      <c r="M115" s="43"/>
      <c r="N115" s="43"/>
      <c r="O115" s="43"/>
      <c r="P115" s="40"/>
      <c r="Q115" s="43"/>
      <c r="R115" s="43"/>
      <c r="S115" s="43"/>
      <c r="T115" s="43"/>
      <c r="U115" s="43"/>
      <c r="V115" s="43"/>
      <c r="W115" s="17" t="str">
        <f>W110</f>
        <v>Natural Gas Consumption, MWh/MWh Total Input</v>
      </c>
      <c r="X115" s="43"/>
      <c r="Y115" s="43"/>
    </row>
    <row r="116" spans="3:25" ht="15" thickBot="1">
      <c r="C116" s="46"/>
      <c r="D116" s="46"/>
      <c r="E116" s="46"/>
      <c r="F116" s="46"/>
      <c r="G116" s="47" t="str">
        <f>G111</f>
        <v>GLY</v>
      </c>
      <c r="H116" s="46"/>
      <c r="I116" s="46"/>
      <c r="J116" s="46"/>
      <c r="K116" s="46"/>
      <c r="L116" s="48">
        <f>INDEX('90 UCO &amp; animal fat FAME'!$D$4:$H$59,MATCH(SUP_Biofuels!Y116,'90 UCO &amp; animal fat FAME'!$B$4:$B$59,0),MATCH(SUP_Biofuels!$I112,'90 UCO &amp; animal fat FAME'!$D$3:$H$3,0))*(SUM(K112:K115))</f>
        <v>4.5609195402298859E-2</v>
      </c>
      <c r="M116" s="46"/>
      <c r="N116" s="46"/>
      <c r="O116" s="46"/>
      <c r="P116" s="49"/>
      <c r="Q116" s="46"/>
      <c r="R116" s="46"/>
      <c r="S116" s="46"/>
      <c r="T116" s="46"/>
      <c r="U116" s="46"/>
      <c r="V116" s="46"/>
      <c r="W116" s="46"/>
      <c r="X116" s="46"/>
      <c r="Y116" s="47" t="str">
        <f>Y111</f>
        <v>Glycerine  Output, MWH/MWh Total Input</v>
      </c>
    </row>
    <row r="117" spans="3:25" ht="15.6">
      <c r="C117" s="17" t="str">
        <f>"SUP"&amp;F117&amp;RIGHT(E117,3)&amp;IF(RIGHT(D117,7)="Central","C3","D3")</f>
        <v>SUPDSB1RPSC3</v>
      </c>
      <c r="D117" s="32" t="str">
        <f>'91 Hydrogenated veg oil'!D2&amp;" Central"</f>
        <v>HVO / renwable diesel Central</v>
      </c>
      <c r="E117" s="17" t="s">
        <v>72</v>
      </c>
      <c r="F117" s="17" t="s">
        <v>73</v>
      </c>
      <c r="G117" s="17"/>
      <c r="H117" s="17" t="s">
        <v>70</v>
      </c>
      <c r="I117" s="17">
        <f>'93 1st generation ethanol'!$D$3</f>
        <v>2015</v>
      </c>
      <c r="J117" s="19">
        <v>2030</v>
      </c>
      <c r="K117" s="33">
        <f>(INDEX('91 Hydrogenated veg oil'!$D$4:$H$59,MATCH(SUP_Biofuels!W117,'91 Hydrogenated veg oil'!$B$4:$B$59,0),MATCH(SUP_Biofuels!$I117,'91 Hydrogenated veg oil'!$D$3:$H$3,0)))/INDEX('91 Hydrogenated veg oil'!$D$4:$H$59,MATCH(SUP_Biofuels!X117,'91 Hydrogenated veg oil'!$B$4:$B$59,0),MATCH(SUP_Biofuels!$I117,'91 Hydrogenated veg oil'!$D$3:$H$3,0))</f>
        <v>1.0364705882352943</v>
      </c>
      <c r="L117" s="33"/>
      <c r="M117" s="34">
        <f>INDEX('91 Hydrogenated veg oil'!$D$4:$H$59,MATCH(SUP_Biofuels!M$8,'91 Hydrogenated veg oil'!$B$4:$B$59,0),MATCH(SUP_Biofuels!$I117,'91 Hydrogenated veg oil'!$D$3:$H$3,0))</f>
        <v>25</v>
      </c>
      <c r="N117" s="35">
        <f>INDEX('91 Hydrogenated veg oil'!$D$4:$H$59,MATCH(SUP_Biofuels!N$8,'91 Hydrogenated veg oil'!$B$4:$B$59,0),MATCH(SUP_Biofuels!$I117,'91 Hydrogenated veg oil'!$D$3:$H$3,0))*7.45</f>
        <v>5.6991638498487811</v>
      </c>
      <c r="O117" s="35">
        <f>INDEX('91 Hydrogenated veg oil'!$D$4:$H$59,MATCH(SUP_Biofuels!O$8,'91 Hydrogenated veg oil'!$B$4:$B$59,0),MATCH(SUP_Biofuels!$I117,'91 Hydrogenated veg oil'!$D$3:$H$3,0))*7.45</f>
        <v>0.26507738836505962</v>
      </c>
      <c r="P117" s="35">
        <f>INDEX('91 Hydrogenated veg oil'!$D$4:$H$59,MATCH(SUP_Biofuels!P$8,'91 Hydrogenated veg oil'!$B$4:$B$59,0),MATCH(SUP_Biofuels!$I117,'91 Hydrogenated veg oil'!$D$3:$H$3,0))*7.45/3.6</f>
        <v>17.551468976592265</v>
      </c>
      <c r="Q117" s="33">
        <f>1-INDEX('91 Hydrogenated veg oil'!$D$4:$H$59,MATCH(SUP_Biofuels!Q$7,'91 Hydrogenated veg oil'!$B$4:$B$59,0),MATCH(SUP_Biofuels!$I117,'91 Hydrogenated veg oil'!$D$3:$H$3,0))/52-INDEX('91 Hydrogenated veg oil'!$D$4:$H$59,MATCH(SUP_Biofuels!Q$8,'91 Hydrogenated veg oil'!$B$4:$B$59,0),MATCH(SUP_Biofuels!$I117,'91 Hydrogenated veg oil'!$D$3:$H$3,0))/100</f>
        <v>0.96153846153846156</v>
      </c>
      <c r="R117" s="36">
        <f>$R$39</f>
        <v>3.1536000000000002E-2</v>
      </c>
      <c r="S117" s="34">
        <f>INDEX('91 Hydrogenated veg oil'!$D$4:$H$59,MATCH(SUP_Biofuels!S$8,'91 Hydrogenated veg oil'!$B$4:$B$59,0),MATCH(SUP_Biofuels!$I117,'91 Hydrogenated veg oil'!$D$3:$H$3,0))</f>
        <v>2</v>
      </c>
      <c r="T117" s="34"/>
      <c r="U117" s="37"/>
      <c r="V117" s="38" t="s">
        <v>74</v>
      </c>
      <c r="W117" s="17" t="str">
        <f>'91 Hydrogenated veg oil'!B9</f>
        <v>Feedstock Consumption, MWh/MWh Total Inputs</v>
      </c>
      <c r="X117" s="17" t="str">
        <f>'91 Hydrogenated veg oil'!B14</f>
        <v>HVO Output, MWh/MWh Total Input</v>
      </c>
      <c r="Y117" s="17"/>
    </row>
    <row r="118" spans="3:25">
      <c r="C118" s="17"/>
      <c r="D118" s="17"/>
      <c r="E118" s="17" t="s">
        <v>1386</v>
      </c>
      <c r="F118" s="17"/>
      <c r="G118" s="17"/>
      <c r="H118" s="17"/>
      <c r="I118" s="17"/>
      <c r="J118" s="17"/>
      <c r="K118" s="33">
        <f>(INDEX('91 Hydrogenated veg oil'!$D$4:$H$59,MATCH(SUP_Biofuels!W118,'91 Hydrogenated veg oil'!$B$4:$B$59,0),MATCH(SUP_Biofuels!$I117,'91 Hydrogenated veg oil'!$D$3:$H$3,0)))/INDEX('91 Hydrogenated veg oil'!$D$4:$H$59,MATCH(SUP_Biofuels!X117,'91 Hydrogenated veg oil'!$B$4:$B$59,0),MATCH(SUP_Biofuels!$I117,'91 Hydrogenated veg oil'!$D$3:$H$3,0))</f>
        <v>0.12352941176470589</v>
      </c>
      <c r="L118" s="33"/>
      <c r="M118" s="39"/>
      <c r="N118" s="40"/>
      <c r="O118" s="40"/>
      <c r="P118" s="40"/>
      <c r="Q118" s="41"/>
      <c r="R118" s="42"/>
      <c r="S118" s="39"/>
      <c r="T118" s="39"/>
      <c r="U118" s="43"/>
      <c r="V118" s="43"/>
      <c r="W118" s="17" t="str">
        <f>'91 Hydrogenated veg oil'!B10</f>
        <v>Hydrogen Consumption, MWh/MWh Total Inputs</v>
      </c>
      <c r="X118" s="17"/>
      <c r="Y118" s="17"/>
    </row>
    <row r="119" spans="3:25">
      <c r="C119" s="43"/>
      <c r="D119" s="43"/>
      <c r="E119" s="43" t="s">
        <v>71</v>
      </c>
      <c r="F119" s="43"/>
      <c r="G119" s="43"/>
      <c r="H119" s="43"/>
      <c r="I119" s="43"/>
      <c r="J119" s="43"/>
      <c r="K119" s="33">
        <f>(INDEX('91 Hydrogenated veg oil'!$D$4:$H$59,MATCH(SUP_Biofuels!W119,'91 Hydrogenated veg oil'!$B$4:$B$59,0),MATCH(SUP_Biofuels!$I117,'91 Hydrogenated veg oil'!$D$3:$H$3,0)))/INDEX('91 Hydrogenated veg oil'!$D$4:$H$59,MATCH(SUP_Biofuels!X117,'91 Hydrogenated veg oil'!$B$4:$B$59,0),MATCH(SUP_Biofuels!$I117,'91 Hydrogenated veg oil'!$D$3:$H$3,0))</f>
        <v>9.4117647058823539E-3</v>
      </c>
      <c r="L119" s="43"/>
      <c r="M119" s="43"/>
      <c r="N119" s="43"/>
      <c r="O119" s="43"/>
      <c r="P119" s="40"/>
      <c r="Q119" s="43"/>
      <c r="R119" s="43"/>
      <c r="S119" s="43"/>
      <c r="T119" s="43"/>
      <c r="U119" s="43"/>
      <c r="V119" s="43"/>
      <c r="W119" s="17" t="str">
        <f>'91 Hydrogenated veg oil'!B11</f>
        <v>Electricity Consumption, MWh/MWh Total Inputs</v>
      </c>
      <c r="X119" s="43"/>
      <c r="Y119" s="43"/>
    </row>
    <row r="120" spans="3:25">
      <c r="C120" s="43"/>
      <c r="D120" s="43"/>
      <c r="E120" s="43" t="s">
        <v>1760</v>
      </c>
      <c r="F120" s="43"/>
      <c r="G120" s="43"/>
      <c r="H120" s="43"/>
      <c r="I120" s="43"/>
      <c r="J120" s="43"/>
      <c r="K120" s="33">
        <f>(INDEX('91 Hydrogenated veg oil'!$D$4:$H$59,MATCH(SUP_Biofuels!W120,'91 Hydrogenated veg oil'!$B$4:$B$59,0),MATCH(SUP_Biofuels!$I117,'91 Hydrogenated veg oil'!$D$3:$H$3,0)))/INDEX('91 Hydrogenated veg oil'!$D$4:$H$59,MATCH(SUP_Biofuels!X117,'91 Hydrogenated veg oil'!$B$4:$B$59,0),MATCH(SUP_Biofuels!$I117,'91 Hydrogenated veg oil'!$D$3:$H$3,0))</f>
        <v>8.2352941176470594E-3</v>
      </c>
      <c r="L120" s="43"/>
      <c r="M120" s="43"/>
      <c r="N120" s="43"/>
      <c r="O120" s="43"/>
      <c r="P120" s="40"/>
      <c r="Q120" s="43"/>
      <c r="R120" s="43"/>
      <c r="S120" s="43"/>
      <c r="T120" s="43"/>
      <c r="U120" s="43"/>
      <c r="V120" s="43"/>
      <c r="W120" s="17" t="str">
        <f>'91 Hydrogenated veg oil'!B12</f>
        <v>Natural Gas Consumption, MWh/MWh Total Inputs</v>
      </c>
      <c r="X120" s="43"/>
      <c r="Y120" s="43"/>
    </row>
    <row r="121" spans="3:25">
      <c r="C121" s="43"/>
      <c r="D121" s="43"/>
      <c r="E121" s="43"/>
      <c r="F121" s="43"/>
      <c r="G121" s="43" t="s">
        <v>76</v>
      </c>
      <c r="H121" s="43"/>
      <c r="I121" s="43"/>
      <c r="J121" s="43"/>
      <c r="K121" s="43"/>
      <c r="L121" s="33">
        <f>INDEX('91 Hydrogenated veg oil'!$D$4:$H$59,MATCH(SUP_Biofuels!Y121,'91 Hydrogenated veg oil'!$B$4:$B$59,0),MATCH(SUP_Biofuels!$I117,'91 Hydrogenated veg oil'!$D$3:$H$3,0))*(SUM(K117:K120))</f>
        <v>7.772470588235296E-2</v>
      </c>
      <c r="M121" s="43"/>
      <c r="N121" s="43"/>
      <c r="O121" s="43"/>
      <c r="P121" s="40"/>
      <c r="Q121" s="43"/>
      <c r="R121" s="43"/>
      <c r="S121" s="43"/>
      <c r="T121" s="43"/>
      <c r="U121" s="43"/>
      <c r="V121" s="43"/>
      <c r="W121" s="43"/>
      <c r="X121" s="43"/>
      <c r="Y121" s="43" t="str">
        <f>'91 Hydrogenated veg oil'!B15</f>
        <v>Naphta Output, MWh/MWh Total Input</v>
      </c>
    </row>
    <row r="122" spans="3:25">
      <c r="C122" s="43"/>
      <c r="D122" s="43"/>
      <c r="E122" s="43"/>
      <c r="F122" s="43"/>
      <c r="G122" s="43" t="s">
        <v>77</v>
      </c>
      <c r="H122" s="43"/>
      <c r="I122" s="43"/>
      <c r="J122" s="43"/>
      <c r="K122" s="43"/>
      <c r="L122" s="33">
        <f>INDEX('91 Hydrogenated veg oil'!$D$4:$H$59,MATCH(SUP_Biofuels!Y122,'91 Hydrogenated veg oil'!$B$4:$B$59,0),MATCH(SUP_Biofuels!$I117,'91 Hydrogenated veg oil'!$D$3:$H$3,0))*(SUM(K117:K120))</f>
        <v>3.886235294117648E-2</v>
      </c>
      <c r="M122" s="43"/>
      <c r="N122" s="43"/>
      <c r="O122" s="43"/>
      <c r="P122" s="40"/>
      <c r="Q122" s="43"/>
      <c r="R122" s="43"/>
      <c r="S122" s="43"/>
      <c r="T122" s="43"/>
      <c r="U122" s="43"/>
      <c r="V122" s="43"/>
      <c r="W122" s="43"/>
      <c r="X122" s="43"/>
      <c r="Y122" s="43" t="str">
        <f>'91 Hydrogenated veg oil'!B16</f>
        <v>Fuel Gas Output, MWh/MWh Total Input</v>
      </c>
    </row>
    <row r="123" spans="3:25">
      <c r="C123" s="43"/>
      <c r="D123" s="43"/>
      <c r="E123" s="43"/>
      <c r="F123" s="43"/>
      <c r="G123" s="43" t="s">
        <v>78</v>
      </c>
      <c r="H123" s="43"/>
      <c r="I123" s="43"/>
      <c r="J123" s="43"/>
      <c r="K123" s="43"/>
      <c r="L123" s="33">
        <f>INDEX('91 Hydrogenated veg oil'!$D$4:$H$59,MATCH(SUP_Biofuels!Y123,'91 Hydrogenated veg oil'!$B$4:$B$59,0),MATCH(SUP_Biofuels!$I117,'91 Hydrogenated veg oil'!$D$3:$H$3,0))*(SUM(K117:K120))</f>
        <v>3.2385294117647068E-2</v>
      </c>
      <c r="M123" s="43"/>
      <c r="N123" s="43"/>
      <c r="O123" s="43"/>
      <c r="P123" s="40"/>
      <c r="Q123" s="43"/>
      <c r="R123" s="43"/>
      <c r="S123" s="43"/>
      <c r="T123" s="43"/>
      <c r="U123" s="43"/>
      <c r="V123" s="43"/>
      <c r="W123" s="43"/>
      <c r="X123" s="43"/>
      <c r="Y123" s="43" t="str">
        <f>'91 Hydrogenated veg oil'!B17</f>
        <v>LPG Output, MWh/MWh Total Input</v>
      </c>
    </row>
    <row r="124" spans="3:25">
      <c r="C124" s="43"/>
      <c r="D124" s="43"/>
      <c r="E124" s="43"/>
      <c r="F124" s="43"/>
      <c r="G124" s="7" t="s">
        <v>216</v>
      </c>
      <c r="H124" s="43"/>
      <c r="I124" s="43"/>
      <c r="J124" s="43"/>
      <c r="K124" s="43"/>
      <c r="L124" s="33">
        <f>INDEX('91 Hydrogenated veg oil'!$D$4:$H$59,MATCH(SUP_Biofuels!Y124,'91 Hydrogenated veg oil'!$B$4:$B$59,0),MATCH(SUP_Biofuels!$I117,'91 Hydrogenated veg oil'!$D$3:$H$3,0))*(SUM(K117:K120))</f>
        <v>4.1865352941176477E-3</v>
      </c>
      <c r="M124" s="43"/>
      <c r="N124" s="43"/>
      <c r="O124" s="43"/>
      <c r="P124" s="40"/>
      <c r="Q124" s="43"/>
      <c r="R124" s="43"/>
      <c r="S124" s="43"/>
      <c r="T124" s="43"/>
      <c r="U124" s="43"/>
      <c r="V124" s="43"/>
      <c r="W124" s="43"/>
      <c r="X124" s="43"/>
      <c r="Y124" s="43" t="str">
        <f>'91 Hydrogenated veg oil'!B18</f>
        <v>District Heating Output, MWh/MWh Total input</v>
      </c>
    </row>
    <row r="125" spans="3:25" ht="15.6">
      <c r="C125" s="17"/>
      <c r="D125" s="32"/>
      <c r="E125" s="17" t="str">
        <f>E117</f>
        <v>SUPRPS</v>
      </c>
      <c r="F125" s="17" t="str">
        <f>F117</f>
        <v>DSB1</v>
      </c>
      <c r="G125" s="17"/>
      <c r="H125" s="17" t="s">
        <v>70</v>
      </c>
      <c r="I125" s="17">
        <v>2020</v>
      </c>
      <c r="J125" s="17"/>
      <c r="K125" s="33">
        <f>(INDEX('91 Hydrogenated veg oil'!$D$4:$H$59,MATCH(SUP_Biofuels!W125,'91 Hydrogenated veg oil'!$B$4:$B$59,0),MATCH(SUP_Biofuels!$I125,'91 Hydrogenated veg oil'!$D$3:$H$3,0)))/INDEX('91 Hydrogenated veg oil'!$D$4:$H$59,MATCH(SUP_Biofuels!X125,'91 Hydrogenated veg oil'!$B$4:$B$59,0),MATCH(SUP_Biofuels!$I125,'91 Hydrogenated veg oil'!$D$3:$H$3,0))</f>
        <v>1.0364705882352943</v>
      </c>
      <c r="L125" s="33"/>
      <c r="M125" s="34">
        <f>INDEX('91 Hydrogenated veg oil'!$D$4:$H$59,MATCH(SUP_Biofuels!M$8,'91 Hydrogenated veg oil'!$B$4:$B$59,0),MATCH(SUP_Biofuels!$I125,'91 Hydrogenated veg oil'!$D$3:$H$3,0))</f>
        <v>25</v>
      </c>
      <c r="N125" s="35">
        <f>INDEX('91 Hydrogenated veg oil'!$D$4:$H$59,MATCH(SUP_Biofuels!N$8,'91 Hydrogenated veg oil'!$B$4:$B$59,0),MATCH(SUP_Biofuels!$I125,'91 Hydrogenated veg oil'!$D$3:$H$3,0))*7.45</f>
        <v>5.6328945027575177</v>
      </c>
      <c r="O125" s="35">
        <f>INDEX('91 Hydrogenated veg oil'!$D$4:$H$59,MATCH(SUP_Biofuels!O$8,'91 Hydrogenated veg oil'!$B$4:$B$59,0),MATCH(SUP_Biofuels!$I125,'91 Hydrogenated veg oil'!$D$3:$H$3,0))*7.45</f>
        <v>0.26507738836505962</v>
      </c>
      <c r="P125" s="35">
        <f>INDEX('91 Hydrogenated veg oil'!$D$4:$H$59,MATCH(SUP_Biofuels!P$8,'91 Hydrogenated veg oil'!$B$4:$B$59,0),MATCH(SUP_Biofuels!$I125,'91 Hydrogenated veg oil'!$D$3:$H$3,0))*7.45/3.6</f>
        <v>17.551468976592265</v>
      </c>
      <c r="Q125" s="33">
        <f>1-INDEX('91 Hydrogenated veg oil'!$D$4:$H$59,MATCH(SUP_Biofuels!Q$7,'91 Hydrogenated veg oil'!$B$4:$B$59,0),MATCH(SUP_Biofuels!$I125,'91 Hydrogenated veg oil'!$D$3:$H$3,0))/52-INDEX('91 Hydrogenated veg oil'!$D$4:$H$59,MATCH(SUP_Biofuels!Q$8,'91 Hydrogenated veg oil'!$B$4:$B$59,0),MATCH(SUP_Biofuels!$I125,'91 Hydrogenated veg oil'!$D$3:$H$3,0))/100</f>
        <v>0.96153846153846156</v>
      </c>
      <c r="R125" s="36">
        <f>$R$39</f>
        <v>3.1536000000000002E-2</v>
      </c>
      <c r="S125" s="34">
        <f>INDEX('91 Hydrogenated veg oil'!$D$4:$H$59,MATCH(SUP_Biofuels!S$8,'91 Hydrogenated veg oil'!$B$4:$B$59,0),MATCH(SUP_Biofuels!$I125,'91 Hydrogenated veg oil'!$D$3:$H$3,0))</f>
        <v>2</v>
      </c>
      <c r="T125" s="34"/>
      <c r="U125" s="44"/>
      <c r="V125" s="45"/>
      <c r="W125" s="17" t="str">
        <f>W117</f>
        <v>Feedstock Consumption, MWh/MWh Total Inputs</v>
      </c>
      <c r="X125" s="17" t="str">
        <f>X117</f>
        <v>HVO Output, MWh/MWh Total Input</v>
      </c>
      <c r="Y125" s="17"/>
    </row>
    <row r="126" spans="3:25">
      <c r="C126" s="17"/>
      <c r="D126" s="17"/>
      <c r="E126" s="17" t="str">
        <f>E118</f>
        <v>SUPH2</v>
      </c>
      <c r="F126" s="17"/>
      <c r="G126" s="17"/>
      <c r="H126" s="17"/>
      <c r="I126" s="17"/>
      <c r="J126" s="17"/>
      <c r="K126" s="33">
        <f>(INDEX('91 Hydrogenated veg oil'!$D$4:$H$59,MATCH(SUP_Biofuels!W126,'91 Hydrogenated veg oil'!$B$4:$B$59,0),MATCH(SUP_Biofuels!$I125,'91 Hydrogenated veg oil'!$D$3:$H$3,0)))/INDEX('91 Hydrogenated veg oil'!$D$4:$H$59,MATCH(SUP_Biofuels!X125,'91 Hydrogenated veg oil'!$B$4:$B$59,0),MATCH(SUP_Biofuels!$I125,'91 Hydrogenated veg oil'!$D$3:$H$3,0))</f>
        <v>0.12352941176470589</v>
      </c>
      <c r="L126" s="33"/>
      <c r="M126" s="39"/>
      <c r="N126" s="40"/>
      <c r="O126" s="40"/>
      <c r="P126" s="40"/>
      <c r="Q126" s="41"/>
      <c r="R126" s="42"/>
      <c r="S126" s="39"/>
      <c r="T126" s="39"/>
      <c r="U126" s="43"/>
      <c r="V126" s="43"/>
      <c r="W126" s="17" t="str">
        <f>W118</f>
        <v>Hydrogen Consumption, MWh/MWh Total Inputs</v>
      </c>
      <c r="X126" s="17"/>
      <c r="Y126" s="17"/>
    </row>
    <row r="127" spans="3:25">
      <c r="C127" s="43"/>
      <c r="D127" s="43"/>
      <c r="E127" s="17" t="str">
        <f>E119</f>
        <v>SUPELC</v>
      </c>
      <c r="F127" s="43"/>
      <c r="G127" s="43"/>
      <c r="H127" s="43"/>
      <c r="I127" s="43"/>
      <c r="J127" s="43"/>
      <c r="K127" s="33">
        <f>(INDEX('91 Hydrogenated veg oil'!$D$4:$H$59,MATCH(SUP_Biofuels!W127,'91 Hydrogenated veg oil'!$B$4:$B$59,0),MATCH(SUP_Biofuels!$I125,'91 Hydrogenated veg oil'!$D$3:$H$3,0)))/INDEX('91 Hydrogenated veg oil'!$D$4:$H$59,MATCH(SUP_Biofuels!X125,'91 Hydrogenated veg oil'!$B$4:$B$59,0),MATCH(SUP_Biofuels!$I125,'91 Hydrogenated veg oil'!$D$3:$H$3,0))</f>
        <v>9.4117647058823539E-3</v>
      </c>
      <c r="L127" s="43"/>
      <c r="M127" s="43"/>
      <c r="N127" s="43"/>
      <c r="O127" s="43"/>
      <c r="P127" s="40"/>
      <c r="Q127" s="43"/>
      <c r="R127" s="43"/>
      <c r="S127" s="43"/>
      <c r="T127" s="43"/>
      <c r="U127" s="43"/>
      <c r="V127" s="43"/>
      <c r="W127" s="17" t="str">
        <f>W119</f>
        <v>Electricity Consumption, MWh/MWh Total Inputs</v>
      </c>
      <c r="X127" s="43"/>
      <c r="Y127" s="43"/>
    </row>
    <row r="128" spans="3:25">
      <c r="C128" s="43"/>
      <c r="D128" s="43"/>
      <c r="E128" s="17" t="str">
        <f>E120</f>
        <v>SUPNGA,SUPSNG,SUPH2</v>
      </c>
      <c r="F128" s="43"/>
      <c r="G128" s="43"/>
      <c r="H128" s="43"/>
      <c r="I128" s="43"/>
      <c r="J128" s="43"/>
      <c r="K128" s="33">
        <f>(INDEX('91 Hydrogenated veg oil'!$D$4:$H$59,MATCH(SUP_Biofuels!W128,'91 Hydrogenated veg oil'!$B$4:$B$59,0),MATCH(SUP_Biofuels!$I125,'91 Hydrogenated veg oil'!$D$3:$H$3,0)))/INDEX('91 Hydrogenated veg oil'!$D$4:$H$59,MATCH(SUP_Biofuels!X125,'91 Hydrogenated veg oil'!$B$4:$B$59,0),MATCH(SUP_Biofuels!$I125,'91 Hydrogenated veg oil'!$D$3:$H$3,0))</f>
        <v>8.2352941176470594E-3</v>
      </c>
      <c r="L128" s="43"/>
      <c r="M128" s="43"/>
      <c r="N128" s="43"/>
      <c r="O128" s="43"/>
      <c r="P128" s="40"/>
      <c r="Q128" s="43"/>
      <c r="R128" s="43"/>
      <c r="S128" s="43"/>
      <c r="T128" s="43"/>
      <c r="U128" s="43"/>
      <c r="V128" s="43"/>
      <c r="W128" s="17" t="str">
        <f>W120</f>
        <v>Natural Gas Consumption, MWh/MWh Total Inputs</v>
      </c>
      <c r="X128" s="43"/>
      <c r="Y128" s="43"/>
    </row>
    <row r="129" spans="3:25" ht="15.6">
      <c r="C129" s="43"/>
      <c r="D129" s="32"/>
      <c r="E129" s="43"/>
      <c r="F129" s="43"/>
      <c r="G129" s="17" t="str">
        <f>G121</f>
        <v>LVN</v>
      </c>
      <c r="H129" s="43"/>
      <c r="I129" s="43"/>
      <c r="J129" s="43"/>
      <c r="K129" s="43"/>
      <c r="L129" s="33">
        <f>INDEX('91 Hydrogenated veg oil'!$D$4:$H$59,MATCH(SUP_Biofuels!Y129,'91 Hydrogenated veg oil'!$B$4:$B$59,0),MATCH(SUP_Biofuels!$I125,'91 Hydrogenated veg oil'!$D$3:$H$3,0))*(SUM(K125:K128))</f>
        <v>7.772470588235296E-2</v>
      </c>
      <c r="M129" s="43"/>
      <c r="N129" s="43"/>
      <c r="O129" s="43"/>
      <c r="P129" s="40"/>
      <c r="Q129" s="43"/>
      <c r="R129" s="43"/>
      <c r="S129" s="43"/>
      <c r="T129" s="43"/>
      <c r="U129" s="43"/>
      <c r="V129" s="45"/>
      <c r="W129" s="43"/>
      <c r="X129" s="43"/>
      <c r="Y129" s="17" t="str">
        <f>Y121</f>
        <v>Naphta Output, MWh/MWh Total Input</v>
      </c>
    </row>
    <row r="130" spans="3:25">
      <c r="C130" s="43"/>
      <c r="D130" s="43"/>
      <c r="E130" s="43"/>
      <c r="F130" s="43"/>
      <c r="G130" s="43" t="s">
        <v>77</v>
      </c>
      <c r="H130" s="43"/>
      <c r="I130" s="43"/>
      <c r="J130" s="43"/>
      <c r="K130" s="43"/>
      <c r="L130" s="33">
        <f>INDEX('91 Hydrogenated veg oil'!$D$4:$H$59,MATCH(SUP_Biofuels!Y130,'91 Hydrogenated veg oil'!$B$4:$B$59,0),MATCH(SUP_Biofuels!$I125,'91 Hydrogenated veg oil'!$D$3:$H$3,0))*(SUM(K125:K128))</f>
        <v>3.886235294117648E-2</v>
      </c>
      <c r="M130" s="43"/>
      <c r="N130" s="43"/>
      <c r="O130" s="43"/>
      <c r="P130" s="40"/>
      <c r="Q130" s="43"/>
      <c r="R130" s="43"/>
      <c r="S130" s="43"/>
      <c r="T130" s="43"/>
      <c r="U130" s="43"/>
      <c r="V130" s="43"/>
      <c r="W130" s="43"/>
      <c r="X130" s="43"/>
      <c r="Y130" s="17" t="str">
        <f>Y122</f>
        <v>Fuel Gas Output, MWh/MWh Total Input</v>
      </c>
    </row>
    <row r="131" spans="3:25">
      <c r="C131" s="43"/>
      <c r="D131" s="43"/>
      <c r="E131" s="43"/>
      <c r="F131" s="43"/>
      <c r="G131" s="43" t="s">
        <v>78</v>
      </c>
      <c r="H131" s="43"/>
      <c r="I131" s="43"/>
      <c r="J131" s="43"/>
      <c r="K131" s="43"/>
      <c r="L131" s="33">
        <f>INDEX('91 Hydrogenated veg oil'!$D$4:$H$59,MATCH(SUP_Biofuels!Y131,'91 Hydrogenated veg oil'!$B$4:$B$59,0),MATCH(SUP_Biofuels!$I125,'91 Hydrogenated veg oil'!$D$3:$H$3,0))*(SUM(K125:K128))</f>
        <v>3.2385294117647068E-2</v>
      </c>
      <c r="M131" s="43"/>
      <c r="N131" s="43"/>
      <c r="O131" s="43"/>
      <c r="P131" s="40"/>
      <c r="Q131" s="43"/>
      <c r="R131" s="43"/>
      <c r="S131" s="43"/>
      <c r="T131" s="43"/>
      <c r="U131" s="43"/>
      <c r="V131" s="43"/>
      <c r="W131" s="43"/>
      <c r="X131" s="43"/>
      <c r="Y131" s="17" t="str">
        <f>Y123</f>
        <v>LPG Output, MWh/MWh Total Input</v>
      </c>
    </row>
    <row r="132" spans="3:25">
      <c r="C132" s="43"/>
      <c r="D132" s="43"/>
      <c r="E132" s="43"/>
      <c r="F132" s="43"/>
      <c r="G132" s="7" t="s">
        <v>216</v>
      </c>
      <c r="H132" s="43"/>
      <c r="I132" s="43"/>
      <c r="J132" s="43"/>
      <c r="K132" s="43"/>
      <c r="L132" s="33">
        <f>INDEX('91 Hydrogenated veg oil'!$D$4:$H$59,MATCH(SUP_Biofuels!Y132,'91 Hydrogenated veg oil'!$B$4:$B$59,0),MATCH(SUP_Biofuels!$I125,'91 Hydrogenated veg oil'!$D$3:$H$3,0))*(SUM(K125:K128))</f>
        <v>4.1865352941176477E-3</v>
      </c>
      <c r="M132" s="43"/>
      <c r="N132" s="43"/>
      <c r="O132" s="43"/>
      <c r="P132" s="40"/>
      <c r="Q132" s="43"/>
      <c r="R132" s="43"/>
      <c r="S132" s="43"/>
      <c r="T132" s="43"/>
      <c r="U132" s="43"/>
      <c r="V132" s="43"/>
      <c r="W132" s="43"/>
      <c r="X132" s="43"/>
      <c r="Y132" s="17" t="str">
        <f>Y124</f>
        <v>District Heating Output, MWh/MWh Total input</v>
      </c>
    </row>
    <row r="133" spans="3:25">
      <c r="C133" s="43"/>
      <c r="D133" s="17"/>
      <c r="E133" s="17" t="str">
        <f>E125</f>
        <v>SUPRPS</v>
      </c>
      <c r="F133" s="17" t="str">
        <f>F125</f>
        <v>DSB1</v>
      </c>
      <c r="G133" s="17"/>
      <c r="H133" s="17" t="s">
        <v>70</v>
      </c>
      <c r="I133" s="17">
        <v>2030</v>
      </c>
      <c r="J133" s="17"/>
      <c r="K133" s="33">
        <f>(INDEX('91 Hydrogenated veg oil'!$D$4:$H$59,MATCH(SUP_Biofuels!W133,'91 Hydrogenated veg oil'!$B$4:$B$59,0),MATCH(SUP_Biofuels!$I133,'91 Hydrogenated veg oil'!$D$3:$H$3,0)))/INDEX('91 Hydrogenated veg oil'!$D$4:$H$59,MATCH(SUP_Biofuels!X133,'91 Hydrogenated veg oil'!$B$4:$B$59,0),MATCH(SUP_Biofuels!$I133,'91 Hydrogenated veg oil'!$D$3:$H$3,0))</f>
        <v>1.0364705882352943</v>
      </c>
      <c r="L133" s="33"/>
      <c r="M133" s="34">
        <f>INDEX('91 Hydrogenated veg oil'!$D$4:$H$59,MATCH(SUP_Biofuels!M$8,'91 Hydrogenated veg oil'!$B$4:$B$59,0),MATCH(SUP_Biofuels!$I133,'91 Hydrogenated veg oil'!$D$3:$H$3,0))</f>
        <v>25</v>
      </c>
      <c r="N133" s="35">
        <f>INDEX('91 Hydrogenated veg oil'!$D$4:$H$59,MATCH(SUP_Biofuels!N$8,'91 Hydrogenated veg oil'!$B$4:$B$59,0),MATCH(SUP_Biofuels!$I133,'91 Hydrogenated veg oil'!$D$3:$H$3,0))*7.45</f>
        <v>4.7497048406139317</v>
      </c>
      <c r="O133" s="35">
        <f>INDEX('91 Hydrogenated veg oil'!$D$4:$H$59,MATCH(SUP_Biofuels!O$8,'91 Hydrogenated veg oil'!$B$4:$B$59,0),MATCH(SUP_Biofuels!$I133,'91 Hydrogenated veg oil'!$D$3:$H$3,0))*7.45</f>
        <v>0.26387249114521838</v>
      </c>
      <c r="P133" s="35">
        <f>INDEX('91 Hydrogenated veg oil'!$D$4:$H$59,MATCH(SUP_Biofuels!P$8,'91 Hydrogenated veg oil'!$B$4:$B$59,0),MATCH(SUP_Biofuels!$I133,'91 Hydrogenated veg oil'!$D$3:$H$3,0))*7.45/3.6</f>
        <v>17.551468976592272</v>
      </c>
      <c r="Q133" s="33">
        <f>1-INDEX('91 Hydrogenated veg oil'!$D$4:$H$59,MATCH(SUP_Biofuels!Q$7,'91 Hydrogenated veg oil'!$B$4:$B$59,0),MATCH(SUP_Biofuels!$I133,'91 Hydrogenated veg oil'!$D$3:$H$3,0))/52-INDEX('91 Hydrogenated veg oil'!$D$4:$H$59,MATCH(SUP_Biofuels!Q$8,'91 Hydrogenated veg oil'!$B$4:$B$59,0),MATCH(SUP_Biofuels!$I133,'91 Hydrogenated veg oil'!$D$3:$H$3,0))/100</f>
        <v>0.96153846153846156</v>
      </c>
      <c r="R133" s="36">
        <f>$R$39</f>
        <v>3.1536000000000002E-2</v>
      </c>
      <c r="S133" s="34">
        <f>INDEX('91 Hydrogenated veg oil'!$D$4:$H$59,MATCH(SUP_Biofuels!S$8,'91 Hydrogenated veg oil'!$B$4:$B$59,0),MATCH(SUP_Biofuels!$I133,'91 Hydrogenated veg oil'!$D$3:$H$3,0))</f>
        <v>2</v>
      </c>
      <c r="T133" s="34"/>
      <c r="U133" s="44"/>
      <c r="V133" s="43"/>
      <c r="W133" s="17" t="str">
        <f>W125</f>
        <v>Feedstock Consumption, MWh/MWh Total Inputs</v>
      </c>
      <c r="X133" s="17" t="str">
        <f>X125</f>
        <v>HVO Output, MWh/MWh Total Input</v>
      </c>
      <c r="Y133" s="17"/>
    </row>
    <row r="134" spans="3:25">
      <c r="C134" s="43"/>
      <c r="D134" s="43"/>
      <c r="E134" s="17" t="str">
        <f>E126</f>
        <v>SUPH2</v>
      </c>
      <c r="F134" s="17"/>
      <c r="G134" s="17"/>
      <c r="H134" s="17"/>
      <c r="I134" s="17"/>
      <c r="J134" s="17"/>
      <c r="K134" s="33">
        <f>(INDEX('91 Hydrogenated veg oil'!$D$4:$H$59,MATCH(SUP_Biofuels!W134,'91 Hydrogenated veg oil'!$B$4:$B$59,0),MATCH(SUP_Biofuels!$I133,'91 Hydrogenated veg oil'!$D$3:$H$3,0)))/INDEX('91 Hydrogenated veg oil'!$D$4:$H$59,MATCH(SUP_Biofuels!X133,'91 Hydrogenated veg oil'!$B$4:$B$59,0),MATCH(SUP_Biofuels!$I133,'91 Hydrogenated veg oil'!$D$3:$H$3,0))</f>
        <v>0.12352941176470589</v>
      </c>
      <c r="L134" s="33"/>
      <c r="M134" s="39"/>
      <c r="N134" s="40"/>
      <c r="O134" s="40"/>
      <c r="P134" s="40"/>
      <c r="Q134" s="41"/>
      <c r="R134" s="42"/>
      <c r="S134" s="39"/>
      <c r="T134" s="39"/>
      <c r="U134" s="43"/>
      <c r="V134" s="43"/>
      <c r="W134" s="17" t="str">
        <f>W126</f>
        <v>Hydrogen Consumption, MWh/MWh Total Inputs</v>
      </c>
      <c r="X134" s="17"/>
      <c r="Y134" s="17"/>
    </row>
    <row r="135" spans="3:25">
      <c r="C135" s="43"/>
      <c r="D135" s="43"/>
      <c r="E135" s="17" t="str">
        <f>E127</f>
        <v>SUPELC</v>
      </c>
      <c r="F135" s="43"/>
      <c r="G135" s="43"/>
      <c r="H135" s="43"/>
      <c r="I135" s="43"/>
      <c r="J135" s="43"/>
      <c r="K135" s="33">
        <f>(INDEX('91 Hydrogenated veg oil'!$D$4:$H$59,MATCH(SUP_Biofuels!W135,'91 Hydrogenated veg oil'!$B$4:$B$59,0),MATCH(SUP_Biofuels!$I133,'91 Hydrogenated veg oil'!$D$3:$H$3,0)))/INDEX('91 Hydrogenated veg oil'!$D$4:$H$59,MATCH(SUP_Biofuels!X133,'91 Hydrogenated veg oil'!$B$4:$B$59,0),MATCH(SUP_Biofuels!$I133,'91 Hydrogenated veg oil'!$D$3:$H$3,0))</f>
        <v>9.4117647058823539E-3</v>
      </c>
      <c r="L135" s="43"/>
      <c r="M135" s="43"/>
      <c r="N135" s="43"/>
      <c r="O135" s="43"/>
      <c r="P135" s="40"/>
      <c r="Q135" s="43"/>
      <c r="R135" s="43"/>
      <c r="S135" s="43"/>
      <c r="T135" s="43"/>
      <c r="U135" s="43"/>
      <c r="V135" s="43"/>
      <c r="W135" s="17" t="str">
        <f>W127</f>
        <v>Electricity Consumption, MWh/MWh Total Inputs</v>
      </c>
      <c r="X135" s="43"/>
      <c r="Y135" s="43"/>
    </row>
    <row r="136" spans="3:25" ht="15.6">
      <c r="C136" s="43"/>
      <c r="D136" s="32"/>
      <c r="E136" s="17" t="str">
        <f>E128</f>
        <v>SUPNGA,SUPSNG,SUPH2</v>
      </c>
      <c r="F136" s="43"/>
      <c r="G136" s="43"/>
      <c r="H136" s="43"/>
      <c r="I136" s="43"/>
      <c r="J136" s="43"/>
      <c r="K136" s="33">
        <f>(INDEX('91 Hydrogenated veg oil'!$D$4:$H$59,MATCH(SUP_Biofuels!W136,'91 Hydrogenated veg oil'!$B$4:$B$59,0),MATCH(SUP_Biofuels!$I133,'91 Hydrogenated veg oil'!$D$3:$H$3,0)))/INDEX('91 Hydrogenated veg oil'!$D$4:$H$59,MATCH(SUP_Biofuels!X133,'91 Hydrogenated veg oil'!$B$4:$B$59,0),MATCH(SUP_Biofuels!$I133,'91 Hydrogenated veg oil'!$D$3:$H$3,0))</f>
        <v>8.2352941176470594E-3</v>
      </c>
      <c r="L136" s="43"/>
      <c r="M136" s="43"/>
      <c r="N136" s="43"/>
      <c r="O136" s="43"/>
      <c r="P136" s="40"/>
      <c r="Q136" s="43"/>
      <c r="R136" s="43"/>
      <c r="S136" s="43"/>
      <c r="T136" s="43"/>
      <c r="U136" s="43"/>
      <c r="V136" s="45"/>
      <c r="W136" s="17" t="str">
        <f>W128</f>
        <v>Natural Gas Consumption, MWh/MWh Total Inputs</v>
      </c>
      <c r="X136" s="43"/>
      <c r="Y136" s="43"/>
    </row>
    <row r="137" spans="3:25">
      <c r="C137" s="43"/>
      <c r="D137" s="17"/>
      <c r="E137" s="43"/>
      <c r="F137" s="43"/>
      <c r="G137" s="17" t="str">
        <f>G129</f>
        <v>LVN</v>
      </c>
      <c r="H137" s="43"/>
      <c r="I137" s="43"/>
      <c r="J137" s="43"/>
      <c r="K137" s="43"/>
      <c r="L137" s="33">
        <f>INDEX('91 Hydrogenated veg oil'!$D$4:$H$59,MATCH(SUP_Biofuels!Y137,'91 Hydrogenated veg oil'!$B$4:$B$59,0),MATCH(SUP_Biofuels!$I133,'91 Hydrogenated veg oil'!$D$3:$H$3,0))*(SUM(K133:K136))</f>
        <v>7.772470588235296E-2</v>
      </c>
      <c r="M137" s="43"/>
      <c r="N137" s="43"/>
      <c r="O137" s="43"/>
      <c r="P137" s="40"/>
      <c r="Q137" s="43"/>
      <c r="R137" s="43"/>
      <c r="S137" s="43"/>
      <c r="T137" s="43"/>
      <c r="U137" s="43"/>
      <c r="V137" s="43"/>
      <c r="W137" s="43"/>
      <c r="X137" s="43"/>
      <c r="Y137" s="17" t="str">
        <f>Y129</f>
        <v>Naphta Output, MWh/MWh Total Input</v>
      </c>
    </row>
    <row r="138" spans="3:25">
      <c r="C138" s="43"/>
      <c r="D138" s="43"/>
      <c r="E138" s="43"/>
      <c r="F138" s="43"/>
      <c r="G138" s="43" t="s">
        <v>77</v>
      </c>
      <c r="H138" s="43"/>
      <c r="I138" s="43"/>
      <c r="J138" s="43"/>
      <c r="K138" s="43"/>
      <c r="L138" s="33">
        <f>INDEX('91 Hydrogenated veg oil'!$D$4:$H$59,MATCH(SUP_Biofuels!Y138,'91 Hydrogenated veg oil'!$B$4:$B$59,0),MATCH(SUP_Biofuels!$I133,'91 Hydrogenated veg oil'!$D$3:$H$3,0))*(SUM(K133:K136))</f>
        <v>3.886235294117648E-2</v>
      </c>
      <c r="M138" s="43"/>
      <c r="N138" s="43"/>
      <c r="O138" s="43"/>
      <c r="P138" s="40"/>
      <c r="Q138" s="43"/>
      <c r="R138" s="43"/>
      <c r="S138" s="43"/>
      <c r="T138" s="43"/>
      <c r="U138" s="43"/>
      <c r="V138" s="43"/>
      <c r="W138" s="43"/>
      <c r="X138" s="43"/>
      <c r="Y138" s="17" t="str">
        <f>Y130</f>
        <v>Fuel Gas Output, MWh/MWh Total Input</v>
      </c>
    </row>
    <row r="139" spans="3:25">
      <c r="C139" s="43"/>
      <c r="D139" s="43"/>
      <c r="E139" s="43"/>
      <c r="F139" s="43"/>
      <c r="G139" s="43" t="s">
        <v>78</v>
      </c>
      <c r="H139" s="43"/>
      <c r="I139" s="43"/>
      <c r="J139" s="43"/>
      <c r="K139" s="43"/>
      <c r="L139" s="33">
        <f>INDEX('91 Hydrogenated veg oil'!$D$4:$H$59,MATCH(SUP_Biofuels!Y139,'91 Hydrogenated veg oil'!$B$4:$B$59,0),MATCH(SUP_Biofuels!$I133,'91 Hydrogenated veg oil'!$D$3:$H$3,0))*(SUM(K133:K136))</f>
        <v>3.2385294117647068E-2</v>
      </c>
      <c r="M139" s="43"/>
      <c r="N139" s="43"/>
      <c r="O139" s="43"/>
      <c r="P139" s="40"/>
      <c r="Q139" s="43"/>
      <c r="R139" s="43"/>
      <c r="S139" s="43"/>
      <c r="T139" s="43"/>
      <c r="U139" s="43"/>
      <c r="V139" s="43"/>
      <c r="W139" s="43"/>
      <c r="X139" s="43"/>
      <c r="Y139" s="17" t="str">
        <f>Y131</f>
        <v>LPG Output, MWh/MWh Total Input</v>
      </c>
    </row>
    <row r="140" spans="3:25">
      <c r="C140" s="43"/>
      <c r="D140" s="43"/>
      <c r="E140" s="43"/>
      <c r="F140" s="43"/>
      <c r="G140" s="7" t="s">
        <v>216</v>
      </c>
      <c r="H140" s="43"/>
      <c r="I140" s="43"/>
      <c r="J140" s="43"/>
      <c r="K140" s="43"/>
      <c r="L140" s="33">
        <f>INDEX('91 Hydrogenated veg oil'!$D$4:$H$59,MATCH(SUP_Biofuels!Y140,'91 Hydrogenated veg oil'!$B$4:$B$59,0),MATCH(SUP_Biofuels!$I133,'91 Hydrogenated veg oil'!$D$3:$H$3,0))*(SUM(K133:K136))</f>
        <v>4.1865352941176477E-3</v>
      </c>
      <c r="M140" s="43"/>
      <c r="N140" s="43"/>
      <c r="O140" s="43"/>
      <c r="P140" s="40"/>
      <c r="Q140" s="43"/>
      <c r="R140" s="43"/>
      <c r="S140" s="43"/>
      <c r="T140" s="43"/>
      <c r="U140" s="43"/>
      <c r="V140" s="43"/>
      <c r="W140" s="43"/>
      <c r="X140" s="43"/>
      <c r="Y140" s="17" t="str">
        <f>Y132</f>
        <v>District Heating Output, MWh/MWh Total input</v>
      </c>
    </row>
    <row r="141" spans="3:25">
      <c r="C141" s="43"/>
      <c r="D141" s="43"/>
      <c r="E141" s="17" t="str">
        <f>E133</f>
        <v>SUPRPS</v>
      </c>
      <c r="F141" s="17" t="str">
        <f>F133</f>
        <v>DSB1</v>
      </c>
      <c r="G141" s="17"/>
      <c r="H141" s="17" t="s">
        <v>70</v>
      </c>
      <c r="I141" s="17">
        <v>2040</v>
      </c>
      <c r="J141" s="17"/>
      <c r="K141" s="33">
        <f>(INDEX('91 Hydrogenated veg oil'!$D$4:$H$59,MATCH(SUP_Biofuels!W141,'91 Hydrogenated veg oil'!$B$4:$B$59,0),MATCH(SUP_Biofuels!$I141,'91 Hydrogenated veg oil'!$D$3:$H$3,0)))/INDEX('91 Hydrogenated veg oil'!$D$4:$H$59,MATCH(SUP_Biofuels!X141,'91 Hydrogenated veg oil'!$B$4:$B$59,0),MATCH(SUP_Biofuels!$I141,'91 Hydrogenated veg oil'!$D$3:$H$3,0))</f>
        <v>1.0364705882352943</v>
      </c>
      <c r="L141" s="33"/>
      <c r="M141" s="34">
        <f>INDEX('91 Hydrogenated veg oil'!$D$4:$H$59,MATCH(SUP_Biofuels!M$8,'91 Hydrogenated veg oil'!$B$4:$B$59,0),MATCH(SUP_Biofuels!$I141,'91 Hydrogenated veg oil'!$D$3:$H$3,0))</f>
        <v>25</v>
      </c>
      <c r="N141" s="35">
        <f>INDEX('91 Hydrogenated veg oil'!$D$4:$H$59,MATCH(SUP_Biofuels!N$8,'91 Hydrogenated veg oil'!$B$4:$B$59,0),MATCH(SUP_Biofuels!$I141,'91 Hydrogenated veg oil'!$D$3:$H$3,0))*7.45</f>
        <v>4.4580800000000007</v>
      </c>
      <c r="O141" s="35">
        <f>INDEX('91 Hydrogenated veg oil'!$D$4:$H$59,MATCH(SUP_Biofuels!O$8,'91 Hydrogenated veg oil'!$B$4:$B$59,0),MATCH(SUP_Biofuels!$I141,'91 Hydrogenated veg oil'!$D$3:$H$3,0))*7.45</f>
        <v>0.26316883116883116</v>
      </c>
      <c r="P141" s="35">
        <f>INDEX('91 Hydrogenated veg oil'!$D$4:$H$59,MATCH(SUP_Biofuels!P$8,'91 Hydrogenated veg oil'!$B$4:$B$59,0),MATCH(SUP_Biofuels!$I141,'91 Hydrogenated veg oil'!$D$3:$H$3,0))*7.45/3.6</f>
        <v>17.551468976592268</v>
      </c>
      <c r="Q141" s="33">
        <f>1-INDEX('91 Hydrogenated veg oil'!$D$4:$H$59,MATCH(SUP_Biofuels!Q$7,'91 Hydrogenated veg oil'!$B$4:$B$59,0),MATCH(SUP_Biofuels!$I141,'91 Hydrogenated veg oil'!$D$3:$H$3,0))/52-INDEX('91 Hydrogenated veg oil'!$D$4:$H$59,MATCH(SUP_Biofuels!Q$8,'91 Hydrogenated veg oil'!$B$4:$B$59,0),MATCH(SUP_Biofuels!$I141,'91 Hydrogenated veg oil'!$D$3:$H$3,0))/100</f>
        <v>0.96153846153846156</v>
      </c>
      <c r="R141" s="36">
        <f>$R$39</f>
        <v>3.1536000000000002E-2</v>
      </c>
      <c r="S141" s="34">
        <f>INDEX('91 Hydrogenated veg oil'!$D$4:$H$59,MATCH(SUP_Biofuels!S$8,'91 Hydrogenated veg oil'!$B$4:$B$59,0),MATCH(SUP_Biofuels!$I141,'91 Hydrogenated veg oil'!$D$3:$H$3,0))</f>
        <v>2</v>
      </c>
      <c r="T141" s="34"/>
      <c r="U141" s="44"/>
      <c r="V141" s="43"/>
      <c r="W141" s="17" t="str">
        <f>W133</f>
        <v>Feedstock Consumption, MWh/MWh Total Inputs</v>
      </c>
      <c r="X141" s="17" t="str">
        <f>X133</f>
        <v>HVO Output, MWh/MWh Total Input</v>
      </c>
      <c r="Y141" s="17"/>
    </row>
    <row r="142" spans="3:25">
      <c r="C142" s="43"/>
      <c r="D142" s="43"/>
      <c r="E142" s="17" t="str">
        <f>E134</f>
        <v>SUPH2</v>
      </c>
      <c r="F142" s="17"/>
      <c r="G142" s="17"/>
      <c r="H142" s="17"/>
      <c r="I142" s="17"/>
      <c r="J142" s="17"/>
      <c r="K142" s="33">
        <f>(INDEX('91 Hydrogenated veg oil'!$D$4:$H$59,MATCH(SUP_Biofuels!W142,'91 Hydrogenated veg oil'!$B$4:$B$59,0),MATCH(SUP_Biofuels!$I141,'91 Hydrogenated veg oil'!$D$3:$H$3,0)))/INDEX('91 Hydrogenated veg oil'!$D$4:$H$59,MATCH(SUP_Biofuels!X141,'91 Hydrogenated veg oil'!$B$4:$B$59,0),MATCH(SUP_Biofuels!$I141,'91 Hydrogenated veg oil'!$D$3:$H$3,0))</f>
        <v>0.12352941176470589</v>
      </c>
      <c r="L142" s="33"/>
      <c r="M142" s="39"/>
      <c r="N142" s="40"/>
      <c r="O142" s="40"/>
      <c r="P142" s="40"/>
      <c r="Q142" s="41"/>
      <c r="R142" s="42"/>
      <c r="S142" s="39"/>
      <c r="T142" s="39"/>
      <c r="U142" s="43"/>
      <c r="V142" s="43"/>
      <c r="W142" s="17" t="str">
        <f>W134</f>
        <v>Hydrogen Consumption, MWh/MWh Total Inputs</v>
      </c>
      <c r="X142" s="17"/>
      <c r="Y142" s="17"/>
    </row>
    <row r="143" spans="3:25">
      <c r="C143" s="43"/>
      <c r="D143" s="43"/>
      <c r="E143" s="17" t="str">
        <f>E135</f>
        <v>SUPELC</v>
      </c>
      <c r="F143" s="43"/>
      <c r="G143" s="43"/>
      <c r="H143" s="43"/>
      <c r="I143" s="43"/>
      <c r="J143" s="43"/>
      <c r="K143" s="33">
        <f>(INDEX('91 Hydrogenated veg oil'!$D$4:$H$59,MATCH(SUP_Biofuels!W143,'91 Hydrogenated veg oil'!$B$4:$B$59,0),MATCH(SUP_Biofuels!$I141,'91 Hydrogenated veg oil'!$D$3:$H$3,0)))/INDEX('91 Hydrogenated veg oil'!$D$4:$H$59,MATCH(SUP_Biofuels!X141,'91 Hydrogenated veg oil'!$B$4:$B$59,0),MATCH(SUP_Biofuels!$I141,'91 Hydrogenated veg oil'!$D$3:$H$3,0))</f>
        <v>9.4117647058823539E-3</v>
      </c>
      <c r="L143" s="43"/>
      <c r="M143" s="43"/>
      <c r="N143" s="43"/>
      <c r="O143" s="43"/>
      <c r="P143" s="40"/>
      <c r="Q143" s="43"/>
      <c r="R143" s="43"/>
      <c r="S143" s="43"/>
      <c r="T143" s="43"/>
      <c r="U143" s="43"/>
      <c r="V143" s="43"/>
      <c r="W143" s="17" t="str">
        <f>W135</f>
        <v>Electricity Consumption, MWh/MWh Total Inputs</v>
      </c>
      <c r="X143" s="43"/>
      <c r="Y143" s="43"/>
    </row>
    <row r="144" spans="3:25">
      <c r="C144" s="43"/>
      <c r="D144" s="43"/>
      <c r="E144" s="17" t="str">
        <f>E136</f>
        <v>SUPNGA,SUPSNG,SUPH2</v>
      </c>
      <c r="F144" s="43"/>
      <c r="G144" s="43"/>
      <c r="H144" s="43"/>
      <c r="I144" s="43"/>
      <c r="J144" s="43"/>
      <c r="K144" s="33">
        <f>(INDEX('91 Hydrogenated veg oil'!$D$4:$H$59,MATCH(SUP_Biofuels!W144,'91 Hydrogenated veg oil'!$B$4:$B$59,0),MATCH(SUP_Biofuels!$I141,'91 Hydrogenated veg oil'!$D$3:$H$3,0)))/INDEX('91 Hydrogenated veg oil'!$D$4:$H$59,MATCH(SUP_Biofuels!X141,'91 Hydrogenated veg oil'!$B$4:$B$59,0),MATCH(SUP_Biofuels!$I141,'91 Hydrogenated veg oil'!$D$3:$H$3,0))</f>
        <v>8.2352941176470594E-3</v>
      </c>
      <c r="L144" s="43"/>
      <c r="M144" s="43"/>
      <c r="N144" s="43"/>
      <c r="O144" s="43"/>
      <c r="P144" s="40"/>
      <c r="Q144" s="43"/>
      <c r="R144" s="43"/>
      <c r="S144" s="43"/>
      <c r="T144" s="43"/>
      <c r="U144" s="43"/>
      <c r="V144" s="43"/>
      <c r="W144" s="17" t="str">
        <f>W136</f>
        <v>Natural Gas Consumption, MWh/MWh Total Inputs</v>
      </c>
      <c r="X144" s="43"/>
      <c r="Y144" s="43"/>
    </row>
    <row r="145" spans="3:25">
      <c r="C145" s="43"/>
      <c r="D145" s="43"/>
      <c r="E145" s="43"/>
      <c r="F145" s="43"/>
      <c r="G145" s="17" t="str">
        <f>G137</f>
        <v>LVN</v>
      </c>
      <c r="H145" s="43"/>
      <c r="I145" s="43"/>
      <c r="J145" s="43"/>
      <c r="K145" s="43"/>
      <c r="L145" s="33">
        <f>INDEX('91 Hydrogenated veg oil'!$D$4:$H$59,MATCH(SUP_Biofuels!Y145,'91 Hydrogenated veg oil'!$B$4:$B$59,0),MATCH(SUP_Biofuels!$I141,'91 Hydrogenated veg oil'!$D$3:$H$3,0))*(SUM(K141:K144))</f>
        <v>7.772470588235296E-2</v>
      </c>
      <c r="M145" s="43"/>
      <c r="N145" s="43"/>
      <c r="O145" s="43"/>
      <c r="P145" s="40"/>
      <c r="Q145" s="43"/>
      <c r="R145" s="43"/>
      <c r="S145" s="43"/>
      <c r="T145" s="43"/>
      <c r="U145" s="43"/>
      <c r="V145" s="43"/>
      <c r="W145" s="43"/>
      <c r="X145" s="43"/>
      <c r="Y145" s="17" t="str">
        <f>Y137</f>
        <v>Naphta Output, MWh/MWh Total Input</v>
      </c>
    </row>
    <row r="146" spans="3:25">
      <c r="C146" s="43"/>
      <c r="D146" s="43"/>
      <c r="E146" s="43"/>
      <c r="F146" s="43"/>
      <c r="G146" s="43" t="s">
        <v>77</v>
      </c>
      <c r="H146" s="43"/>
      <c r="I146" s="43"/>
      <c r="J146" s="43"/>
      <c r="K146" s="43"/>
      <c r="L146" s="33">
        <f>INDEX('91 Hydrogenated veg oil'!$D$4:$H$59,MATCH(SUP_Biofuels!Y146,'91 Hydrogenated veg oil'!$B$4:$B$59,0),MATCH(SUP_Biofuels!$I141,'91 Hydrogenated veg oil'!$D$3:$H$3,0))*(SUM(K141:K144))</f>
        <v>3.886235294117648E-2</v>
      </c>
      <c r="M146" s="43"/>
      <c r="N146" s="43"/>
      <c r="O146" s="43"/>
      <c r="P146" s="40"/>
      <c r="Q146" s="43"/>
      <c r="R146" s="43"/>
      <c r="S146" s="43"/>
      <c r="T146" s="43"/>
      <c r="U146" s="43"/>
      <c r="V146" s="43"/>
      <c r="W146" s="43"/>
      <c r="X146" s="43"/>
      <c r="Y146" s="17" t="str">
        <f>Y138</f>
        <v>Fuel Gas Output, MWh/MWh Total Input</v>
      </c>
    </row>
    <row r="147" spans="3:25">
      <c r="C147" s="43"/>
      <c r="D147" s="43"/>
      <c r="E147" s="43"/>
      <c r="F147" s="43"/>
      <c r="G147" s="43" t="s">
        <v>78</v>
      </c>
      <c r="H147" s="43"/>
      <c r="I147" s="43"/>
      <c r="J147" s="43"/>
      <c r="K147" s="43"/>
      <c r="L147" s="33">
        <f>INDEX('91 Hydrogenated veg oil'!$D$4:$H$59,MATCH(SUP_Biofuels!Y147,'91 Hydrogenated veg oil'!$B$4:$B$59,0),MATCH(SUP_Biofuels!$I141,'91 Hydrogenated veg oil'!$D$3:$H$3,0))*(SUM(K141:K144))</f>
        <v>3.2385294117647068E-2</v>
      </c>
      <c r="M147" s="43"/>
      <c r="N147" s="43"/>
      <c r="O147" s="43"/>
      <c r="P147" s="40"/>
      <c r="Q147" s="43"/>
      <c r="R147" s="43"/>
      <c r="S147" s="43"/>
      <c r="T147" s="43"/>
      <c r="U147" s="43"/>
      <c r="V147" s="43"/>
      <c r="W147" s="43"/>
      <c r="X147" s="43"/>
      <c r="Y147" s="17" t="str">
        <f>Y139</f>
        <v>LPG Output, MWh/MWh Total Input</v>
      </c>
    </row>
    <row r="148" spans="3:25">
      <c r="C148" s="43"/>
      <c r="D148" s="43"/>
      <c r="E148" s="43"/>
      <c r="F148" s="43"/>
      <c r="G148" s="7" t="s">
        <v>216</v>
      </c>
      <c r="H148" s="43"/>
      <c r="I148" s="43"/>
      <c r="J148" s="43"/>
      <c r="K148" s="43"/>
      <c r="L148" s="33">
        <f>INDEX('91 Hydrogenated veg oil'!$D$4:$H$59,MATCH(SUP_Biofuels!Y148,'91 Hydrogenated veg oil'!$B$4:$B$59,0),MATCH(SUP_Biofuels!$I141,'91 Hydrogenated veg oil'!$D$3:$H$3,0))*(SUM(K141:K144))</f>
        <v>4.1865352941176477E-3</v>
      </c>
      <c r="M148" s="43"/>
      <c r="N148" s="43"/>
      <c r="O148" s="43"/>
      <c r="P148" s="40"/>
      <c r="Q148" s="43"/>
      <c r="R148" s="43"/>
      <c r="S148" s="43"/>
      <c r="T148" s="43"/>
      <c r="U148" s="43"/>
      <c r="V148" s="43"/>
      <c r="W148" s="43"/>
      <c r="X148" s="43"/>
      <c r="Y148" s="17" t="str">
        <f>Y140</f>
        <v>District Heating Output, MWh/MWh Total input</v>
      </c>
    </row>
    <row r="149" spans="3:25">
      <c r="C149" s="43"/>
      <c r="D149" s="43"/>
      <c r="E149" s="17" t="str">
        <f>E141</f>
        <v>SUPRPS</v>
      </c>
      <c r="F149" s="17" t="str">
        <f>F141</f>
        <v>DSB1</v>
      </c>
      <c r="G149" s="17"/>
      <c r="H149" s="17" t="s">
        <v>70</v>
      </c>
      <c r="I149" s="17">
        <v>2050</v>
      </c>
      <c r="J149" s="17"/>
      <c r="K149" s="33">
        <f>(INDEX('91 Hydrogenated veg oil'!$D$4:$H$59,MATCH(SUP_Biofuels!W149,'91 Hydrogenated veg oil'!$B$4:$B$59,0),MATCH(SUP_Biofuels!$I149,'91 Hydrogenated veg oil'!$D$3:$H$3,0)))/INDEX('91 Hydrogenated veg oil'!$D$4:$H$59,MATCH(SUP_Biofuels!X149,'91 Hydrogenated veg oil'!$B$4:$B$59,0),MATCH(SUP_Biofuels!$I149,'91 Hydrogenated veg oil'!$D$3:$H$3,0))</f>
        <v>1.0364705882352943</v>
      </c>
      <c r="L149" s="33"/>
      <c r="M149" s="34">
        <f>INDEX('91 Hydrogenated veg oil'!$D$4:$H$59,MATCH(SUP_Biofuels!M$8,'91 Hydrogenated veg oil'!$B$4:$B$59,0),MATCH(SUP_Biofuels!$I149,'91 Hydrogenated veg oil'!$D$3:$H$3,0))</f>
        <v>25</v>
      </c>
      <c r="N149" s="35">
        <f>INDEX('91 Hydrogenated veg oil'!$D$4:$H$59,MATCH(SUP_Biofuels!N$8,'91 Hydrogenated veg oil'!$B$4:$B$59,0),MATCH(SUP_Biofuels!$I149,'91 Hydrogenated veg oil'!$D$3:$H$3,0))*7.45</f>
        <v>4.3075075609322191</v>
      </c>
      <c r="O149" s="35">
        <f>INDEX('91 Hydrogenated veg oil'!$D$4:$H$59,MATCH(SUP_Biofuels!O$8,'91 Hydrogenated veg oil'!$B$4:$B$59,0),MATCH(SUP_Biofuels!$I149,'91 Hydrogenated veg oil'!$D$3:$H$3,0))*7.45</f>
        <v>0.26507738836505962</v>
      </c>
      <c r="P149" s="35">
        <f>INDEX('91 Hydrogenated veg oil'!$D$4:$H$59,MATCH(SUP_Biofuels!P$8,'91 Hydrogenated veg oil'!$B$4:$B$59,0),MATCH(SUP_Biofuels!$I149,'91 Hydrogenated veg oil'!$D$3:$H$3,0))*7.45/3.6</f>
        <v>17.551468976592265</v>
      </c>
      <c r="Q149" s="33">
        <f>1-INDEX('91 Hydrogenated veg oil'!$D$4:$H$59,MATCH(SUP_Biofuels!Q$7,'91 Hydrogenated veg oil'!$B$4:$B$59,0),MATCH(SUP_Biofuels!$I149,'91 Hydrogenated veg oil'!$D$3:$H$3,0))/52-INDEX('91 Hydrogenated veg oil'!$D$4:$H$59,MATCH(SUP_Biofuels!Q$8,'91 Hydrogenated veg oil'!$B$4:$B$59,0),MATCH(SUP_Biofuels!$I149,'91 Hydrogenated veg oil'!$D$3:$H$3,0))/100</f>
        <v>0.96153846153846156</v>
      </c>
      <c r="R149" s="36">
        <f>$R$39</f>
        <v>3.1536000000000002E-2</v>
      </c>
      <c r="S149" s="34">
        <f>INDEX('91 Hydrogenated veg oil'!$D$4:$H$59,MATCH(SUP_Biofuels!S$8,'91 Hydrogenated veg oil'!$B$4:$B$59,0),MATCH(SUP_Biofuels!$I149,'91 Hydrogenated veg oil'!$D$3:$H$3,0))</f>
        <v>2</v>
      </c>
      <c r="T149" s="34"/>
      <c r="U149" s="44"/>
      <c r="V149" s="43"/>
      <c r="W149" s="17" t="str">
        <f>W141</f>
        <v>Feedstock Consumption, MWh/MWh Total Inputs</v>
      </c>
      <c r="X149" s="17" t="str">
        <f>X141</f>
        <v>HVO Output, MWh/MWh Total Input</v>
      </c>
      <c r="Y149" s="17"/>
    </row>
    <row r="150" spans="3:25">
      <c r="C150" s="43"/>
      <c r="D150" s="43"/>
      <c r="E150" s="17" t="str">
        <f>E142</f>
        <v>SUPH2</v>
      </c>
      <c r="F150" s="17"/>
      <c r="G150" s="17"/>
      <c r="H150" s="17"/>
      <c r="I150" s="17"/>
      <c r="J150" s="17"/>
      <c r="K150" s="33">
        <f>(INDEX('91 Hydrogenated veg oil'!$D$4:$H$59,MATCH(SUP_Biofuels!W150,'91 Hydrogenated veg oil'!$B$4:$B$59,0),MATCH(SUP_Biofuels!$I149,'91 Hydrogenated veg oil'!$D$3:$H$3,0)))/INDEX('91 Hydrogenated veg oil'!$D$4:$H$59,MATCH(SUP_Biofuels!X149,'91 Hydrogenated veg oil'!$B$4:$B$59,0),MATCH(SUP_Biofuels!$I149,'91 Hydrogenated veg oil'!$D$3:$H$3,0))</f>
        <v>0.12352941176470589</v>
      </c>
      <c r="L150" s="33"/>
      <c r="M150" s="39"/>
      <c r="N150" s="40"/>
      <c r="O150" s="40"/>
      <c r="P150" s="40"/>
      <c r="Q150" s="41"/>
      <c r="R150" s="42"/>
      <c r="S150" s="39"/>
      <c r="T150" s="39"/>
      <c r="U150" s="43"/>
      <c r="V150" s="43"/>
      <c r="W150" s="17" t="str">
        <f>W142</f>
        <v>Hydrogen Consumption, MWh/MWh Total Inputs</v>
      </c>
      <c r="X150" s="17"/>
      <c r="Y150" s="17"/>
    </row>
    <row r="151" spans="3:25" ht="15.6">
      <c r="C151" s="43"/>
      <c r="D151" s="32"/>
      <c r="E151" s="17" t="str">
        <f>E143</f>
        <v>SUPELC</v>
      </c>
      <c r="F151" s="43"/>
      <c r="G151" s="43"/>
      <c r="H151" s="43"/>
      <c r="I151" s="43"/>
      <c r="J151" s="43"/>
      <c r="K151" s="33">
        <f>(INDEX('91 Hydrogenated veg oil'!$D$4:$H$59,MATCH(SUP_Biofuels!W151,'91 Hydrogenated veg oil'!$B$4:$B$59,0),MATCH(SUP_Biofuels!$I149,'91 Hydrogenated veg oil'!$D$3:$H$3,0)))/INDEX('91 Hydrogenated veg oil'!$D$4:$H$59,MATCH(SUP_Biofuels!X149,'91 Hydrogenated veg oil'!$B$4:$B$59,0),MATCH(SUP_Biofuels!$I149,'91 Hydrogenated veg oil'!$D$3:$H$3,0))</f>
        <v>9.4117647058823539E-3</v>
      </c>
      <c r="L151" s="43"/>
      <c r="M151" s="43"/>
      <c r="N151" s="43"/>
      <c r="O151" s="43"/>
      <c r="P151" s="40"/>
      <c r="Q151" s="43"/>
      <c r="R151" s="43"/>
      <c r="S151" s="43"/>
      <c r="T151" s="43"/>
      <c r="U151" s="43"/>
      <c r="V151" s="43"/>
      <c r="W151" s="17" t="str">
        <f>W143</f>
        <v>Electricity Consumption, MWh/MWh Total Inputs</v>
      </c>
      <c r="X151" s="43"/>
      <c r="Y151" s="43"/>
    </row>
    <row r="152" spans="3:25">
      <c r="C152" s="43"/>
      <c r="D152" s="17"/>
      <c r="E152" s="17" t="str">
        <f>E144</f>
        <v>SUPNGA,SUPSNG,SUPH2</v>
      </c>
      <c r="F152" s="43"/>
      <c r="G152" s="43"/>
      <c r="H152" s="43"/>
      <c r="I152" s="43"/>
      <c r="J152" s="43"/>
      <c r="K152" s="33">
        <f>(INDEX('91 Hydrogenated veg oil'!$D$4:$H$59,MATCH(SUP_Biofuels!W152,'91 Hydrogenated veg oil'!$B$4:$B$59,0),MATCH(SUP_Biofuels!$I149,'91 Hydrogenated veg oil'!$D$3:$H$3,0)))/INDEX('91 Hydrogenated veg oil'!$D$4:$H$59,MATCH(SUP_Biofuels!X149,'91 Hydrogenated veg oil'!$B$4:$B$59,0),MATCH(SUP_Biofuels!$I149,'91 Hydrogenated veg oil'!$D$3:$H$3,0))</f>
        <v>8.2352941176470594E-3</v>
      </c>
      <c r="L152" s="43"/>
      <c r="M152" s="43"/>
      <c r="N152" s="43"/>
      <c r="O152" s="43"/>
      <c r="P152" s="40"/>
      <c r="Q152" s="43"/>
      <c r="R152" s="43"/>
      <c r="S152" s="43"/>
      <c r="T152" s="43"/>
      <c r="U152" s="43"/>
      <c r="V152" s="43"/>
      <c r="W152" s="17" t="str">
        <f>W144</f>
        <v>Natural Gas Consumption, MWh/MWh Total Inputs</v>
      </c>
      <c r="X152" s="43"/>
      <c r="Y152" s="43"/>
    </row>
    <row r="153" spans="3:25">
      <c r="C153" s="43"/>
      <c r="D153" s="43"/>
      <c r="E153" s="43"/>
      <c r="F153" s="43"/>
      <c r="G153" s="17" t="str">
        <f>G145</f>
        <v>LVN</v>
      </c>
      <c r="H153" s="43"/>
      <c r="I153" s="43"/>
      <c r="J153" s="43"/>
      <c r="K153" s="43"/>
      <c r="L153" s="33">
        <f>INDEX('91 Hydrogenated veg oil'!$D$4:$H$59,MATCH(SUP_Biofuels!Y153,'91 Hydrogenated veg oil'!$B$4:$B$59,0),MATCH(SUP_Biofuels!$I149,'91 Hydrogenated veg oil'!$D$3:$H$3,0))*(SUM(K149:K152))</f>
        <v>7.772470588235296E-2</v>
      </c>
      <c r="M153" s="43"/>
      <c r="N153" s="43"/>
      <c r="O153" s="43"/>
      <c r="P153" s="40"/>
      <c r="Q153" s="43"/>
      <c r="R153" s="43"/>
      <c r="S153" s="43"/>
      <c r="T153" s="43"/>
      <c r="U153" s="43"/>
      <c r="V153" s="43"/>
      <c r="W153" s="43"/>
      <c r="X153" s="43"/>
      <c r="Y153" s="17" t="str">
        <f>Y145</f>
        <v>Naphta Output, MWh/MWh Total Input</v>
      </c>
    </row>
    <row r="154" spans="3:25">
      <c r="C154" s="43"/>
      <c r="D154" s="43"/>
      <c r="E154" s="43"/>
      <c r="F154" s="43"/>
      <c r="G154" s="43" t="s">
        <v>77</v>
      </c>
      <c r="H154" s="43"/>
      <c r="I154" s="43"/>
      <c r="J154" s="43"/>
      <c r="K154" s="43"/>
      <c r="L154" s="33">
        <f>INDEX('91 Hydrogenated veg oil'!$D$4:$H$59,MATCH(SUP_Biofuels!Y154,'91 Hydrogenated veg oil'!$B$4:$B$59,0),MATCH(SUP_Biofuels!$I149,'91 Hydrogenated veg oil'!$D$3:$H$3,0))*(SUM(K149:K152))</f>
        <v>3.886235294117648E-2</v>
      </c>
      <c r="M154" s="43"/>
      <c r="N154" s="43"/>
      <c r="O154" s="43"/>
      <c r="P154" s="40"/>
      <c r="Q154" s="43"/>
      <c r="R154" s="43"/>
      <c r="S154" s="43"/>
      <c r="T154" s="43"/>
      <c r="U154" s="43"/>
      <c r="V154" s="43"/>
      <c r="W154" s="43"/>
      <c r="X154" s="43"/>
      <c r="Y154" s="43" t="str">
        <f>Y146</f>
        <v>Fuel Gas Output, MWh/MWh Total Input</v>
      </c>
    </row>
    <row r="155" spans="3:25">
      <c r="C155" s="43"/>
      <c r="D155" s="43"/>
      <c r="E155" s="43"/>
      <c r="F155" s="43"/>
      <c r="G155" s="43" t="s">
        <v>78</v>
      </c>
      <c r="H155" s="43"/>
      <c r="I155" s="43"/>
      <c r="J155" s="43"/>
      <c r="K155" s="43"/>
      <c r="L155" s="33">
        <f>INDEX('91 Hydrogenated veg oil'!$D$4:$H$59,MATCH(SUP_Biofuels!Y155,'91 Hydrogenated veg oil'!$B$4:$B$59,0),MATCH(SUP_Biofuels!$I149,'91 Hydrogenated veg oil'!$D$3:$H$3,0))*(SUM(K149:K152))</f>
        <v>3.2385294117647068E-2</v>
      </c>
      <c r="M155" s="43"/>
      <c r="N155" s="43"/>
      <c r="O155" s="43"/>
      <c r="P155" s="40"/>
      <c r="Q155" s="43"/>
      <c r="R155" s="43"/>
      <c r="S155" s="43"/>
      <c r="T155" s="43"/>
      <c r="U155" s="43"/>
      <c r="V155" s="43"/>
      <c r="W155" s="43"/>
      <c r="X155" s="43"/>
      <c r="Y155" s="43" t="str">
        <f>Y147</f>
        <v>LPG Output, MWh/MWh Total Input</v>
      </c>
    </row>
    <row r="156" spans="3:25" ht="15" thickBot="1">
      <c r="C156" s="46"/>
      <c r="D156" s="46"/>
      <c r="E156" s="46"/>
      <c r="F156" s="46"/>
      <c r="G156" s="7" t="s">
        <v>216</v>
      </c>
      <c r="H156" s="46"/>
      <c r="I156" s="46"/>
      <c r="J156" s="46"/>
      <c r="K156" s="46"/>
      <c r="L156" s="48">
        <f>INDEX('91 Hydrogenated veg oil'!$D$4:$H$59,MATCH(SUP_Biofuels!Y156,'91 Hydrogenated veg oil'!$B$4:$B$59,0),MATCH(SUP_Biofuels!$I149,'91 Hydrogenated veg oil'!$D$3:$H$3,0))*(SUM(K149:K152))</f>
        <v>4.1865352941176477E-3</v>
      </c>
      <c r="M156" s="46"/>
      <c r="N156" s="46"/>
      <c r="O156" s="46"/>
      <c r="P156" s="49"/>
      <c r="Q156" s="46"/>
      <c r="R156" s="46"/>
      <c r="S156" s="46"/>
      <c r="T156" s="46"/>
      <c r="U156" s="46"/>
      <c r="V156" s="46"/>
      <c r="W156" s="46"/>
      <c r="X156" s="46"/>
      <c r="Y156" s="47" t="str">
        <f>Y148</f>
        <v>District Heating Output, MWh/MWh Total input</v>
      </c>
    </row>
    <row r="157" spans="3:25" ht="15.6">
      <c r="C157" s="54" t="str">
        <f>"SUP"&amp;F157&amp;RIGHT(E157,3)&amp;IF(RIGHT(D157,7)="Central","C3","D3")</f>
        <v>SUPDSB1CRBC3</v>
      </c>
      <c r="D157" s="57" t="str">
        <f>'91 Hydrogenated veg oil'!D2&amp;" Central"</f>
        <v>HVO / renwable diesel Central</v>
      </c>
      <c r="E157" s="17" t="s">
        <v>1761</v>
      </c>
      <c r="F157" s="17" t="s">
        <v>73</v>
      </c>
      <c r="G157" s="17"/>
      <c r="H157" s="17" t="s">
        <v>70</v>
      </c>
      <c r="I157" s="17">
        <f>'93 1st generation ethanol'!$D$3</f>
        <v>2015</v>
      </c>
      <c r="J157" s="19">
        <v>2030</v>
      </c>
      <c r="K157" s="33">
        <f>(INDEX('91 Hydrogenated veg oil'!$D$4:$H$59,MATCH(SUP_Biofuels!W157,'91 Hydrogenated veg oil'!$B$4:$B$59,0),MATCH(SUP_Biofuels!$I157,'91 Hydrogenated veg oil'!$D$3:$H$3,0)))/INDEX('91 Hydrogenated veg oil'!$D$4:$H$59,MATCH(SUP_Biofuels!X157,'91 Hydrogenated veg oil'!$B$4:$B$59,0),MATCH(SUP_Biofuels!$I157,'91 Hydrogenated veg oil'!$D$3:$H$3,0))</f>
        <v>1.0364705882352943</v>
      </c>
      <c r="L157" s="33"/>
      <c r="M157" s="34">
        <f>INDEX('91 Hydrogenated veg oil'!$D$4:$H$59,MATCH(SUP_Biofuels!M$8,'91 Hydrogenated veg oil'!$B$4:$B$59,0),MATCH(SUP_Biofuels!$I157,'91 Hydrogenated veg oil'!$D$3:$H$3,0))</f>
        <v>25</v>
      </c>
      <c r="N157" s="35">
        <f>INDEX('91 Hydrogenated veg oil'!$D$4:$H$59,MATCH(SUP_Biofuels!N$8,'91 Hydrogenated veg oil'!$B$4:$B$59,0),MATCH(SUP_Biofuels!$I157,'91 Hydrogenated veg oil'!$D$3:$H$3,0))*7.45</f>
        <v>5.6991638498487811</v>
      </c>
      <c r="O157" s="35">
        <f>INDEX('91 Hydrogenated veg oil'!$D$4:$H$59,MATCH(SUP_Biofuels!O$8,'91 Hydrogenated veg oil'!$B$4:$B$59,0),MATCH(SUP_Biofuels!$I157,'91 Hydrogenated veg oil'!$D$3:$H$3,0))*7.45</f>
        <v>0.26507738836505962</v>
      </c>
      <c r="P157" s="35">
        <f>INDEX('91 Hydrogenated veg oil'!$D$4:$H$59,MATCH(SUP_Biofuels!P$8,'91 Hydrogenated veg oil'!$B$4:$B$59,0),MATCH(SUP_Biofuels!$I157,'91 Hydrogenated veg oil'!$D$3:$H$3,0))*7.45/3.6</f>
        <v>17.551468976592265</v>
      </c>
      <c r="Q157" s="33">
        <f>1-INDEX('91 Hydrogenated veg oil'!$D$4:$H$59,MATCH(SUP_Biofuels!Q$7,'91 Hydrogenated veg oil'!$B$4:$B$59,0),MATCH(SUP_Biofuels!$I157,'91 Hydrogenated veg oil'!$D$3:$H$3,0))/52-INDEX('91 Hydrogenated veg oil'!$D$4:$H$59,MATCH(SUP_Biofuels!Q$8,'91 Hydrogenated veg oil'!$B$4:$B$59,0),MATCH(SUP_Biofuels!$I157,'91 Hydrogenated veg oil'!$D$3:$H$3,0))/100</f>
        <v>0.96153846153846156</v>
      </c>
      <c r="R157" s="36">
        <f>$R$39</f>
        <v>3.1536000000000002E-2</v>
      </c>
      <c r="S157" s="34">
        <f>INDEX('91 Hydrogenated veg oil'!$D$4:$H$59,MATCH(SUP_Biofuels!S$8,'91 Hydrogenated veg oil'!$B$4:$B$59,0),MATCH(SUP_Biofuels!$I157,'91 Hydrogenated veg oil'!$D$3:$H$3,0))</f>
        <v>2</v>
      </c>
      <c r="T157" s="34"/>
      <c r="U157" s="37"/>
      <c r="V157" s="38" t="s">
        <v>74</v>
      </c>
      <c r="W157" s="17" t="str">
        <f>W117</f>
        <v>Feedstock Consumption, MWh/MWh Total Inputs</v>
      </c>
      <c r="X157" s="17" t="str">
        <f>X117</f>
        <v>HVO Output, MWh/MWh Total Input</v>
      </c>
      <c r="Y157" s="17"/>
    </row>
    <row r="158" spans="3:25">
      <c r="C158" s="17"/>
      <c r="D158" s="17"/>
      <c r="E158" s="17" t="s">
        <v>1386</v>
      </c>
      <c r="F158" s="17"/>
      <c r="G158" s="17"/>
      <c r="H158" s="17"/>
      <c r="I158" s="17"/>
      <c r="J158" s="17"/>
      <c r="K158" s="33">
        <f>(INDEX('91 Hydrogenated veg oil'!$D$4:$H$59,MATCH(SUP_Biofuels!W158,'91 Hydrogenated veg oil'!$B$4:$B$59,0),MATCH(SUP_Biofuels!$I157,'91 Hydrogenated veg oil'!$D$3:$H$3,0)))/INDEX('91 Hydrogenated veg oil'!$D$4:$H$59,MATCH(SUP_Biofuels!X157,'91 Hydrogenated veg oil'!$B$4:$B$59,0),MATCH(SUP_Biofuels!$I157,'91 Hydrogenated veg oil'!$D$3:$H$3,0))</f>
        <v>0.12352941176470589</v>
      </c>
      <c r="L158" s="33"/>
      <c r="M158" s="39"/>
      <c r="N158" s="40"/>
      <c r="O158" s="40"/>
      <c r="P158" s="40"/>
      <c r="Q158" s="41"/>
      <c r="R158" s="42"/>
      <c r="S158" s="39"/>
      <c r="T158" s="39"/>
      <c r="U158" s="43"/>
      <c r="V158" s="43"/>
      <c r="W158" s="17" t="str">
        <f>W118</f>
        <v>Hydrogen Consumption, MWh/MWh Total Inputs</v>
      </c>
      <c r="X158" s="17"/>
      <c r="Y158" s="17"/>
    </row>
    <row r="159" spans="3:25">
      <c r="C159" s="43"/>
      <c r="D159" s="43"/>
      <c r="E159" s="43" t="s">
        <v>71</v>
      </c>
      <c r="F159" s="43"/>
      <c r="G159" s="43"/>
      <c r="H159" s="43"/>
      <c r="I159" s="43"/>
      <c r="J159" s="43"/>
      <c r="K159" s="33">
        <f>(INDEX('91 Hydrogenated veg oil'!$D$4:$H$59,MATCH(SUP_Biofuels!W159,'91 Hydrogenated veg oil'!$B$4:$B$59,0),MATCH(SUP_Biofuels!$I157,'91 Hydrogenated veg oil'!$D$3:$H$3,0)))/INDEX('91 Hydrogenated veg oil'!$D$4:$H$59,MATCH(SUP_Biofuels!X157,'91 Hydrogenated veg oil'!$B$4:$B$59,0),MATCH(SUP_Biofuels!$I157,'91 Hydrogenated veg oil'!$D$3:$H$3,0))</f>
        <v>9.4117647058823539E-3</v>
      </c>
      <c r="L159" s="43"/>
      <c r="M159" s="43"/>
      <c r="N159" s="43"/>
      <c r="O159" s="43"/>
      <c r="P159" s="40"/>
      <c r="Q159" s="43"/>
      <c r="R159" s="43"/>
      <c r="S159" s="43"/>
      <c r="T159" s="43"/>
      <c r="U159" s="43"/>
      <c r="V159" s="43"/>
      <c r="W159" s="17" t="str">
        <f>W119</f>
        <v>Electricity Consumption, MWh/MWh Total Inputs</v>
      </c>
      <c r="X159" s="43"/>
      <c r="Y159" s="43"/>
    </row>
    <row r="160" spans="3:25">
      <c r="C160" s="43"/>
      <c r="D160" s="43"/>
      <c r="E160" s="43" t="s">
        <v>1760</v>
      </c>
      <c r="F160" s="43"/>
      <c r="G160" s="43"/>
      <c r="H160" s="43"/>
      <c r="I160" s="43"/>
      <c r="J160" s="43"/>
      <c r="K160" s="33">
        <f>(INDEX('91 Hydrogenated veg oil'!$D$4:$H$59,MATCH(SUP_Biofuels!W160,'91 Hydrogenated veg oil'!$B$4:$B$59,0),MATCH(SUP_Biofuels!$I157,'91 Hydrogenated veg oil'!$D$3:$H$3,0)))/INDEX('91 Hydrogenated veg oil'!$D$4:$H$59,MATCH(SUP_Biofuels!X157,'91 Hydrogenated veg oil'!$B$4:$B$59,0),MATCH(SUP_Biofuels!$I157,'91 Hydrogenated veg oil'!$D$3:$H$3,0))</f>
        <v>8.2352941176470594E-3</v>
      </c>
      <c r="L160" s="43"/>
      <c r="M160" s="43"/>
      <c r="N160" s="43"/>
      <c r="O160" s="43"/>
      <c r="P160" s="40"/>
      <c r="Q160" s="43"/>
      <c r="R160" s="43"/>
      <c r="S160" s="43"/>
      <c r="T160" s="43"/>
      <c r="U160" s="43"/>
      <c r="V160" s="43"/>
      <c r="W160" s="17" t="str">
        <f>W120</f>
        <v>Natural Gas Consumption, MWh/MWh Total Inputs</v>
      </c>
      <c r="X160" s="43"/>
      <c r="Y160" s="43"/>
    </row>
    <row r="161" spans="3:25">
      <c r="C161" s="43"/>
      <c r="D161" s="43"/>
      <c r="E161" s="43"/>
      <c r="F161" s="43"/>
      <c r="G161" s="43" t="s">
        <v>76</v>
      </c>
      <c r="H161" s="43"/>
      <c r="I161" s="43"/>
      <c r="J161" s="43"/>
      <c r="K161" s="43"/>
      <c r="L161" s="33">
        <f>INDEX('91 Hydrogenated veg oil'!$D$4:$H$59,MATCH(SUP_Biofuels!Y161,'91 Hydrogenated veg oil'!$B$4:$B$59,0),MATCH(SUP_Biofuels!$I157,'91 Hydrogenated veg oil'!$D$3:$H$3,0))*(SUM(K157:K160))</f>
        <v>7.772470588235296E-2</v>
      </c>
      <c r="M161" s="43"/>
      <c r="N161" s="43"/>
      <c r="O161" s="43"/>
      <c r="P161" s="40"/>
      <c r="Q161" s="43"/>
      <c r="R161" s="43"/>
      <c r="S161" s="43"/>
      <c r="T161" s="43"/>
      <c r="U161" s="43"/>
      <c r="V161" s="43"/>
      <c r="W161" s="43"/>
      <c r="X161" s="43"/>
      <c r="Y161" s="17" t="str">
        <f>Y121</f>
        <v>Naphta Output, MWh/MWh Total Input</v>
      </c>
    </row>
    <row r="162" spans="3:25">
      <c r="C162" s="43"/>
      <c r="D162" s="43"/>
      <c r="E162" s="43"/>
      <c r="F162" s="43"/>
      <c r="G162" s="43" t="s">
        <v>77</v>
      </c>
      <c r="H162" s="43"/>
      <c r="I162" s="43"/>
      <c r="J162" s="43"/>
      <c r="K162" s="43"/>
      <c r="L162" s="33">
        <f>INDEX('91 Hydrogenated veg oil'!$D$4:$H$59,MATCH(SUP_Biofuels!Y162,'91 Hydrogenated veg oil'!$B$4:$B$59,0),MATCH(SUP_Biofuels!$I157,'91 Hydrogenated veg oil'!$D$3:$H$3,0))*(SUM(K157:K160))</f>
        <v>3.886235294117648E-2</v>
      </c>
      <c r="M162" s="43"/>
      <c r="N162" s="43"/>
      <c r="O162" s="43"/>
      <c r="P162" s="40"/>
      <c r="Q162" s="43"/>
      <c r="R162" s="43"/>
      <c r="S162" s="43"/>
      <c r="T162" s="43"/>
      <c r="U162" s="43"/>
      <c r="V162" s="43"/>
      <c r="W162" s="43"/>
      <c r="X162" s="43"/>
      <c r="Y162" s="17" t="str">
        <f>Y122</f>
        <v>Fuel Gas Output, MWh/MWh Total Input</v>
      </c>
    </row>
    <row r="163" spans="3:25">
      <c r="C163" s="43"/>
      <c r="D163" s="43"/>
      <c r="E163" s="43"/>
      <c r="F163" s="43"/>
      <c r="G163" s="43" t="s">
        <v>78</v>
      </c>
      <c r="H163" s="43"/>
      <c r="I163" s="43"/>
      <c r="J163" s="43"/>
      <c r="K163" s="43"/>
      <c r="L163" s="33">
        <f>INDEX('91 Hydrogenated veg oil'!$D$4:$H$59,MATCH(SUP_Biofuels!Y163,'91 Hydrogenated veg oil'!$B$4:$B$59,0),MATCH(SUP_Biofuels!$I157,'91 Hydrogenated veg oil'!$D$3:$H$3,0))*(SUM(K157:K160))</f>
        <v>3.2385294117647068E-2</v>
      </c>
      <c r="M163" s="43"/>
      <c r="N163" s="43"/>
      <c r="O163" s="43"/>
      <c r="P163" s="40"/>
      <c r="Q163" s="43"/>
      <c r="R163" s="43"/>
      <c r="S163" s="43"/>
      <c r="T163" s="43"/>
      <c r="U163" s="43"/>
      <c r="V163" s="43"/>
      <c r="W163" s="43"/>
      <c r="X163" s="43"/>
      <c r="Y163" s="17" t="str">
        <f>Y123</f>
        <v>LPG Output, MWh/MWh Total Input</v>
      </c>
    </row>
    <row r="164" spans="3:25">
      <c r="C164" s="43"/>
      <c r="D164" s="43"/>
      <c r="E164" s="43"/>
      <c r="F164" s="43"/>
      <c r="G164" s="7" t="s">
        <v>216</v>
      </c>
      <c r="H164" s="43"/>
      <c r="I164" s="43"/>
      <c r="J164" s="43"/>
      <c r="K164" s="43"/>
      <c r="L164" s="33">
        <f>INDEX('91 Hydrogenated veg oil'!$D$4:$H$59,MATCH(SUP_Biofuels!Y164,'91 Hydrogenated veg oil'!$B$4:$B$59,0),MATCH(SUP_Biofuels!$I157,'91 Hydrogenated veg oil'!$D$3:$H$3,0))*(SUM(K157:K160))</f>
        <v>4.1865352941176477E-3</v>
      </c>
      <c r="M164" s="43"/>
      <c r="N164" s="43"/>
      <c r="O164" s="43"/>
      <c r="P164" s="40"/>
      <c r="Q164" s="43"/>
      <c r="R164" s="43"/>
      <c r="S164" s="43"/>
      <c r="T164" s="43"/>
      <c r="U164" s="43"/>
      <c r="V164" s="43"/>
      <c r="W164" s="43"/>
      <c r="X164" s="43"/>
      <c r="Y164" s="17" t="str">
        <f>Y124</f>
        <v>District Heating Output, MWh/MWh Total input</v>
      </c>
    </row>
    <row r="165" spans="3:25" ht="15.6">
      <c r="C165" s="17"/>
      <c r="D165" s="32"/>
      <c r="E165" s="17" t="str">
        <f>E157</f>
        <v>SUPCRB</v>
      </c>
      <c r="F165" s="17" t="str">
        <f>F157</f>
        <v>DSB1</v>
      </c>
      <c r="G165" s="17"/>
      <c r="H165" s="17" t="s">
        <v>70</v>
      </c>
      <c r="I165" s="17">
        <v>2020</v>
      </c>
      <c r="J165" s="17"/>
      <c r="K165" s="33">
        <f>(INDEX('91 Hydrogenated veg oil'!$D$4:$H$59,MATCH(SUP_Biofuels!W165,'91 Hydrogenated veg oil'!$B$4:$B$59,0),MATCH(SUP_Biofuels!$I165,'91 Hydrogenated veg oil'!$D$3:$H$3,0)))/INDEX('91 Hydrogenated veg oil'!$D$4:$H$59,MATCH(SUP_Biofuels!X165,'91 Hydrogenated veg oil'!$B$4:$B$59,0),MATCH(SUP_Biofuels!$I165,'91 Hydrogenated veg oil'!$D$3:$H$3,0))</f>
        <v>1.0364705882352943</v>
      </c>
      <c r="L165" s="33"/>
      <c r="M165" s="34">
        <f>INDEX('91 Hydrogenated veg oil'!$D$4:$H$59,MATCH(SUP_Biofuels!M$8,'91 Hydrogenated veg oil'!$B$4:$B$59,0),MATCH(SUP_Biofuels!$I165,'91 Hydrogenated veg oil'!$D$3:$H$3,0))</f>
        <v>25</v>
      </c>
      <c r="N165" s="35">
        <f>INDEX('91 Hydrogenated veg oil'!$D$4:$H$59,MATCH(SUP_Biofuels!N$8,'91 Hydrogenated veg oil'!$B$4:$B$59,0),MATCH(SUP_Biofuels!$I165,'91 Hydrogenated veg oil'!$D$3:$H$3,0))*7.45</f>
        <v>5.6328945027575177</v>
      </c>
      <c r="O165" s="35">
        <f>INDEX('91 Hydrogenated veg oil'!$D$4:$H$59,MATCH(SUP_Biofuels!O$8,'91 Hydrogenated veg oil'!$B$4:$B$59,0),MATCH(SUP_Biofuels!$I165,'91 Hydrogenated veg oil'!$D$3:$H$3,0))*7.45</f>
        <v>0.26507738836505962</v>
      </c>
      <c r="P165" s="35">
        <f>INDEX('91 Hydrogenated veg oil'!$D$4:$H$59,MATCH(SUP_Biofuels!P$8,'91 Hydrogenated veg oil'!$B$4:$B$59,0),MATCH(SUP_Biofuels!$I165,'91 Hydrogenated veg oil'!$D$3:$H$3,0))*7.45/3.6</f>
        <v>17.551468976592265</v>
      </c>
      <c r="Q165" s="33">
        <f>1-INDEX('91 Hydrogenated veg oil'!$D$4:$H$59,MATCH(SUP_Biofuels!Q$7,'91 Hydrogenated veg oil'!$B$4:$B$59,0),MATCH(SUP_Biofuels!$I165,'91 Hydrogenated veg oil'!$D$3:$H$3,0))/52-INDEX('91 Hydrogenated veg oil'!$D$4:$H$59,MATCH(SUP_Biofuels!Q$8,'91 Hydrogenated veg oil'!$B$4:$B$59,0),MATCH(SUP_Biofuels!$I165,'91 Hydrogenated veg oil'!$D$3:$H$3,0))/100</f>
        <v>0.96153846153846156</v>
      </c>
      <c r="R165" s="36">
        <f>$R$39</f>
        <v>3.1536000000000002E-2</v>
      </c>
      <c r="S165" s="34">
        <f>INDEX('91 Hydrogenated veg oil'!$D$4:$H$59,MATCH(SUP_Biofuels!S$8,'91 Hydrogenated veg oil'!$B$4:$B$59,0),MATCH(SUP_Biofuels!$I165,'91 Hydrogenated veg oil'!$D$3:$H$3,0))</f>
        <v>2</v>
      </c>
      <c r="T165" s="34"/>
      <c r="U165" s="44"/>
      <c r="V165" s="45"/>
      <c r="W165" s="17" t="str">
        <f>W157</f>
        <v>Feedstock Consumption, MWh/MWh Total Inputs</v>
      </c>
      <c r="X165" s="17" t="str">
        <f>X157</f>
        <v>HVO Output, MWh/MWh Total Input</v>
      </c>
      <c r="Y165" s="17"/>
    </row>
    <row r="166" spans="3:25">
      <c r="C166" s="17"/>
      <c r="D166" s="17"/>
      <c r="E166" s="17" t="str">
        <f>E158</f>
        <v>SUPH2</v>
      </c>
      <c r="F166" s="17"/>
      <c r="G166" s="17"/>
      <c r="H166" s="17"/>
      <c r="I166" s="17"/>
      <c r="J166" s="17"/>
      <c r="K166" s="33">
        <f>(INDEX('91 Hydrogenated veg oil'!$D$4:$H$59,MATCH(SUP_Biofuels!W166,'91 Hydrogenated veg oil'!$B$4:$B$59,0),MATCH(SUP_Biofuels!$I165,'91 Hydrogenated veg oil'!$D$3:$H$3,0)))/INDEX('91 Hydrogenated veg oil'!$D$4:$H$59,MATCH(SUP_Biofuels!X165,'91 Hydrogenated veg oil'!$B$4:$B$59,0),MATCH(SUP_Biofuels!$I165,'91 Hydrogenated veg oil'!$D$3:$H$3,0))</f>
        <v>0.12352941176470589</v>
      </c>
      <c r="L166" s="33"/>
      <c r="M166" s="39"/>
      <c r="N166" s="40"/>
      <c r="O166" s="40"/>
      <c r="P166" s="40"/>
      <c r="Q166" s="41"/>
      <c r="R166" s="42"/>
      <c r="S166" s="39"/>
      <c r="T166" s="39"/>
      <c r="U166" s="43"/>
      <c r="V166" s="43"/>
      <c r="W166" s="17" t="str">
        <f>W158</f>
        <v>Hydrogen Consumption, MWh/MWh Total Inputs</v>
      </c>
      <c r="X166" s="17"/>
      <c r="Y166" s="17"/>
    </row>
    <row r="167" spans="3:25">
      <c r="C167" s="43"/>
      <c r="D167" s="43"/>
      <c r="E167" s="17" t="str">
        <f>E159</f>
        <v>SUPELC</v>
      </c>
      <c r="F167" s="43"/>
      <c r="G167" s="43"/>
      <c r="H167" s="43"/>
      <c r="I167" s="43"/>
      <c r="J167" s="43"/>
      <c r="K167" s="33">
        <f>(INDEX('91 Hydrogenated veg oil'!$D$4:$H$59,MATCH(SUP_Biofuels!W167,'91 Hydrogenated veg oil'!$B$4:$B$59,0),MATCH(SUP_Biofuels!$I165,'91 Hydrogenated veg oil'!$D$3:$H$3,0)))/INDEX('91 Hydrogenated veg oil'!$D$4:$H$59,MATCH(SUP_Biofuels!X165,'91 Hydrogenated veg oil'!$B$4:$B$59,0),MATCH(SUP_Biofuels!$I165,'91 Hydrogenated veg oil'!$D$3:$H$3,0))</f>
        <v>9.4117647058823539E-3</v>
      </c>
      <c r="L167" s="43"/>
      <c r="M167" s="43"/>
      <c r="N167" s="43"/>
      <c r="O167" s="43"/>
      <c r="P167" s="40"/>
      <c r="Q167" s="43"/>
      <c r="R167" s="43"/>
      <c r="S167" s="43"/>
      <c r="T167" s="43"/>
      <c r="U167" s="43"/>
      <c r="V167" s="43"/>
      <c r="W167" s="17" t="str">
        <f>W159</f>
        <v>Electricity Consumption, MWh/MWh Total Inputs</v>
      </c>
      <c r="X167" s="43"/>
      <c r="Y167" s="43"/>
    </row>
    <row r="168" spans="3:25">
      <c r="C168" s="43"/>
      <c r="D168" s="43"/>
      <c r="E168" s="17" t="str">
        <f>E160</f>
        <v>SUPNGA,SUPSNG,SUPH2</v>
      </c>
      <c r="F168" s="43"/>
      <c r="G168" s="43"/>
      <c r="H168" s="43"/>
      <c r="I168" s="43"/>
      <c r="J168" s="43"/>
      <c r="K168" s="33">
        <f>(INDEX('91 Hydrogenated veg oil'!$D$4:$H$59,MATCH(SUP_Biofuels!W168,'91 Hydrogenated veg oil'!$B$4:$B$59,0),MATCH(SUP_Biofuels!$I165,'91 Hydrogenated veg oil'!$D$3:$H$3,0)))/INDEX('91 Hydrogenated veg oil'!$D$4:$H$59,MATCH(SUP_Biofuels!X165,'91 Hydrogenated veg oil'!$B$4:$B$59,0),MATCH(SUP_Biofuels!$I165,'91 Hydrogenated veg oil'!$D$3:$H$3,0))</f>
        <v>8.2352941176470594E-3</v>
      </c>
      <c r="L168" s="43"/>
      <c r="M168" s="43"/>
      <c r="N168" s="43"/>
      <c r="O168" s="43"/>
      <c r="P168" s="40"/>
      <c r="Q168" s="43"/>
      <c r="R168" s="43"/>
      <c r="S168" s="43"/>
      <c r="T168" s="43"/>
      <c r="U168" s="43"/>
      <c r="V168" s="43"/>
      <c r="W168" s="17" t="str">
        <f>W160</f>
        <v>Natural Gas Consumption, MWh/MWh Total Inputs</v>
      </c>
      <c r="X168" s="43"/>
      <c r="Y168" s="43"/>
    </row>
    <row r="169" spans="3:25" ht="15.6">
      <c r="C169" s="43"/>
      <c r="D169" s="32"/>
      <c r="E169" s="43"/>
      <c r="F169" s="43"/>
      <c r="G169" s="17" t="str">
        <f>G161</f>
        <v>LVN</v>
      </c>
      <c r="H169" s="43"/>
      <c r="I169" s="43"/>
      <c r="J169" s="43"/>
      <c r="K169" s="43"/>
      <c r="L169" s="33">
        <f>INDEX('91 Hydrogenated veg oil'!$D$4:$H$59,MATCH(SUP_Biofuels!Y169,'91 Hydrogenated veg oil'!$B$4:$B$59,0),MATCH(SUP_Biofuels!$I165,'91 Hydrogenated veg oil'!$D$3:$H$3,0))*(SUM(K165:K168))</f>
        <v>7.772470588235296E-2</v>
      </c>
      <c r="M169" s="43"/>
      <c r="N169" s="43"/>
      <c r="O169" s="43"/>
      <c r="P169" s="40"/>
      <c r="Q169" s="43"/>
      <c r="R169" s="43"/>
      <c r="S169" s="43"/>
      <c r="T169" s="43"/>
      <c r="U169" s="43"/>
      <c r="V169" s="45"/>
      <c r="W169" s="43"/>
      <c r="X169" s="43"/>
      <c r="Y169" s="17" t="str">
        <f>Y161</f>
        <v>Naphta Output, MWh/MWh Total Input</v>
      </c>
    </row>
    <row r="170" spans="3:25">
      <c r="C170" s="43"/>
      <c r="D170" s="43"/>
      <c r="E170" s="43"/>
      <c r="F170" s="43"/>
      <c r="G170" s="43" t="s">
        <v>77</v>
      </c>
      <c r="H170" s="43"/>
      <c r="I170" s="43"/>
      <c r="J170" s="43"/>
      <c r="K170" s="43"/>
      <c r="L170" s="33">
        <f>INDEX('91 Hydrogenated veg oil'!$D$4:$H$59,MATCH(SUP_Biofuels!Y170,'91 Hydrogenated veg oil'!$B$4:$B$59,0),MATCH(SUP_Biofuels!$I165,'91 Hydrogenated veg oil'!$D$3:$H$3,0))*(SUM(K165:K168))</f>
        <v>3.886235294117648E-2</v>
      </c>
      <c r="M170" s="43"/>
      <c r="N170" s="43"/>
      <c r="O170" s="43"/>
      <c r="P170" s="40"/>
      <c r="Q170" s="43"/>
      <c r="R170" s="43"/>
      <c r="S170" s="43"/>
      <c r="T170" s="43"/>
      <c r="U170" s="43"/>
      <c r="V170" s="43"/>
      <c r="W170" s="43"/>
      <c r="X170" s="43"/>
      <c r="Y170" s="17" t="str">
        <f>Y162</f>
        <v>Fuel Gas Output, MWh/MWh Total Input</v>
      </c>
    </row>
    <row r="171" spans="3:25">
      <c r="C171" s="43"/>
      <c r="D171" s="43"/>
      <c r="E171" s="43"/>
      <c r="F171" s="43"/>
      <c r="G171" s="43" t="s">
        <v>78</v>
      </c>
      <c r="H171" s="43"/>
      <c r="I171" s="43"/>
      <c r="J171" s="43"/>
      <c r="K171" s="43"/>
      <c r="L171" s="33">
        <f>INDEX('91 Hydrogenated veg oil'!$D$4:$H$59,MATCH(SUP_Biofuels!Y171,'91 Hydrogenated veg oil'!$B$4:$B$59,0),MATCH(SUP_Biofuels!$I165,'91 Hydrogenated veg oil'!$D$3:$H$3,0))*(SUM(K165:K168))</f>
        <v>3.2385294117647068E-2</v>
      </c>
      <c r="M171" s="43"/>
      <c r="N171" s="43"/>
      <c r="O171" s="43"/>
      <c r="P171" s="40"/>
      <c r="Q171" s="43"/>
      <c r="R171" s="43"/>
      <c r="S171" s="43"/>
      <c r="T171" s="43"/>
      <c r="U171" s="43"/>
      <c r="V171" s="43"/>
      <c r="W171" s="43"/>
      <c r="X171" s="43"/>
      <c r="Y171" s="17" t="str">
        <f>Y163</f>
        <v>LPG Output, MWh/MWh Total Input</v>
      </c>
    </row>
    <row r="172" spans="3:25">
      <c r="C172" s="43"/>
      <c r="D172" s="43"/>
      <c r="E172" s="43"/>
      <c r="F172" s="43"/>
      <c r="G172" s="7" t="s">
        <v>216</v>
      </c>
      <c r="H172" s="43"/>
      <c r="I172" s="43"/>
      <c r="J172" s="43"/>
      <c r="K172" s="43"/>
      <c r="L172" s="33">
        <f>INDEX('91 Hydrogenated veg oil'!$D$4:$H$59,MATCH(SUP_Biofuels!Y172,'91 Hydrogenated veg oil'!$B$4:$B$59,0),MATCH(SUP_Biofuels!$I165,'91 Hydrogenated veg oil'!$D$3:$H$3,0))*(SUM(K165:K168))</f>
        <v>4.1865352941176477E-3</v>
      </c>
      <c r="M172" s="43"/>
      <c r="N172" s="43"/>
      <c r="O172" s="43"/>
      <c r="P172" s="40"/>
      <c r="Q172" s="43"/>
      <c r="R172" s="43"/>
      <c r="S172" s="43"/>
      <c r="T172" s="43"/>
      <c r="U172" s="43"/>
      <c r="V172" s="43"/>
      <c r="W172" s="43"/>
      <c r="X172" s="43"/>
      <c r="Y172" s="17" t="str">
        <f>Y164</f>
        <v>District Heating Output, MWh/MWh Total input</v>
      </c>
    </row>
    <row r="173" spans="3:25">
      <c r="C173" s="43"/>
      <c r="D173" s="17"/>
      <c r="E173" s="17" t="str">
        <f>E165</f>
        <v>SUPCRB</v>
      </c>
      <c r="F173" s="17" t="str">
        <f>F165</f>
        <v>DSB1</v>
      </c>
      <c r="G173" s="17"/>
      <c r="H173" s="17" t="s">
        <v>70</v>
      </c>
      <c r="I173" s="17">
        <v>2030</v>
      </c>
      <c r="J173" s="17"/>
      <c r="K173" s="33">
        <f>(INDEX('91 Hydrogenated veg oil'!$D$4:$H$59,MATCH(SUP_Biofuels!W173,'91 Hydrogenated veg oil'!$B$4:$B$59,0),MATCH(SUP_Biofuels!$I173,'91 Hydrogenated veg oil'!$D$3:$H$3,0)))/INDEX('91 Hydrogenated veg oil'!$D$4:$H$59,MATCH(SUP_Biofuels!X173,'91 Hydrogenated veg oil'!$B$4:$B$59,0),MATCH(SUP_Biofuels!$I173,'91 Hydrogenated veg oil'!$D$3:$H$3,0))</f>
        <v>1.0364705882352943</v>
      </c>
      <c r="L173" s="33"/>
      <c r="M173" s="34">
        <f>INDEX('91 Hydrogenated veg oil'!$D$4:$H$59,MATCH(SUP_Biofuels!M$8,'91 Hydrogenated veg oil'!$B$4:$B$59,0),MATCH(SUP_Biofuels!$I173,'91 Hydrogenated veg oil'!$D$3:$H$3,0))</f>
        <v>25</v>
      </c>
      <c r="N173" s="35">
        <f>INDEX('91 Hydrogenated veg oil'!$D$4:$H$59,MATCH(SUP_Biofuels!N$8,'91 Hydrogenated veg oil'!$B$4:$B$59,0),MATCH(SUP_Biofuels!$I173,'91 Hydrogenated veg oil'!$D$3:$H$3,0))*7.45</f>
        <v>4.7497048406139317</v>
      </c>
      <c r="O173" s="35">
        <f>INDEX('91 Hydrogenated veg oil'!$D$4:$H$59,MATCH(SUP_Biofuels!O$8,'91 Hydrogenated veg oil'!$B$4:$B$59,0),MATCH(SUP_Biofuels!$I173,'91 Hydrogenated veg oil'!$D$3:$H$3,0))*7.45</f>
        <v>0.26387249114521838</v>
      </c>
      <c r="P173" s="35">
        <f>INDEX('91 Hydrogenated veg oil'!$D$4:$H$59,MATCH(SUP_Biofuels!P$8,'91 Hydrogenated veg oil'!$B$4:$B$59,0),MATCH(SUP_Biofuels!$I173,'91 Hydrogenated veg oil'!$D$3:$H$3,0))*7.45/3.6</f>
        <v>17.551468976592272</v>
      </c>
      <c r="Q173" s="33">
        <f>1-INDEX('91 Hydrogenated veg oil'!$D$4:$H$59,MATCH(SUP_Biofuels!Q$7,'91 Hydrogenated veg oil'!$B$4:$B$59,0),MATCH(SUP_Biofuels!$I173,'91 Hydrogenated veg oil'!$D$3:$H$3,0))/52-INDEX('91 Hydrogenated veg oil'!$D$4:$H$59,MATCH(SUP_Biofuels!Q$8,'91 Hydrogenated veg oil'!$B$4:$B$59,0),MATCH(SUP_Biofuels!$I173,'91 Hydrogenated veg oil'!$D$3:$H$3,0))/100</f>
        <v>0.96153846153846156</v>
      </c>
      <c r="R173" s="36">
        <f>$R$39</f>
        <v>3.1536000000000002E-2</v>
      </c>
      <c r="S173" s="34">
        <f>INDEX('91 Hydrogenated veg oil'!$D$4:$H$59,MATCH(SUP_Biofuels!S$8,'91 Hydrogenated veg oil'!$B$4:$B$59,0),MATCH(SUP_Biofuels!$I173,'91 Hydrogenated veg oil'!$D$3:$H$3,0))</f>
        <v>2</v>
      </c>
      <c r="T173" s="34"/>
      <c r="U173" s="44"/>
      <c r="V173" s="43"/>
      <c r="W173" s="17" t="str">
        <f>W165</f>
        <v>Feedstock Consumption, MWh/MWh Total Inputs</v>
      </c>
      <c r="X173" s="17" t="str">
        <f>X165</f>
        <v>HVO Output, MWh/MWh Total Input</v>
      </c>
      <c r="Y173" s="17"/>
    </row>
    <row r="174" spans="3:25">
      <c r="C174" s="43"/>
      <c r="D174" s="43"/>
      <c r="E174" s="17" t="str">
        <f>E166</f>
        <v>SUPH2</v>
      </c>
      <c r="F174" s="17"/>
      <c r="G174" s="17"/>
      <c r="H174" s="17"/>
      <c r="I174" s="17"/>
      <c r="J174" s="17"/>
      <c r="K174" s="33">
        <f>(INDEX('91 Hydrogenated veg oil'!$D$4:$H$59,MATCH(SUP_Biofuels!W174,'91 Hydrogenated veg oil'!$B$4:$B$59,0),MATCH(SUP_Biofuels!$I173,'91 Hydrogenated veg oil'!$D$3:$H$3,0)))/INDEX('91 Hydrogenated veg oil'!$D$4:$H$59,MATCH(SUP_Biofuels!X173,'91 Hydrogenated veg oil'!$B$4:$B$59,0),MATCH(SUP_Biofuels!$I173,'91 Hydrogenated veg oil'!$D$3:$H$3,0))</f>
        <v>0.12352941176470589</v>
      </c>
      <c r="L174" s="33"/>
      <c r="M174" s="39"/>
      <c r="N174" s="40"/>
      <c r="O174" s="40"/>
      <c r="P174" s="40"/>
      <c r="Q174" s="41"/>
      <c r="R174" s="42"/>
      <c r="S174" s="39"/>
      <c r="T174" s="39"/>
      <c r="U174" s="43"/>
      <c r="V174" s="43"/>
      <c r="W174" s="17" t="str">
        <f>W166</f>
        <v>Hydrogen Consumption, MWh/MWh Total Inputs</v>
      </c>
      <c r="X174" s="17"/>
      <c r="Y174" s="17"/>
    </row>
    <row r="175" spans="3:25">
      <c r="C175" s="43"/>
      <c r="D175" s="43"/>
      <c r="E175" s="17" t="str">
        <f>E167</f>
        <v>SUPELC</v>
      </c>
      <c r="F175" s="43"/>
      <c r="G175" s="43"/>
      <c r="H175" s="43"/>
      <c r="I175" s="43"/>
      <c r="J175" s="43"/>
      <c r="K175" s="33">
        <f>(INDEX('91 Hydrogenated veg oil'!$D$4:$H$59,MATCH(SUP_Biofuels!W175,'91 Hydrogenated veg oil'!$B$4:$B$59,0),MATCH(SUP_Biofuels!$I173,'91 Hydrogenated veg oil'!$D$3:$H$3,0)))/INDEX('91 Hydrogenated veg oil'!$D$4:$H$59,MATCH(SUP_Biofuels!X173,'91 Hydrogenated veg oil'!$B$4:$B$59,0),MATCH(SUP_Biofuels!$I173,'91 Hydrogenated veg oil'!$D$3:$H$3,0))</f>
        <v>9.4117647058823539E-3</v>
      </c>
      <c r="L175" s="43"/>
      <c r="M175" s="43"/>
      <c r="N175" s="43"/>
      <c r="O175" s="43"/>
      <c r="P175" s="40"/>
      <c r="Q175" s="43"/>
      <c r="R175" s="43"/>
      <c r="S175" s="43"/>
      <c r="T175" s="43"/>
      <c r="U175" s="43"/>
      <c r="V175" s="43"/>
      <c r="W175" s="17" t="str">
        <f>W167</f>
        <v>Electricity Consumption, MWh/MWh Total Inputs</v>
      </c>
      <c r="X175" s="43"/>
      <c r="Y175" s="43"/>
    </row>
    <row r="176" spans="3:25" ht="15.6">
      <c r="C176" s="43"/>
      <c r="D176" s="32"/>
      <c r="E176" s="17" t="str">
        <f>E168</f>
        <v>SUPNGA,SUPSNG,SUPH2</v>
      </c>
      <c r="F176" s="43"/>
      <c r="G176" s="43"/>
      <c r="H176" s="43"/>
      <c r="I176" s="43"/>
      <c r="J176" s="43"/>
      <c r="K176" s="33">
        <f>(INDEX('91 Hydrogenated veg oil'!$D$4:$H$59,MATCH(SUP_Biofuels!W176,'91 Hydrogenated veg oil'!$B$4:$B$59,0),MATCH(SUP_Biofuels!$I173,'91 Hydrogenated veg oil'!$D$3:$H$3,0)))/INDEX('91 Hydrogenated veg oil'!$D$4:$H$59,MATCH(SUP_Biofuels!X173,'91 Hydrogenated veg oil'!$B$4:$B$59,0),MATCH(SUP_Biofuels!$I173,'91 Hydrogenated veg oil'!$D$3:$H$3,0))</f>
        <v>8.2352941176470594E-3</v>
      </c>
      <c r="L176" s="43"/>
      <c r="M176" s="43"/>
      <c r="N176" s="43"/>
      <c r="O176" s="43"/>
      <c r="P176" s="40"/>
      <c r="Q176" s="43"/>
      <c r="R176" s="43"/>
      <c r="S176" s="43"/>
      <c r="T176" s="43"/>
      <c r="U176" s="43"/>
      <c r="V176" s="45"/>
      <c r="W176" s="17" t="str">
        <f>W168</f>
        <v>Natural Gas Consumption, MWh/MWh Total Inputs</v>
      </c>
      <c r="X176" s="43"/>
      <c r="Y176" s="43"/>
    </row>
    <row r="177" spans="3:25">
      <c r="C177" s="43"/>
      <c r="D177" s="17"/>
      <c r="E177" s="43"/>
      <c r="F177" s="43"/>
      <c r="G177" s="17" t="str">
        <f>G169</f>
        <v>LVN</v>
      </c>
      <c r="H177" s="43"/>
      <c r="I177" s="43"/>
      <c r="J177" s="43"/>
      <c r="K177" s="43"/>
      <c r="L177" s="33">
        <f>INDEX('91 Hydrogenated veg oil'!$D$4:$H$59,MATCH(SUP_Biofuels!Y177,'91 Hydrogenated veg oil'!$B$4:$B$59,0),MATCH(SUP_Biofuels!$I173,'91 Hydrogenated veg oil'!$D$3:$H$3,0))*(SUM(K173:K176))</f>
        <v>7.772470588235296E-2</v>
      </c>
      <c r="M177" s="43"/>
      <c r="N177" s="43"/>
      <c r="O177" s="43"/>
      <c r="P177" s="40"/>
      <c r="Q177" s="43"/>
      <c r="R177" s="43"/>
      <c r="S177" s="43"/>
      <c r="T177" s="43"/>
      <c r="U177" s="43"/>
      <c r="V177" s="43"/>
      <c r="W177" s="43"/>
      <c r="X177" s="43"/>
      <c r="Y177" s="17" t="str">
        <f>Y169</f>
        <v>Naphta Output, MWh/MWh Total Input</v>
      </c>
    </row>
    <row r="178" spans="3:25">
      <c r="C178" s="43"/>
      <c r="D178" s="43"/>
      <c r="E178" s="43"/>
      <c r="F178" s="43"/>
      <c r="G178" s="43" t="s">
        <v>77</v>
      </c>
      <c r="H178" s="43"/>
      <c r="I178" s="43"/>
      <c r="J178" s="43"/>
      <c r="K178" s="43"/>
      <c r="L178" s="33">
        <f>INDEX('91 Hydrogenated veg oil'!$D$4:$H$59,MATCH(SUP_Biofuels!Y178,'91 Hydrogenated veg oil'!$B$4:$B$59,0),MATCH(SUP_Biofuels!$I173,'91 Hydrogenated veg oil'!$D$3:$H$3,0))*(SUM(K173:K176))</f>
        <v>3.886235294117648E-2</v>
      </c>
      <c r="M178" s="43"/>
      <c r="N178" s="43"/>
      <c r="O178" s="43"/>
      <c r="P178" s="40"/>
      <c r="Q178" s="43"/>
      <c r="R178" s="43"/>
      <c r="S178" s="43"/>
      <c r="T178" s="43"/>
      <c r="U178" s="43"/>
      <c r="V178" s="43"/>
      <c r="W178" s="43"/>
      <c r="X178" s="43"/>
      <c r="Y178" s="17" t="str">
        <f>Y170</f>
        <v>Fuel Gas Output, MWh/MWh Total Input</v>
      </c>
    </row>
    <row r="179" spans="3:25">
      <c r="C179" s="43"/>
      <c r="D179" s="43"/>
      <c r="E179" s="43"/>
      <c r="F179" s="43"/>
      <c r="G179" s="43" t="s">
        <v>78</v>
      </c>
      <c r="H179" s="43"/>
      <c r="I179" s="43"/>
      <c r="J179" s="43"/>
      <c r="K179" s="43"/>
      <c r="L179" s="33">
        <f>INDEX('91 Hydrogenated veg oil'!$D$4:$H$59,MATCH(SUP_Biofuels!Y179,'91 Hydrogenated veg oil'!$B$4:$B$59,0),MATCH(SUP_Biofuels!$I173,'91 Hydrogenated veg oil'!$D$3:$H$3,0))*(SUM(K173:K176))</f>
        <v>3.2385294117647068E-2</v>
      </c>
      <c r="M179" s="43"/>
      <c r="N179" s="43"/>
      <c r="O179" s="43"/>
      <c r="P179" s="40"/>
      <c r="Q179" s="43"/>
      <c r="R179" s="43"/>
      <c r="S179" s="43"/>
      <c r="T179" s="43"/>
      <c r="U179" s="43"/>
      <c r="V179" s="43"/>
      <c r="W179" s="43"/>
      <c r="X179" s="43"/>
      <c r="Y179" s="17" t="str">
        <f>Y171</f>
        <v>LPG Output, MWh/MWh Total Input</v>
      </c>
    </row>
    <row r="180" spans="3:25">
      <c r="C180" s="43"/>
      <c r="D180" s="43"/>
      <c r="E180" s="43"/>
      <c r="F180" s="43"/>
      <c r="G180" s="7" t="s">
        <v>216</v>
      </c>
      <c r="H180" s="43"/>
      <c r="I180" s="43"/>
      <c r="J180" s="43"/>
      <c r="K180" s="43"/>
      <c r="L180" s="33">
        <f>INDEX('91 Hydrogenated veg oil'!$D$4:$H$59,MATCH(SUP_Biofuels!Y180,'91 Hydrogenated veg oil'!$B$4:$B$59,0),MATCH(SUP_Biofuels!$I173,'91 Hydrogenated veg oil'!$D$3:$H$3,0))*(SUM(K173:K176))</f>
        <v>4.1865352941176477E-3</v>
      </c>
      <c r="M180" s="43"/>
      <c r="N180" s="43"/>
      <c r="O180" s="43"/>
      <c r="P180" s="40"/>
      <c r="Q180" s="43"/>
      <c r="R180" s="43"/>
      <c r="S180" s="43"/>
      <c r="T180" s="43"/>
      <c r="U180" s="43"/>
      <c r="V180" s="43"/>
      <c r="W180" s="43"/>
      <c r="X180" s="43"/>
      <c r="Y180" s="17" t="str">
        <f>Y172</f>
        <v>District Heating Output, MWh/MWh Total input</v>
      </c>
    </row>
    <row r="181" spans="3:25">
      <c r="C181" s="43"/>
      <c r="D181" s="43"/>
      <c r="E181" s="17" t="str">
        <f>E173</f>
        <v>SUPCRB</v>
      </c>
      <c r="F181" s="17" t="str">
        <f>F173</f>
        <v>DSB1</v>
      </c>
      <c r="G181" s="17"/>
      <c r="H181" s="17" t="s">
        <v>70</v>
      </c>
      <c r="I181" s="17">
        <v>2040</v>
      </c>
      <c r="J181" s="17"/>
      <c r="K181" s="33">
        <f>(INDEX('91 Hydrogenated veg oil'!$D$4:$H$59,MATCH(SUP_Biofuels!W181,'91 Hydrogenated veg oil'!$B$4:$B$59,0),MATCH(SUP_Biofuels!$I181,'91 Hydrogenated veg oil'!$D$3:$H$3,0)))/INDEX('91 Hydrogenated veg oil'!$D$4:$H$59,MATCH(SUP_Biofuels!X181,'91 Hydrogenated veg oil'!$B$4:$B$59,0),MATCH(SUP_Biofuels!$I181,'91 Hydrogenated veg oil'!$D$3:$H$3,0))</f>
        <v>1.0364705882352943</v>
      </c>
      <c r="L181" s="33"/>
      <c r="M181" s="34">
        <f>INDEX('91 Hydrogenated veg oil'!$D$4:$H$59,MATCH(SUP_Biofuels!M$8,'91 Hydrogenated veg oil'!$B$4:$B$59,0),MATCH(SUP_Biofuels!$I181,'91 Hydrogenated veg oil'!$D$3:$H$3,0))</f>
        <v>25</v>
      </c>
      <c r="N181" s="35">
        <f>INDEX('91 Hydrogenated veg oil'!$D$4:$H$59,MATCH(SUP_Biofuels!N$8,'91 Hydrogenated veg oil'!$B$4:$B$59,0),MATCH(SUP_Biofuels!$I181,'91 Hydrogenated veg oil'!$D$3:$H$3,0))*7.45</f>
        <v>4.4580800000000007</v>
      </c>
      <c r="O181" s="35">
        <f>INDEX('91 Hydrogenated veg oil'!$D$4:$H$59,MATCH(SUP_Biofuels!O$8,'91 Hydrogenated veg oil'!$B$4:$B$59,0),MATCH(SUP_Biofuels!$I181,'91 Hydrogenated veg oil'!$D$3:$H$3,0))*7.45</f>
        <v>0.26316883116883116</v>
      </c>
      <c r="P181" s="35">
        <f>INDEX('91 Hydrogenated veg oil'!$D$4:$H$59,MATCH(SUP_Biofuels!P$8,'91 Hydrogenated veg oil'!$B$4:$B$59,0),MATCH(SUP_Biofuels!$I181,'91 Hydrogenated veg oil'!$D$3:$H$3,0))*7.45/3.6</f>
        <v>17.551468976592268</v>
      </c>
      <c r="Q181" s="33">
        <f>1-INDEX('91 Hydrogenated veg oil'!$D$4:$H$59,MATCH(SUP_Biofuels!Q$7,'91 Hydrogenated veg oil'!$B$4:$B$59,0),MATCH(SUP_Biofuels!$I181,'91 Hydrogenated veg oil'!$D$3:$H$3,0))/52-INDEX('91 Hydrogenated veg oil'!$D$4:$H$59,MATCH(SUP_Biofuels!Q$8,'91 Hydrogenated veg oil'!$B$4:$B$59,0),MATCH(SUP_Biofuels!$I181,'91 Hydrogenated veg oil'!$D$3:$H$3,0))/100</f>
        <v>0.96153846153846156</v>
      </c>
      <c r="R181" s="36">
        <f>$R$39</f>
        <v>3.1536000000000002E-2</v>
      </c>
      <c r="S181" s="34">
        <f>INDEX('91 Hydrogenated veg oil'!$D$4:$H$59,MATCH(SUP_Biofuels!S$8,'91 Hydrogenated veg oil'!$B$4:$B$59,0),MATCH(SUP_Biofuels!$I181,'91 Hydrogenated veg oil'!$D$3:$H$3,0))</f>
        <v>2</v>
      </c>
      <c r="T181" s="34"/>
      <c r="U181" s="44"/>
      <c r="V181" s="43"/>
      <c r="W181" s="17" t="str">
        <f>W173</f>
        <v>Feedstock Consumption, MWh/MWh Total Inputs</v>
      </c>
      <c r="X181" s="17" t="str">
        <f>X173</f>
        <v>HVO Output, MWh/MWh Total Input</v>
      </c>
      <c r="Y181" s="17"/>
    </row>
    <row r="182" spans="3:25">
      <c r="C182" s="43"/>
      <c r="D182" s="43"/>
      <c r="E182" s="17" t="str">
        <f>E174</f>
        <v>SUPH2</v>
      </c>
      <c r="F182" s="17"/>
      <c r="G182" s="17"/>
      <c r="H182" s="17"/>
      <c r="I182" s="17"/>
      <c r="J182" s="17"/>
      <c r="K182" s="33">
        <f>(INDEX('91 Hydrogenated veg oil'!$D$4:$H$59,MATCH(SUP_Biofuels!W182,'91 Hydrogenated veg oil'!$B$4:$B$59,0),MATCH(SUP_Biofuels!$I181,'91 Hydrogenated veg oil'!$D$3:$H$3,0)))/INDEX('91 Hydrogenated veg oil'!$D$4:$H$59,MATCH(SUP_Biofuels!X181,'91 Hydrogenated veg oil'!$B$4:$B$59,0),MATCH(SUP_Biofuels!$I181,'91 Hydrogenated veg oil'!$D$3:$H$3,0))</f>
        <v>0.12352941176470589</v>
      </c>
      <c r="L182" s="33"/>
      <c r="M182" s="39"/>
      <c r="N182" s="40"/>
      <c r="O182" s="40"/>
      <c r="P182" s="40"/>
      <c r="Q182" s="41"/>
      <c r="R182" s="42"/>
      <c r="S182" s="39"/>
      <c r="T182" s="39"/>
      <c r="U182" s="43"/>
      <c r="V182" s="43"/>
      <c r="W182" s="17" t="str">
        <f>W174</f>
        <v>Hydrogen Consumption, MWh/MWh Total Inputs</v>
      </c>
      <c r="X182" s="17"/>
      <c r="Y182" s="17"/>
    </row>
    <row r="183" spans="3:25">
      <c r="C183" s="43"/>
      <c r="D183" s="43"/>
      <c r="E183" s="17" t="str">
        <f>E175</f>
        <v>SUPELC</v>
      </c>
      <c r="F183" s="43"/>
      <c r="G183" s="43"/>
      <c r="H183" s="43"/>
      <c r="I183" s="43"/>
      <c r="J183" s="43"/>
      <c r="K183" s="33">
        <f>(INDEX('91 Hydrogenated veg oil'!$D$4:$H$59,MATCH(SUP_Biofuels!W183,'91 Hydrogenated veg oil'!$B$4:$B$59,0),MATCH(SUP_Biofuels!$I181,'91 Hydrogenated veg oil'!$D$3:$H$3,0)))/INDEX('91 Hydrogenated veg oil'!$D$4:$H$59,MATCH(SUP_Biofuels!X181,'91 Hydrogenated veg oil'!$B$4:$B$59,0),MATCH(SUP_Biofuels!$I181,'91 Hydrogenated veg oil'!$D$3:$H$3,0))</f>
        <v>9.4117647058823539E-3</v>
      </c>
      <c r="L183" s="43"/>
      <c r="M183" s="43"/>
      <c r="N183" s="43"/>
      <c r="O183" s="43"/>
      <c r="P183" s="40"/>
      <c r="Q183" s="43"/>
      <c r="R183" s="43"/>
      <c r="S183" s="43"/>
      <c r="T183" s="43"/>
      <c r="U183" s="43"/>
      <c r="V183" s="43"/>
      <c r="W183" s="17" t="str">
        <f>W175</f>
        <v>Electricity Consumption, MWh/MWh Total Inputs</v>
      </c>
      <c r="X183" s="43"/>
      <c r="Y183" s="43"/>
    </row>
    <row r="184" spans="3:25">
      <c r="C184" s="43"/>
      <c r="D184" s="43"/>
      <c r="E184" s="17" t="str">
        <f>E176</f>
        <v>SUPNGA,SUPSNG,SUPH2</v>
      </c>
      <c r="F184" s="43"/>
      <c r="G184" s="43"/>
      <c r="H184" s="43"/>
      <c r="I184" s="43"/>
      <c r="J184" s="43"/>
      <c r="K184" s="33">
        <f>(INDEX('91 Hydrogenated veg oil'!$D$4:$H$59,MATCH(SUP_Biofuels!W184,'91 Hydrogenated veg oil'!$B$4:$B$59,0),MATCH(SUP_Biofuels!$I181,'91 Hydrogenated veg oil'!$D$3:$H$3,0)))/INDEX('91 Hydrogenated veg oil'!$D$4:$H$59,MATCH(SUP_Biofuels!X181,'91 Hydrogenated veg oil'!$B$4:$B$59,0),MATCH(SUP_Biofuels!$I181,'91 Hydrogenated veg oil'!$D$3:$H$3,0))</f>
        <v>8.2352941176470594E-3</v>
      </c>
      <c r="L184" s="43"/>
      <c r="M184" s="43"/>
      <c r="N184" s="43"/>
      <c r="O184" s="43"/>
      <c r="P184" s="40"/>
      <c r="Q184" s="43"/>
      <c r="R184" s="43"/>
      <c r="S184" s="43"/>
      <c r="T184" s="43"/>
      <c r="U184" s="43"/>
      <c r="V184" s="43"/>
      <c r="W184" s="17" t="str">
        <f>W176</f>
        <v>Natural Gas Consumption, MWh/MWh Total Inputs</v>
      </c>
      <c r="X184" s="43"/>
      <c r="Y184" s="43"/>
    </row>
    <row r="185" spans="3:25">
      <c r="C185" s="43"/>
      <c r="D185" s="43"/>
      <c r="E185" s="43"/>
      <c r="F185" s="43"/>
      <c r="G185" s="17" t="str">
        <f>G177</f>
        <v>LVN</v>
      </c>
      <c r="H185" s="43"/>
      <c r="I185" s="43"/>
      <c r="J185" s="43"/>
      <c r="K185" s="43"/>
      <c r="L185" s="33">
        <f>INDEX('91 Hydrogenated veg oil'!$D$4:$H$59,MATCH(SUP_Biofuels!Y185,'91 Hydrogenated veg oil'!$B$4:$B$59,0),MATCH(SUP_Biofuels!$I181,'91 Hydrogenated veg oil'!$D$3:$H$3,0))*(SUM(K181:K184))</f>
        <v>7.772470588235296E-2</v>
      </c>
      <c r="M185" s="43"/>
      <c r="N185" s="43"/>
      <c r="O185" s="43"/>
      <c r="P185" s="40"/>
      <c r="Q185" s="43"/>
      <c r="R185" s="43"/>
      <c r="S185" s="43"/>
      <c r="T185" s="43"/>
      <c r="U185" s="43"/>
      <c r="V185" s="43"/>
      <c r="W185" s="43"/>
      <c r="X185" s="43"/>
      <c r="Y185" s="17" t="str">
        <f>Y177</f>
        <v>Naphta Output, MWh/MWh Total Input</v>
      </c>
    </row>
    <row r="186" spans="3:25">
      <c r="C186" s="43"/>
      <c r="D186" s="43"/>
      <c r="E186" s="43"/>
      <c r="F186" s="43"/>
      <c r="G186" s="43" t="s">
        <v>77</v>
      </c>
      <c r="H186" s="43"/>
      <c r="I186" s="43"/>
      <c r="J186" s="43"/>
      <c r="K186" s="43"/>
      <c r="L186" s="33">
        <f>INDEX('91 Hydrogenated veg oil'!$D$4:$H$59,MATCH(SUP_Biofuels!Y186,'91 Hydrogenated veg oil'!$B$4:$B$59,0),MATCH(SUP_Biofuels!$I181,'91 Hydrogenated veg oil'!$D$3:$H$3,0))*(SUM(K181:K184))</f>
        <v>3.886235294117648E-2</v>
      </c>
      <c r="M186" s="43"/>
      <c r="N186" s="43"/>
      <c r="O186" s="43"/>
      <c r="P186" s="40"/>
      <c r="Q186" s="43"/>
      <c r="R186" s="43"/>
      <c r="S186" s="43"/>
      <c r="T186" s="43"/>
      <c r="U186" s="43"/>
      <c r="V186" s="43"/>
      <c r="W186" s="43"/>
      <c r="X186" s="43"/>
      <c r="Y186" s="17" t="str">
        <f>Y178</f>
        <v>Fuel Gas Output, MWh/MWh Total Input</v>
      </c>
    </row>
    <row r="187" spans="3:25">
      <c r="C187" s="43"/>
      <c r="D187" s="43"/>
      <c r="E187" s="43"/>
      <c r="F187" s="43"/>
      <c r="G187" s="43" t="s">
        <v>78</v>
      </c>
      <c r="H187" s="43"/>
      <c r="I187" s="43"/>
      <c r="J187" s="43"/>
      <c r="K187" s="43"/>
      <c r="L187" s="33">
        <f>INDEX('91 Hydrogenated veg oil'!$D$4:$H$59,MATCH(SUP_Biofuels!Y187,'91 Hydrogenated veg oil'!$B$4:$B$59,0),MATCH(SUP_Biofuels!$I181,'91 Hydrogenated veg oil'!$D$3:$H$3,0))*(SUM(K181:K184))</f>
        <v>3.2385294117647068E-2</v>
      </c>
      <c r="M187" s="43"/>
      <c r="N187" s="43"/>
      <c r="O187" s="43"/>
      <c r="P187" s="40"/>
      <c r="Q187" s="43"/>
      <c r="R187" s="43"/>
      <c r="S187" s="43"/>
      <c r="T187" s="43"/>
      <c r="U187" s="43"/>
      <c r="V187" s="43"/>
      <c r="W187" s="43"/>
      <c r="X187" s="43"/>
      <c r="Y187" s="17" t="str">
        <f>Y179</f>
        <v>LPG Output, MWh/MWh Total Input</v>
      </c>
    </row>
    <row r="188" spans="3:25">
      <c r="C188" s="43"/>
      <c r="D188" s="43"/>
      <c r="E188" s="43"/>
      <c r="F188" s="43"/>
      <c r="G188" s="7" t="s">
        <v>216</v>
      </c>
      <c r="H188" s="43"/>
      <c r="I188" s="43"/>
      <c r="J188" s="43"/>
      <c r="K188" s="43"/>
      <c r="L188" s="33">
        <f>INDEX('91 Hydrogenated veg oil'!$D$4:$H$59,MATCH(SUP_Biofuels!Y188,'91 Hydrogenated veg oil'!$B$4:$B$59,0),MATCH(SUP_Biofuels!$I181,'91 Hydrogenated veg oil'!$D$3:$H$3,0))*(SUM(K181:K184))</f>
        <v>4.1865352941176477E-3</v>
      </c>
      <c r="M188" s="43"/>
      <c r="N188" s="43"/>
      <c r="O188" s="43"/>
      <c r="P188" s="40"/>
      <c r="Q188" s="43"/>
      <c r="R188" s="43"/>
      <c r="S188" s="43"/>
      <c r="T188" s="43"/>
      <c r="U188" s="43"/>
      <c r="V188" s="43"/>
      <c r="W188" s="43"/>
      <c r="X188" s="43"/>
      <c r="Y188" s="17" t="str">
        <f>Y180</f>
        <v>District Heating Output, MWh/MWh Total input</v>
      </c>
    </row>
    <row r="189" spans="3:25">
      <c r="C189" s="43"/>
      <c r="D189" s="43"/>
      <c r="E189" s="17" t="str">
        <f>E181</f>
        <v>SUPCRB</v>
      </c>
      <c r="F189" s="17" t="str">
        <f>F181</f>
        <v>DSB1</v>
      </c>
      <c r="G189" s="17"/>
      <c r="H189" s="17" t="s">
        <v>70</v>
      </c>
      <c r="I189" s="17">
        <v>2050</v>
      </c>
      <c r="J189" s="17"/>
      <c r="K189" s="33">
        <f>(INDEX('91 Hydrogenated veg oil'!$D$4:$H$59,MATCH(SUP_Biofuels!W189,'91 Hydrogenated veg oil'!$B$4:$B$59,0),MATCH(SUP_Biofuels!$I189,'91 Hydrogenated veg oil'!$D$3:$H$3,0)))/INDEX('91 Hydrogenated veg oil'!$D$4:$H$59,MATCH(SUP_Biofuels!X189,'91 Hydrogenated veg oil'!$B$4:$B$59,0),MATCH(SUP_Biofuels!$I189,'91 Hydrogenated veg oil'!$D$3:$H$3,0))</f>
        <v>1.0364705882352943</v>
      </c>
      <c r="L189" s="33"/>
      <c r="M189" s="34">
        <f>INDEX('91 Hydrogenated veg oil'!$D$4:$H$59,MATCH(SUP_Biofuels!M$8,'91 Hydrogenated veg oil'!$B$4:$B$59,0),MATCH(SUP_Biofuels!$I189,'91 Hydrogenated veg oil'!$D$3:$H$3,0))</f>
        <v>25</v>
      </c>
      <c r="N189" s="35">
        <f>INDEX('91 Hydrogenated veg oil'!$D$4:$H$59,MATCH(SUP_Biofuels!N$8,'91 Hydrogenated veg oil'!$B$4:$B$59,0),MATCH(SUP_Biofuels!$I189,'91 Hydrogenated veg oil'!$D$3:$H$3,0))*7.45</f>
        <v>4.3075075609322191</v>
      </c>
      <c r="O189" s="35">
        <f>INDEX('91 Hydrogenated veg oil'!$D$4:$H$59,MATCH(SUP_Biofuels!O$8,'91 Hydrogenated veg oil'!$B$4:$B$59,0),MATCH(SUP_Biofuels!$I189,'91 Hydrogenated veg oil'!$D$3:$H$3,0))*7.45</f>
        <v>0.26507738836505962</v>
      </c>
      <c r="P189" s="35">
        <f>INDEX('91 Hydrogenated veg oil'!$D$4:$H$59,MATCH(SUP_Biofuels!P$8,'91 Hydrogenated veg oil'!$B$4:$B$59,0),MATCH(SUP_Biofuels!$I189,'91 Hydrogenated veg oil'!$D$3:$H$3,0))*7.45/3.6</f>
        <v>17.551468976592265</v>
      </c>
      <c r="Q189" s="33">
        <f>1-INDEX('91 Hydrogenated veg oil'!$D$4:$H$59,MATCH(SUP_Biofuels!Q$7,'91 Hydrogenated veg oil'!$B$4:$B$59,0),MATCH(SUP_Biofuels!$I189,'91 Hydrogenated veg oil'!$D$3:$H$3,0))/52-INDEX('91 Hydrogenated veg oil'!$D$4:$H$59,MATCH(SUP_Biofuels!Q$8,'91 Hydrogenated veg oil'!$B$4:$B$59,0),MATCH(SUP_Biofuels!$I189,'91 Hydrogenated veg oil'!$D$3:$H$3,0))/100</f>
        <v>0.96153846153846156</v>
      </c>
      <c r="R189" s="36">
        <f>$R$39</f>
        <v>3.1536000000000002E-2</v>
      </c>
      <c r="S189" s="34">
        <f>INDEX('91 Hydrogenated veg oil'!$D$4:$H$59,MATCH(SUP_Biofuels!S$8,'91 Hydrogenated veg oil'!$B$4:$B$59,0),MATCH(SUP_Biofuels!$I189,'91 Hydrogenated veg oil'!$D$3:$H$3,0))</f>
        <v>2</v>
      </c>
      <c r="T189" s="34"/>
      <c r="U189" s="44"/>
      <c r="V189" s="43"/>
      <c r="W189" s="17" t="str">
        <f>W181</f>
        <v>Feedstock Consumption, MWh/MWh Total Inputs</v>
      </c>
      <c r="X189" s="17" t="str">
        <f>X181</f>
        <v>HVO Output, MWh/MWh Total Input</v>
      </c>
      <c r="Y189" s="17"/>
    </row>
    <row r="190" spans="3:25">
      <c r="C190" s="43"/>
      <c r="D190" s="43"/>
      <c r="E190" s="17" t="str">
        <f>E182</f>
        <v>SUPH2</v>
      </c>
      <c r="F190" s="17"/>
      <c r="G190" s="17"/>
      <c r="H190" s="17"/>
      <c r="I190" s="17"/>
      <c r="J190" s="17"/>
      <c r="K190" s="33">
        <f>(INDEX('91 Hydrogenated veg oil'!$D$4:$H$59,MATCH(SUP_Biofuels!W190,'91 Hydrogenated veg oil'!$B$4:$B$59,0),MATCH(SUP_Biofuels!$I189,'91 Hydrogenated veg oil'!$D$3:$H$3,0)))/INDEX('91 Hydrogenated veg oil'!$D$4:$H$59,MATCH(SUP_Biofuels!X189,'91 Hydrogenated veg oil'!$B$4:$B$59,0),MATCH(SUP_Biofuels!$I189,'91 Hydrogenated veg oil'!$D$3:$H$3,0))</f>
        <v>0.12352941176470589</v>
      </c>
      <c r="L190" s="33"/>
      <c r="M190" s="39"/>
      <c r="N190" s="40"/>
      <c r="O190" s="40"/>
      <c r="P190" s="40"/>
      <c r="Q190" s="41"/>
      <c r="R190" s="42"/>
      <c r="S190" s="39"/>
      <c r="T190" s="39"/>
      <c r="U190" s="43"/>
      <c r="V190" s="43"/>
      <c r="W190" s="17" t="str">
        <f>W182</f>
        <v>Hydrogen Consumption, MWh/MWh Total Inputs</v>
      </c>
      <c r="X190" s="17"/>
      <c r="Y190" s="17"/>
    </row>
    <row r="191" spans="3:25" ht="15.6">
      <c r="C191" s="43"/>
      <c r="D191" s="32"/>
      <c r="E191" s="17" t="str">
        <f>E183</f>
        <v>SUPELC</v>
      </c>
      <c r="F191" s="43"/>
      <c r="G191" s="43"/>
      <c r="H191" s="43"/>
      <c r="I191" s="43"/>
      <c r="J191" s="43"/>
      <c r="K191" s="33">
        <f>(INDEX('91 Hydrogenated veg oil'!$D$4:$H$59,MATCH(SUP_Biofuels!W191,'91 Hydrogenated veg oil'!$B$4:$B$59,0),MATCH(SUP_Biofuels!$I189,'91 Hydrogenated veg oil'!$D$3:$H$3,0)))/INDEX('91 Hydrogenated veg oil'!$D$4:$H$59,MATCH(SUP_Biofuels!X189,'91 Hydrogenated veg oil'!$B$4:$B$59,0),MATCH(SUP_Biofuels!$I189,'91 Hydrogenated veg oil'!$D$3:$H$3,0))</f>
        <v>9.4117647058823539E-3</v>
      </c>
      <c r="L191" s="43"/>
      <c r="M191" s="43"/>
      <c r="N191" s="43"/>
      <c r="O191" s="43"/>
      <c r="P191" s="40"/>
      <c r="Q191" s="43"/>
      <c r="R191" s="43"/>
      <c r="S191" s="43"/>
      <c r="T191" s="43"/>
      <c r="U191" s="43"/>
      <c r="V191" s="43"/>
      <c r="W191" s="17" t="str">
        <f>W183</f>
        <v>Electricity Consumption, MWh/MWh Total Inputs</v>
      </c>
      <c r="X191" s="43"/>
      <c r="Y191" s="43"/>
    </row>
    <row r="192" spans="3:25">
      <c r="C192" s="43"/>
      <c r="D192" s="17"/>
      <c r="E192" s="17" t="str">
        <f>E184</f>
        <v>SUPNGA,SUPSNG,SUPH2</v>
      </c>
      <c r="F192" s="43"/>
      <c r="G192" s="43"/>
      <c r="H192" s="43"/>
      <c r="I192" s="43"/>
      <c r="J192" s="43"/>
      <c r="K192" s="33">
        <f>(INDEX('91 Hydrogenated veg oil'!$D$4:$H$59,MATCH(SUP_Biofuels!W192,'91 Hydrogenated veg oil'!$B$4:$B$59,0),MATCH(SUP_Biofuels!$I189,'91 Hydrogenated veg oil'!$D$3:$H$3,0)))/INDEX('91 Hydrogenated veg oil'!$D$4:$H$59,MATCH(SUP_Biofuels!X189,'91 Hydrogenated veg oil'!$B$4:$B$59,0),MATCH(SUP_Biofuels!$I189,'91 Hydrogenated veg oil'!$D$3:$H$3,0))</f>
        <v>8.2352941176470594E-3</v>
      </c>
      <c r="L192" s="43"/>
      <c r="M192" s="43"/>
      <c r="N192" s="43"/>
      <c r="O192" s="43"/>
      <c r="P192" s="40"/>
      <c r="Q192" s="43"/>
      <c r="R192" s="43"/>
      <c r="S192" s="43"/>
      <c r="T192" s="43"/>
      <c r="U192" s="43"/>
      <c r="V192" s="43"/>
      <c r="W192" s="17" t="str">
        <f>W184</f>
        <v>Natural Gas Consumption, MWh/MWh Total Inputs</v>
      </c>
      <c r="X192" s="43"/>
      <c r="Y192" s="43"/>
    </row>
    <row r="193" spans="3:25">
      <c r="C193" s="43"/>
      <c r="D193" s="43"/>
      <c r="E193" s="43"/>
      <c r="F193" s="43"/>
      <c r="G193" s="17" t="str">
        <f>G185</f>
        <v>LVN</v>
      </c>
      <c r="H193" s="43"/>
      <c r="I193" s="43"/>
      <c r="J193" s="43"/>
      <c r="K193" s="43"/>
      <c r="L193" s="33">
        <f>INDEX('91 Hydrogenated veg oil'!$D$4:$H$59,MATCH(SUP_Biofuels!Y193,'91 Hydrogenated veg oil'!$B$4:$B$59,0),MATCH(SUP_Biofuels!$I189,'91 Hydrogenated veg oil'!$D$3:$H$3,0))*(SUM(K189:K192))</f>
        <v>7.772470588235296E-2</v>
      </c>
      <c r="M193" s="43"/>
      <c r="N193" s="43"/>
      <c r="O193" s="43"/>
      <c r="P193" s="40"/>
      <c r="Q193" s="43"/>
      <c r="R193" s="43"/>
      <c r="S193" s="43"/>
      <c r="T193" s="43"/>
      <c r="U193" s="43"/>
      <c r="V193" s="43"/>
      <c r="W193" s="43"/>
      <c r="X193" s="43"/>
      <c r="Y193" s="17" t="str">
        <f>Y185</f>
        <v>Naphta Output, MWh/MWh Total Input</v>
      </c>
    </row>
    <row r="194" spans="3:25">
      <c r="C194" s="43"/>
      <c r="D194" s="43"/>
      <c r="E194" s="43"/>
      <c r="F194" s="43"/>
      <c r="G194" s="43" t="s">
        <v>77</v>
      </c>
      <c r="H194" s="43"/>
      <c r="I194" s="43"/>
      <c r="J194" s="43"/>
      <c r="K194" s="43"/>
      <c r="L194" s="33">
        <f>INDEX('91 Hydrogenated veg oil'!$D$4:$H$59,MATCH(SUP_Biofuels!Y194,'91 Hydrogenated veg oil'!$B$4:$B$59,0),MATCH(SUP_Biofuels!$I189,'91 Hydrogenated veg oil'!$D$3:$H$3,0))*(SUM(K189:K192))</f>
        <v>3.886235294117648E-2</v>
      </c>
      <c r="M194" s="43"/>
      <c r="N194" s="43"/>
      <c r="O194" s="43"/>
      <c r="P194" s="40"/>
      <c r="Q194" s="43"/>
      <c r="R194" s="43"/>
      <c r="S194" s="43"/>
      <c r="T194" s="43"/>
      <c r="U194" s="43"/>
      <c r="V194" s="43"/>
      <c r="W194" s="43"/>
      <c r="X194" s="43"/>
      <c r="Y194" s="43" t="str">
        <f>Y186</f>
        <v>Fuel Gas Output, MWh/MWh Total Input</v>
      </c>
    </row>
    <row r="195" spans="3:25">
      <c r="C195" s="43"/>
      <c r="D195" s="43"/>
      <c r="E195" s="43"/>
      <c r="F195" s="43"/>
      <c r="G195" s="43" t="s">
        <v>78</v>
      </c>
      <c r="H195" s="43"/>
      <c r="I195" s="43"/>
      <c r="J195" s="43"/>
      <c r="K195" s="43"/>
      <c r="L195" s="33">
        <f>INDEX('91 Hydrogenated veg oil'!$D$4:$H$59,MATCH(SUP_Biofuels!Y195,'91 Hydrogenated veg oil'!$B$4:$B$59,0),MATCH(SUP_Biofuels!$I189,'91 Hydrogenated veg oil'!$D$3:$H$3,0))*(SUM(K189:K192))</f>
        <v>3.2385294117647068E-2</v>
      </c>
      <c r="M195" s="43"/>
      <c r="N195" s="43"/>
      <c r="O195" s="43"/>
      <c r="P195" s="40"/>
      <c r="Q195" s="43"/>
      <c r="R195" s="43"/>
      <c r="S195" s="43"/>
      <c r="T195" s="43"/>
      <c r="U195" s="43"/>
      <c r="V195" s="43"/>
      <c r="W195" s="43"/>
      <c r="X195" s="43"/>
      <c r="Y195" s="43" t="str">
        <f>Y187</f>
        <v>LPG Output, MWh/MWh Total Input</v>
      </c>
    </row>
    <row r="196" spans="3:25" ht="15" thickBot="1">
      <c r="C196" s="46"/>
      <c r="D196" s="46"/>
      <c r="E196" s="46"/>
      <c r="F196" s="46"/>
      <c r="G196" s="7" t="s">
        <v>216</v>
      </c>
      <c r="H196" s="46"/>
      <c r="I196" s="46"/>
      <c r="J196" s="46"/>
      <c r="K196" s="46"/>
      <c r="L196" s="48">
        <f>INDEX('91 Hydrogenated veg oil'!$D$4:$H$59,MATCH(SUP_Biofuels!Y196,'91 Hydrogenated veg oil'!$B$4:$B$59,0),MATCH(SUP_Biofuels!$I189,'91 Hydrogenated veg oil'!$D$3:$H$3,0))*(SUM(K189:K192))</f>
        <v>4.1865352941176477E-3</v>
      </c>
      <c r="M196" s="46"/>
      <c r="N196" s="46"/>
      <c r="O196" s="46"/>
      <c r="P196" s="49"/>
      <c r="Q196" s="46"/>
      <c r="R196" s="46"/>
      <c r="S196" s="46"/>
      <c r="T196" s="46"/>
      <c r="U196" s="46"/>
      <c r="V196" s="46"/>
      <c r="W196" s="46"/>
      <c r="X196" s="46"/>
      <c r="Y196" s="47" t="str">
        <f>Y188</f>
        <v>District Heating Output, MWh/MWh Total input</v>
      </c>
    </row>
    <row r="197" spans="3:25" ht="15.6">
      <c r="C197" s="17" t="str">
        <f>"SUP"&amp;F197&amp;RIGHT(E197,3)&amp;IF(RIGHT(D197,7)="Central","C1","D1")</f>
        <v>SUPKRB1RPSC1</v>
      </c>
      <c r="D197" s="32" t="str">
        <f>'92 HVO jet fuel'!D2&amp;" Central"</f>
        <v>HVO Jet Fuel Central</v>
      </c>
      <c r="E197" s="17" t="s">
        <v>72</v>
      </c>
      <c r="F197" s="17" t="s">
        <v>79</v>
      </c>
      <c r="G197" s="17"/>
      <c r="H197" s="17" t="s">
        <v>70</v>
      </c>
      <c r="I197" s="17">
        <f>'93 1st generation ethanol'!$D$3</f>
        <v>2015</v>
      </c>
      <c r="J197" s="19">
        <v>2030</v>
      </c>
      <c r="K197" s="33">
        <f>(INDEX('92 HVO jet fuel'!$D$4:$H$59,MATCH(SUP_Biofuels!W197,'92 HVO jet fuel'!$B$4:$B$59,0),MATCH(SUP_Biofuels!$I197,'92 HVO jet fuel'!$D$3:$H$3,0)))/INDEX('92 HVO jet fuel'!$D$4:$H$59,MATCH(SUP_Biofuels!X197,'92 HVO jet fuel'!$B$4:$B$59,0),MATCH(SUP_Biofuels!$I197,'92 HVO jet fuel'!$D$3:$H$3,0))</f>
        <v>1.1803030303030302</v>
      </c>
      <c r="L197" s="33"/>
      <c r="M197" s="34">
        <f>INDEX('92 HVO jet fuel'!$D$4:$H$59,MATCH(SUP_Biofuels!M$8,'92 HVO jet fuel'!$B$4:$B$59,0),MATCH(SUP_Biofuels!$I197,'92 HVO jet fuel'!$D$3:$H$3,0))</f>
        <v>25</v>
      </c>
      <c r="N197" s="35">
        <f>INDEX('92 HVO jet fuel'!$D$4:$H$59,MATCH(SUP_Biofuels!N$8,'92 HVO jet fuel'!$B$4:$B$59,0),MATCH(SUP_Biofuels!$I197,'92 HVO jet fuel'!$D$3:$H$3,0))*7.45</f>
        <v>7.1397223466188997</v>
      </c>
      <c r="O197" s="35">
        <f>INDEX('92 HVO jet fuel'!$D$4:$H$59,MATCH(SUP_Biofuels!O$8,'92 HVO jet fuel'!$B$4:$B$59,0),MATCH(SUP_Biofuels!$I197,'92 HVO jet fuel'!$D$3:$H$3,0))*7.45</f>
        <v>0.26690550828481863</v>
      </c>
      <c r="P197" s="35">
        <f>INDEX('92 HVO jet fuel'!$D$4:$H$59,MATCH(SUP_Biofuels!P$8,'92 HVO jet fuel'!$B$4:$B$59,0),MATCH(SUP_Biofuels!$I197,'92 HVO jet fuel'!$D$3:$H$3,0))*7.45/3.6</f>
        <v>17.591358678811794</v>
      </c>
      <c r="Q197" s="33">
        <f>1-INDEX('92 HVO jet fuel'!$D$4:$H$59,MATCH(SUP_Biofuels!Q$7,'92 HVO jet fuel'!$B$4:$B$59,0),MATCH(SUP_Biofuels!$I197,'92 HVO jet fuel'!$D$3:$H$3,0))/52-INDEX('92 HVO jet fuel'!$D$4:$H$59,MATCH(SUP_Biofuels!Q$8,'92 HVO jet fuel'!$B$4:$B$59,0),MATCH(SUP_Biofuels!$I197,'92 HVO jet fuel'!$D$3:$H$3,0))/100</f>
        <v>0.96153846153846156</v>
      </c>
      <c r="R197" s="36">
        <f>$R$39</f>
        <v>3.1536000000000002E-2</v>
      </c>
      <c r="S197" s="34">
        <f>INDEX('92 HVO jet fuel'!$D$4:$H$59,MATCH(SUP_Biofuels!S$8,'92 HVO jet fuel'!$B$4:$B$59,0),MATCH(SUP_Biofuels!$I197,'92 HVO jet fuel'!$D$3:$H$3,0))</f>
        <v>2</v>
      </c>
      <c r="T197" s="34"/>
      <c r="U197" s="37"/>
      <c r="V197" s="38" t="s">
        <v>74</v>
      </c>
      <c r="W197" s="17" t="str">
        <f>'92 HVO jet fuel'!B9</f>
        <v>Feedstock Consumption, MWh/MWh Total Inputs</v>
      </c>
      <c r="X197" s="17" t="str">
        <f>'92 HVO jet fuel'!B14</f>
        <v>HVO Jet Output, GJ/GJ Total Input</v>
      </c>
      <c r="Y197" s="17"/>
    </row>
    <row r="198" spans="3:25">
      <c r="C198" s="17"/>
      <c r="D198" s="17"/>
      <c r="E198" s="17" t="s">
        <v>1386</v>
      </c>
      <c r="F198" s="17"/>
      <c r="G198" s="17"/>
      <c r="H198" s="17"/>
      <c r="I198" s="17"/>
      <c r="J198" s="17"/>
      <c r="K198" s="33">
        <f>(INDEX('92 HVO jet fuel'!$D$4:$H$59,MATCH(SUP_Biofuels!W198,'92 HVO jet fuel'!$B$4:$B$59,0),MATCH(SUP_Biofuels!$I197,'92 HVO jet fuel'!$D$3:$H$3,0)))/INDEX('92 HVO jet fuel'!$D$4:$H$59,MATCH(SUP_Biofuels!X197,'92 HVO jet fuel'!$B$4:$B$59,0),MATCH(SUP_Biofuels!$I197,'92 HVO jet fuel'!$D$3:$H$3,0))</f>
        <v>0.15</v>
      </c>
      <c r="L198" s="33"/>
      <c r="M198" s="39"/>
      <c r="N198" s="40"/>
      <c r="O198" s="40"/>
      <c r="P198" s="40"/>
      <c r="Q198" s="41"/>
      <c r="R198" s="42"/>
      <c r="S198" s="39"/>
      <c r="T198" s="39"/>
      <c r="U198" s="43"/>
      <c r="V198" s="43"/>
      <c r="W198" s="17" t="str">
        <f>'92 HVO jet fuel'!B10</f>
        <v>Hydrogen Consumption, MWh/MWh Total Inputs</v>
      </c>
      <c r="X198" s="17"/>
      <c r="Y198" s="17"/>
    </row>
    <row r="199" spans="3:25">
      <c r="C199" s="43"/>
      <c r="D199" s="43"/>
      <c r="E199" s="43" t="s">
        <v>71</v>
      </c>
      <c r="F199" s="43"/>
      <c r="G199" s="43"/>
      <c r="H199" s="43"/>
      <c r="I199" s="43"/>
      <c r="J199" s="43"/>
      <c r="K199" s="33">
        <f>(INDEX('92 HVO jet fuel'!$D$4:$H$59,MATCH(SUP_Biofuels!W199,'92 HVO jet fuel'!$B$4:$B$59,0),MATCH(SUP_Biofuels!$I197,'92 HVO jet fuel'!$D$3:$H$3,0)))/INDEX('92 HVO jet fuel'!$D$4:$H$59,MATCH(SUP_Biofuels!X197,'92 HVO jet fuel'!$B$4:$B$59,0),MATCH(SUP_Biofuels!$I197,'92 HVO jet fuel'!$D$3:$H$3,0))</f>
        <v>4.5454545454545452E-3</v>
      </c>
      <c r="L199" s="43"/>
      <c r="M199" s="43"/>
      <c r="N199" s="43"/>
      <c r="O199" s="43"/>
      <c r="P199" s="40"/>
      <c r="Q199" s="43"/>
      <c r="R199" s="43"/>
      <c r="S199" s="43"/>
      <c r="T199" s="43"/>
      <c r="U199" s="43"/>
      <c r="V199" s="43"/>
      <c r="W199" s="17" t="str">
        <f>'92 HVO jet fuel'!B11</f>
        <v>Electricity Consumption, MWh/MWh Total Inputs</v>
      </c>
      <c r="X199" s="43"/>
      <c r="Y199" s="43"/>
    </row>
    <row r="200" spans="3:25">
      <c r="C200" s="43"/>
      <c r="D200" s="43"/>
      <c r="E200" s="43" t="s">
        <v>1760</v>
      </c>
      <c r="F200" s="43"/>
      <c r="G200" s="43"/>
      <c r="H200" s="43"/>
      <c r="I200" s="43"/>
      <c r="J200" s="43"/>
      <c r="K200" s="33">
        <f>(INDEX('92 HVO jet fuel'!$D$4:$H$59,MATCH(SUP_Biofuels!W200,'92 HVO jet fuel'!$B$4:$B$59,0),MATCH(SUP_Biofuels!$I197,'92 HVO jet fuel'!$D$3:$H$3,0)))/INDEX('92 HVO jet fuel'!$D$4:$H$59,MATCH(SUP_Biofuels!X197,'92 HVO jet fuel'!$B$4:$B$59,0),MATCH(SUP_Biofuels!$I197,'92 HVO jet fuel'!$D$3:$H$3,0))</f>
        <v>0.1803030303030303</v>
      </c>
      <c r="L200" s="43"/>
      <c r="M200" s="43"/>
      <c r="N200" s="43"/>
      <c r="O200" s="43"/>
      <c r="P200" s="40"/>
      <c r="Q200" s="43"/>
      <c r="R200" s="43"/>
      <c r="S200" s="43"/>
      <c r="T200" s="43"/>
      <c r="U200" s="43"/>
      <c r="V200" s="43"/>
      <c r="W200" s="17" t="str">
        <f>'92 HVO jet fuel'!B12</f>
        <v>Natural Gas Consumption, MWh/MWh Total Inputs</v>
      </c>
      <c r="X200" s="43"/>
      <c r="Y200" s="43"/>
    </row>
    <row r="201" spans="3:25">
      <c r="C201" s="43"/>
      <c r="D201" s="43"/>
      <c r="E201" s="43"/>
      <c r="F201" s="43"/>
      <c r="G201" s="43" t="s">
        <v>76</v>
      </c>
      <c r="H201" s="43"/>
      <c r="I201" s="43"/>
      <c r="J201" s="43"/>
      <c r="K201" s="43"/>
      <c r="L201" s="33">
        <f>INDEX('92 HVO jet fuel'!$D$4:$H$59,MATCH(SUP_Biofuels!Y201,'92 HVO jet fuel'!$B$4:$B$59,0),MATCH(SUP_Biofuels!$I197,'92 HVO jet fuel'!$D$3:$H$3,0))*(SUM(K197:K200))</f>
        <v>9.8636363636363647E-2</v>
      </c>
      <c r="M201" s="43"/>
      <c r="N201" s="43"/>
      <c r="O201" s="43"/>
      <c r="P201" s="40"/>
      <c r="Q201" s="43"/>
      <c r="R201" s="43"/>
      <c r="S201" s="43"/>
      <c r="T201" s="43"/>
      <c r="U201" s="43"/>
      <c r="V201" s="43"/>
      <c r="W201" s="43"/>
      <c r="X201" s="43"/>
      <c r="Y201" s="43" t="str">
        <f>'92 HVO jet fuel'!B15</f>
        <v>Naphta Output, MWh/MWh Total Input</v>
      </c>
    </row>
    <row r="202" spans="3:25">
      <c r="C202" s="43"/>
      <c r="D202" s="43"/>
      <c r="E202" s="43"/>
      <c r="F202" s="43"/>
      <c r="G202" s="43" t="s">
        <v>78</v>
      </c>
      <c r="H202" s="43"/>
      <c r="I202" s="43"/>
      <c r="J202" s="43"/>
      <c r="K202" s="43"/>
      <c r="L202" s="33">
        <f>INDEX('92 HVO jet fuel'!$D$4:$H$59,MATCH(SUP_Biofuels!Y202,'92 HVO jet fuel'!$B$4:$B$59,0),MATCH(SUP_Biofuels!$I197,'92 HVO jet fuel'!$D$3:$H$3,0))*(SUM(K197:K200))</f>
        <v>0.13999999999999999</v>
      </c>
      <c r="M202" s="43"/>
      <c r="N202" s="43"/>
      <c r="O202" s="43"/>
      <c r="P202" s="40"/>
      <c r="Q202" s="43"/>
      <c r="R202" s="43"/>
      <c r="S202" s="43"/>
      <c r="T202" s="43"/>
      <c r="U202" s="43"/>
      <c r="V202" s="43"/>
      <c r="W202" s="43"/>
      <c r="X202" s="43"/>
      <c r="Y202" s="43" t="str">
        <f>'92 HVO jet fuel'!B16</f>
        <v>LPG Output, MWh/MWh Total Input</v>
      </c>
    </row>
    <row r="203" spans="3:25">
      <c r="C203" s="43"/>
      <c r="D203" s="43"/>
      <c r="E203" s="43"/>
      <c r="F203" s="43"/>
      <c r="G203" s="43" t="s">
        <v>77</v>
      </c>
      <c r="H203" s="43"/>
      <c r="I203" s="43"/>
      <c r="J203" s="43"/>
      <c r="K203" s="43"/>
      <c r="L203" s="33">
        <f>INDEX('92 HVO jet fuel'!$D$4:$H$59,MATCH(SUP_Biofuels!Y203,'92 HVO jet fuel'!$B$4:$B$59,0),MATCH(SUP_Biofuels!$I197,'92 HVO jet fuel'!$D$3:$H$3,0))*(SUM(K197:K200))</f>
        <v>0.15151515151515152</v>
      </c>
      <c r="M203" s="43"/>
      <c r="N203" s="43"/>
      <c r="O203" s="43"/>
      <c r="P203" s="40"/>
      <c r="Q203" s="43"/>
      <c r="R203" s="43"/>
      <c r="S203" s="43"/>
      <c r="T203" s="43"/>
      <c r="U203" s="43"/>
      <c r="V203" s="43"/>
      <c r="W203" s="43"/>
      <c r="X203" s="43"/>
      <c r="Y203" s="43" t="str">
        <f>'92 HVO jet fuel'!B17</f>
        <v>Fuel Gas Output, MWh/MWh Total Input</v>
      </c>
    </row>
    <row r="204" spans="3:25">
      <c r="C204" s="43"/>
      <c r="D204" s="43"/>
      <c r="E204" s="43"/>
      <c r="F204" s="43"/>
      <c r="G204" s="7" t="s">
        <v>216</v>
      </c>
      <c r="H204" s="43"/>
      <c r="I204" s="43"/>
      <c r="J204" s="43"/>
      <c r="K204" s="43"/>
      <c r="L204" s="33">
        <f>INDEX('92 HVO jet fuel'!$D$4:$H$59,MATCH(SUP_Biofuels!Y204,'92 HVO jet fuel'!$B$4:$B$59,0),MATCH(SUP_Biofuels!$I197,'92 HVO jet fuel'!$D$3:$H$3,0))*(SUM(K197:K200))</f>
        <v>4.0227272727272723E-2</v>
      </c>
      <c r="M204" s="43"/>
      <c r="N204" s="43"/>
      <c r="O204" s="43"/>
      <c r="P204" s="40"/>
      <c r="Q204" s="43"/>
      <c r="R204" s="43"/>
      <c r="S204" s="43"/>
      <c r="T204" s="43"/>
      <c r="U204" s="43"/>
      <c r="V204" s="43"/>
      <c r="W204" s="43"/>
      <c r="X204" s="43"/>
      <c r="Y204" s="43" t="str">
        <f>'92 HVO jet fuel'!B18</f>
        <v>District Heating Output, MWh/MWh Total input</v>
      </c>
    </row>
    <row r="205" spans="3:25" ht="15.6">
      <c r="C205" s="17"/>
      <c r="D205" s="32"/>
      <c r="E205" s="17" t="str">
        <f>E197</f>
        <v>SUPRPS</v>
      </c>
      <c r="F205" s="17" t="str">
        <f>F197</f>
        <v>KRB1</v>
      </c>
      <c r="G205" s="17"/>
      <c r="H205" s="17" t="s">
        <v>70</v>
      </c>
      <c r="I205" s="17">
        <v>2020</v>
      </c>
      <c r="J205" s="17"/>
      <c r="K205" s="33">
        <f>(INDEX('92 HVO jet fuel'!$D$4:$H$59,MATCH(SUP_Biofuels!W205,'92 HVO jet fuel'!$B$4:$B$59,0),MATCH(SUP_Biofuels!$I205,'92 HVO jet fuel'!$D$3:$H$3,0)))/INDEX('92 HVO jet fuel'!$D$4:$H$59,MATCH(SUP_Biofuels!X205,'92 HVO jet fuel'!$B$4:$B$59,0),MATCH(SUP_Biofuels!$I205,'92 HVO jet fuel'!$D$3:$H$3,0))</f>
        <v>1.1803030303030302</v>
      </c>
      <c r="L205" s="33"/>
      <c r="M205" s="34">
        <f>INDEX('92 HVO jet fuel'!$D$4:$H$59,MATCH(SUP_Biofuels!M$8,'92 HVO jet fuel'!$B$4:$B$59,0),MATCH(SUP_Biofuels!$I205,'92 HVO jet fuel'!$D$3:$H$3,0))</f>
        <v>25</v>
      </c>
      <c r="N205" s="35">
        <f>INDEX('92 HVO jet fuel'!$D$4:$H$59,MATCH(SUP_Biofuels!N$8,'92 HVO jet fuel'!$B$4:$B$59,0),MATCH(SUP_Biofuels!$I205,'92 HVO jet fuel'!$D$3:$H$3,0))*7.45</f>
        <v>7.1397223466188997</v>
      </c>
      <c r="O205" s="35">
        <f>INDEX('92 HVO jet fuel'!$D$4:$H$59,MATCH(SUP_Biofuels!O$8,'92 HVO jet fuel'!$B$4:$B$59,0),MATCH(SUP_Biofuels!$I205,'92 HVO jet fuel'!$D$3:$H$3,0))*7.45</f>
        <v>0.26690550828481863</v>
      </c>
      <c r="P205" s="35">
        <f>INDEX('92 HVO jet fuel'!$D$4:$H$59,MATCH(SUP_Biofuels!P$8,'92 HVO jet fuel'!$B$4:$B$59,0),MATCH(SUP_Biofuels!$I205,'92 HVO jet fuel'!$D$3:$H$3,0))*7.45/3.6</f>
        <v>17.591358678811794</v>
      </c>
      <c r="Q205" s="33">
        <f>1-INDEX('92 HVO jet fuel'!$D$4:$H$59,MATCH(SUP_Biofuels!Q$7,'92 HVO jet fuel'!$B$4:$B$59,0),MATCH(SUP_Biofuels!$I205,'92 HVO jet fuel'!$D$3:$H$3,0))/52-INDEX('92 HVO jet fuel'!$D$4:$H$59,MATCH(SUP_Biofuels!Q$8,'92 HVO jet fuel'!$B$4:$B$59,0),MATCH(SUP_Biofuels!$I205,'92 HVO jet fuel'!$D$3:$H$3,0))/100</f>
        <v>0.96153846153846156</v>
      </c>
      <c r="R205" s="36">
        <f>$R$39</f>
        <v>3.1536000000000002E-2</v>
      </c>
      <c r="S205" s="34">
        <f>INDEX('92 HVO jet fuel'!$D$4:$H$59,MATCH(SUP_Biofuels!S$8,'92 HVO jet fuel'!$B$4:$B$59,0),MATCH(SUP_Biofuels!$I205,'92 HVO jet fuel'!$D$3:$H$3,0))</f>
        <v>2</v>
      </c>
      <c r="T205" s="34"/>
      <c r="U205" s="44"/>
      <c r="V205" s="45"/>
      <c r="W205" s="17" t="str">
        <f>W197</f>
        <v>Feedstock Consumption, MWh/MWh Total Inputs</v>
      </c>
      <c r="X205" s="17" t="str">
        <f>X197</f>
        <v>HVO Jet Output, GJ/GJ Total Input</v>
      </c>
      <c r="Y205" s="17"/>
    </row>
    <row r="206" spans="3:25">
      <c r="C206" s="17"/>
      <c r="D206" s="17"/>
      <c r="E206" s="17" t="str">
        <f>E198</f>
        <v>SUPH2</v>
      </c>
      <c r="F206" s="17"/>
      <c r="G206" s="17"/>
      <c r="H206" s="17"/>
      <c r="I206" s="17"/>
      <c r="J206" s="17"/>
      <c r="K206" s="33">
        <f>(INDEX('92 HVO jet fuel'!$D$4:$H$59,MATCH(SUP_Biofuels!W206,'92 HVO jet fuel'!$B$4:$B$59,0),MATCH(SUP_Biofuels!$I205,'92 HVO jet fuel'!$D$3:$H$3,0)))/INDEX('92 HVO jet fuel'!$D$4:$H$59,MATCH(SUP_Biofuels!X205,'92 HVO jet fuel'!$B$4:$B$59,0),MATCH(SUP_Biofuels!$I205,'92 HVO jet fuel'!$D$3:$H$3,0))</f>
        <v>0.15</v>
      </c>
      <c r="L206" s="33"/>
      <c r="M206" s="39"/>
      <c r="N206" s="40"/>
      <c r="O206" s="40"/>
      <c r="P206" s="40"/>
      <c r="Q206" s="41"/>
      <c r="R206" s="42"/>
      <c r="S206" s="39"/>
      <c r="T206" s="39"/>
      <c r="U206" s="43"/>
      <c r="V206" s="43"/>
      <c r="W206" s="17" t="str">
        <f>W198</f>
        <v>Hydrogen Consumption, MWh/MWh Total Inputs</v>
      </c>
      <c r="X206" s="17"/>
      <c r="Y206" s="17"/>
    </row>
    <row r="207" spans="3:25">
      <c r="C207" s="43"/>
      <c r="D207" s="43"/>
      <c r="E207" s="17" t="str">
        <f>E199</f>
        <v>SUPELC</v>
      </c>
      <c r="F207" s="43"/>
      <c r="G207" s="43"/>
      <c r="H207" s="43"/>
      <c r="I207" s="43"/>
      <c r="J207" s="43"/>
      <c r="K207" s="33">
        <f>(INDEX('92 HVO jet fuel'!$D$4:$H$59,MATCH(SUP_Biofuels!W207,'92 HVO jet fuel'!$B$4:$B$59,0),MATCH(SUP_Biofuels!$I205,'92 HVO jet fuel'!$D$3:$H$3,0)))/INDEX('92 HVO jet fuel'!$D$4:$H$59,MATCH(SUP_Biofuels!X205,'92 HVO jet fuel'!$B$4:$B$59,0),MATCH(SUP_Biofuels!$I205,'92 HVO jet fuel'!$D$3:$H$3,0))</f>
        <v>4.5454545454545452E-3</v>
      </c>
      <c r="L207" s="43"/>
      <c r="M207" s="43"/>
      <c r="N207" s="43"/>
      <c r="O207" s="43"/>
      <c r="P207" s="40"/>
      <c r="Q207" s="43"/>
      <c r="R207" s="43"/>
      <c r="S207" s="43"/>
      <c r="T207" s="43"/>
      <c r="U207" s="43"/>
      <c r="V207" s="43"/>
      <c r="W207" s="17" t="str">
        <f>W199</f>
        <v>Electricity Consumption, MWh/MWh Total Inputs</v>
      </c>
      <c r="X207" s="43"/>
      <c r="Y207" s="43"/>
    </row>
    <row r="208" spans="3:25">
      <c r="C208" s="43"/>
      <c r="D208" s="43"/>
      <c r="E208" s="17" t="str">
        <f>E200</f>
        <v>SUPNGA,SUPSNG,SUPH2</v>
      </c>
      <c r="F208" s="43"/>
      <c r="G208" s="43"/>
      <c r="H208" s="43"/>
      <c r="I208" s="43"/>
      <c r="J208" s="43"/>
      <c r="K208" s="33">
        <f>(INDEX('92 HVO jet fuel'!$D$4:$H$59,MATCH(SUP_Biofuels!W208,'92 HVO jet fuel'!$B$4:$B$59,0),MATCH(SUP_Biofuels!$I205,'92 HVO jet fuel'!$D$3:$H$3,0)))/INDEX('92 HVO jet fuel'!$D$4:$H$59,MATCH(SUP_Biofuels!X205,'92 HVO jet fuel'!$B$4:$B$59,0),MATCH(SUP_Biofuels!$I205,'92 HVO jet fuel'!$D$3:$H$3,0))</f>
        <v>0.1803030303030303</v>
      </c>
      <c r="L208" s="43"/>
      <c r="M208" s="43"/>
      <c r="N208" s="43"/>
      <c r="O208" s="43"/>
      <c r="P208" s="40"/>
      <c r="Q208" s="43"/>
      <c r="R208" s="43"/>
      <c r="S208" s="43"/>
      <c r="T208" s="43"/>
      <c r="U208" s="43"/>
      <c r="V208" s="43"/>
      <c r="W208" s="17" t="str">
        <f>W200</f>
        <v>Natural Gas Consumption, MWh/MWh Total Inputs</v>
      </c>
      <c r="X208" s="43"/>
      <c r="Y208" s="43"/>
    </row>
    <row r="209" spans="3:25" ht="15.6">
      <c r="C209" s="43"/>
      <c r="D209" s="32"/>
      <c r="E209" s="43"/>
      <c r="F209" s="43"/>
      <c r="G209" s="17" t="str">
        <f>G201</f>
        <v>LVN</v>
      </c>
      <c r="H209" s="43"/>
      <c r="I209" s="43"/>
      <c r="J209" s="43"/>
      <c r="K209" s="43"/>
      <c r="L209" s="33">
        <f>INDEX('92 HVO jet fuel'!$D$4:$H$59,MATCH(SUP_Biofuels!Y209,'92 HVO jet fuel'!$B$4:$B$59,0),MATCH(SUP_Biofuels!$I205,'92 HVO jet fuel'!$D$3:$H$3,0))*(SUM(K205:K208))</f>
        <v>9.8636363636363647E-2</v>
      </c>
      <c r="M209" s="43"/>
      <c r="N209" s="43"/>
      <c r="O209" s="43"/>
      <c r="P209" s="40"/>
      <c r="Q209" s="43"/>
      <c r="R209" s="43"/>
      <c r="S209" s="43"/>
      <c r="T209" s="43"/>
      <c r="U209" s="43"/>
      <c r="V209" s="45"/>
      <c r="W209" s="43"/>
      <c r="X209" s="43"/>
      <c r="Y209" s="17" t="str">
        <f>Y201</f>
        <v>Naphta Output, MWh/MWh Total Input</v>
      </c>
    </row>
    <row r="210" spans="3:25">
      <c r="C210" s="43"/>
      <c r="D210" s="43"/>
      <c r="E210" s="43"/>
      <c r="F210" s="43"/>
      <c r="G210" s="17" t="str">
        <f>G202</f>
        <v>LPG</v>
      </c>
      <c r="H210" s="43"/>
      <c r="I210" s="43"/>
      <c r="J210" s="43"/>
      <c r="K210" s="43"/>
      <c r="L210" s="33">
        <f>INDEX('92 HVO jet fuel'!$D$4:$H$59,MATCH(SUP_Biofuels!Y210,'92 HVO jet fuel'!$B$4:$B$59,0),MATCH(SUP_Biofuels!$I205,'92 HVO jet fuel'!$D$3:$H$3,0))*(SUM(K205:K208))</f>
        <v>0.13999999999999999</v>
      </c>
      <c r="M210" s="43"/>
      <c r="N210" s="43"/>
      <c r="O210" s="43"/>
      <c r="P210" s="40"/>
      <c r="Q210" s="43"/>
      <c r="R210" s="43"/>
      <c r="S210" s="43"/>
      <c r="T210" s="43"/>
      <c r="U210" s="43"/>
      <c r="V210" s="43"/>
      <c r="W210" s="43"/>
      <c r="X210" s="43"/>
      <c r="Y210" s="17" t="str">
        <f>Y202</f>
        <v>LPG Output, MWh/MWh Total Input</v>
      </c>
    </row>
    <row r="211" spans="3:25">
      <c r="C211" s="43"/>
      <c r="D211" s="43"/>
      <c r="E211" s="43"/>
      <c r="F211" s="43"/>
      <c r="G211" s="17" t="str">
        <f>G203</f>
        <v>SNG1</v>
      </c>
      <c r="H211" s="43"/>
      <c r="I211" s="43"/>
      <c r="J211" s="43"/>
      <c r="K211" s="43"/>
      <c r="L211" s="33">
        <f>INDEX('92 HVO jet fuel'!$D$4:$H$59,MATCH(SUP_Biofuels!Y211,'92 HVO jet fuel'!$B$4:$B$59,0),MATCH(SUP_Biofuels!$I205,'92 HVO jet fuel'!$D$3:$H$3,0))*(SUM(K205:K208))</f>
        <v>0.15151515151515152</v>
      </c>
      <c r="M211" s="43"/>
      <c r="N211" s="43"/>
      <c r="O211" s="43"/>
      <c r="P211" s="40"/>
      <c r="Q211" s="43"/>
      <c r="R211" s="43"/>
      <c r="S211" s="43"/>
      <c r="T211" s="43"/>
      <c r="U211" s="43"/>
      <c r="V211" s="43"/>
      <c r="W211" s="43"/>
      <c r="X211" s="43"/>
      <c r="Y211" s="17" t="str">
        <f>Y203</f>
        <v>Fuel Gas Output, MWh/MWh Total Input</v>
      </c>
    </row>
    <row r="212" spans="3:25">
      <c r="C212" s="43"/>
      <c r="D212" s="43"/>
      <c r="E212" s="43"/>
      <c r="F212" s="43"/>
      <c r="G212" s="7" t="s">
        <v>216</v>
      </c>
      <c r="H212" s="43"/>
      <c r="I212" s="43"/>
      <c r="J212" s="43"/>
      <c r="K212" s="43"/>
      <c r="L212" s="33">
        <f>INDEX('92 HVO jet fuel'!$D$4:$H$59,MATCH(SUP_Biofuels!Y212,'92 HVO jet fuel'!$B$4:$B$59,0),MATCH(SUP_Biofuels!$I205,'92 HVO jet fuel'!$D$3:$H$3,0))*(SUM(K205:K208))</f>
        <v>4.0227272727272723E-2</v>
      </c>
      <c r="M212" s="43"/>
      <c r="N212" s="43"/>
      <c r="O212" s="43"/>
      <c r="P212" s="40"/>
      <c r="Q212" s="43"/>
      <c r="R212" s="43"/>
      <c r="S212" s="43"/>
      <c r="T212" s="43"/>
      <c r="U212" s="43"/>
      <c r="V212" s="43"/>
      <c r="W212" s="43"/>
      <c r="X212" s="43"/>
      <c r="Y212" s="17" t="str">
        <f>Y204</f>
        <v>District Heating Output, MWh/MWh Total input</v>
      </c>
    </row>
    <row r="213" spans="3:25">
      <c r="C213" s="43"/>
      <c r="D213" s="17"/>
      <c r="E213" s="17" t="str">
        <f>E205</f>
        <v>SUPRPS</v>
      </c>
      <c r="F213" s="17" t="str">
        <f>F205</f>
        <v>KRB1</v>
      </c>
      <c r="G213" s="17"/>
      <c r="H213" s="17" t="s">
        <v>70</v>
      </c>
      <c r="I213" s="17">
        <v>2030</v>
      </c>
      <c r="J213" s="17"/>
      <c r="K213" s="33">
        <f>(INDEX('92 HVO jet fuel'!$D$4:$H$59,MATCH(SUP_Biofuels!W213,'92 HVO jet fuel'!$B$4:$B$59,0),MATCH(SUP_Biofuels!$I213,'92 HVO jet fuel'!$D$3:$H$3,0)))/INDEX('92 HVO jet fuel'!$D$4:$H$59,MATCH(SUP_Biofuels!X213,'92 HVO jet fuel'!$B$4:$B$59,0),MATCH(SUP_Biofuels!$I213,'92 HVO jet fuel'!$D$3:$H$3,0))</f>
        <v>1.1803030303030302</v>
      </c>
      <c r="L213" s="33"/>
      <c r="M213" s="34">
        <f>INDEX('92 HVO jet fuel'!$D$4:$H$59,MATCH(SUP_Biofuels!M$8,'92 HVO jet fuel'!$B$4:$B$59,0),MATCH(SUP_Biofuels!$I213,'92 HVO jet fuel'!$D$3:$H$3,0))</f>
        <v>25</v>
      </c>
      <c r="N213" s="35">
        <f>INDEX('92 HVO jet fuel'!$D$4:$H$59,MATCH(SUP_Biofuels!N$8,'92 HVO jet fuel'!$B$4:$B$59,0),MATCH(SUP_Biofuels!$I213,'92 HVO jet fuel'!$D$3:$H$3,0))*7.45</f>
        <v>6.0374025974025978</v>
      </c>
      <c r="O213" s="35">
        <f>INDEX('92 HVO jet fuel'!$D$4:$H$59,MATCH(SUP_Biofuels!O$8,'92 HVO jet fuel'!$B$4:$B$59,0),MATCH(SUP_Biofuels!$I213,'92 HVO jet fuel'!$D$3:$H$3,0))*7.45</f>
        <v>0.26538033395176247</v>
      </c>
      <c r="P213" s="35">
        <f>INDEX('92 HVO jet fuel'!$D$4:$H$59,MATCH(SUP_Biofuels!P$8,'92 HVO jet fuel'!$B$4:$B$59,0),MATCH(SUP_Biofuels!$I213,'92 HVO jet fuel'!$D$3:$H$3,0))*7.45/3.6</f>
        <v>17.591358678811794</v>
      </c>
      <c r="Q213" s="33">
        <f>1-INDEX('92 HVO jet fuel'!$D$4:$H$59,MATCH(SUP_Biofuels!Q$7,'92 HVO jet fuel'!$B$4:$B$59,0),MATCH(SUP_Biofuels!$I213,'92 HVO jet fuel'!$D$3:$H$3,0))/52-INDEX('92 HVO jet fuel'!$D$4:$H$59,MATCH(SUP_Biofuels!Q$8,'92 HVO jet fuel'!$B$4:$B$59,0),MATCH(SUP_Biofuels!$I213,'92 HVO jet fuel'!$D$3:$H$3,0))/100</f>
        <v>0.96153846153846156</v>
      </c>
      <c r="R213" s="36">
        <f>$R$39</f>
        <v>3.1536000000000002E-2</v>
      </c>
      <c r="S213" s="34">
        <f>INDEX('92 HVO jet fuel'!$D$4:$H$59,MATCH(SUP_Biofuels!S$8,'92 HVO jet fuel'!$B$4:$B$59,0),MATCH(SUP_Biofuels!$I213,'92 HVO jet fuel'!$D$3:$H$3,0))</f>
        <v>2</v>
      </c>
      <c r="T213" s="34"/>
      <c r="U213" s="44"/>
      <c r="V213" s="43"/>
      <c r="W213" s="17" t="str">
        <f>W205</f>
        <v>Feedstock Consumption, MWh/MWh Total Inputs</v>
      </c>
      <c r="X213" s="17" t="str">
        <f>X205</f>
        <v>HVO Jet Output, GJ/GJ Total Input</v>
      </c>
      <c r="Y213" s="17"/>
    </row>
    <row r="214" spans="3:25">
      <c r="C214" s="43"/>
      <c r="D214" s="43"/>
      <c r="E214" s="17" t="str">
        <f>E206</f>
        <v>SUPH2</v>
      </c>
      <c r="F214" s="17"/>
      <c r="G214" s="17"/>
      <c r="H214" s="17"/>
      <c r="I214" s="17"/>
      <c r="J214" s="17"/>
      <c r="K214" s="33">
        <f>(INDEX('92 HVO jet fuel'!$D$4:$H$59,MATCH(SUP_Biofuels!W214,'92 HVO jet fuel'!$B$4:$B$59,0),MATCH(SUP_Biofuels!$I213,'92 HVO jet fuel'!$D$3:$H$3,0)))/INDEX('92 HVO jet fuel'!$D$4:$H$59,MATCH(SUP_Biofuels!X213,'92 HVO jet fuel'!$B$4:$B$59,0),MATCH(SUP_Biofuels!$I213,'92 HVO jet fuel'!$D$3:$H$3,0))</f>
        <v>0.15</v>
      </c>
      <c r="L214" s="33"/>
      <c r="M214" s="39"/>
      <c r="N214" s="40"/>
      <c r="O214" s="40"/>
      <c r="P214" s="40"/>
      <c r="Q214" s="41"/>
      <c r="R214" s="42"/>
      <c r="S214" s="39"/>
      <c r="T214" s="39"/>
      <c r="U214" s="43"/>
      <c r="V214" s="43"/>
      <c r="W214" s="17" t="str">
        <f>W206</f>
        <v>Hydrogen Consumption, MWh/MWh Total Inputs</v>
      </c>
      <c r="X214" s="17"/>
      <c r="Y214" s="17"/>
    </row>
    <row r="215" spans="3:25">
      <c r="C215" s="43"/>
      <c r="D215" s="43"/>
      <c r="E215" s="17" t="str">
        <f>E207</f>
        <v>SUPELC</v>
      </c>
      <c r="F215" s="43"/>
      <c r="G215" s="43"/>
      <c r="H215" s="43"/>
      <c r="I215" s="43"/>
      <c r="J215" s="43"/>
      <c r="K215" s="33">
        <f>(INDEX('92 HVO jet fuel'!$D$4:$H$59,MATCH(SUP_Biofuels!W215,'92 HVO jet fuel'!$B$4:$B$59,0),MATCH(SUP_Biofuels!$I213,'92 HVO jet fuel'!$D$3:$H$3,0)))/INDEX('92 HVO jet fuel'!$D$4:$H$59,MATCH(SUP_Biofuels!X213,'92 HVO jet fuel'!$B$4:$B$59,0),MATCH(SUP_Biofuels!$I213,'92 HVO jet fuel'!$D$3:$H$3,0))</f>
        <v>4.5454545454545452E-3</v>
      </c>
      <c r="L215" s="43"/>
      <c r="M215" s="43"/>
      <c r="N215" s="43"/>
      <c r="O215" s="43"/>
      <c r="P215" s="40"/>
      <c r="Q215" s="43"/>
      <c r="R215" s="43"/>
      <c r="S215" s="43"/>
      <c r="T215" s="43"/>
      <c r="U215" s="43"/>
      <c r="V215" s="43"/>
      <c r="W215" s="17" t="str">
        <f>W207</f>
        <v>Electricity Consumption, MWh/MWh Total Inputs</v>
      </c>
      <c r="X215" s="43"/>
      <c r="Y215" s="43"/>
    </row>
    <row r="216" spans="3:25" ht="15.6">
      <c r="C216" s="43"/>
      <c r="D216" s="32"/>
      <c r="E216" s="17" t="str">
        <f>E208</f>
        <v>SUPNGA,SUPSNG,SUPH2</v>
      </c>
      <c r="F216" s="43"/>
      <c r="G216" s="43"/>
      <c r="H216" s="43"/>
      <c r="I216" s="43"/>
      <c r="J216" s="43"/>
      <c r="K216" s="33">
        <f>(INDEX('92 HVO jet fuel'!$D$4:$H$59,MATCH(SUP_Biofuels!W216,'92 HVO jet fuel'!$B$4:$B$59,0),MATCH(SUP_Biofuels!$I213,'92 HVO jet fuel'!$D$3:$H$3,0)))/INDEX('92 HVO jet fuel'!$D$4:$H$59,MATCH(SUP_Biofuels!X213,'92 HVO jet fuel'!$B$4:$B$59,0),MATCH(SUP_Biofuels!$I213,'92 HVO jet fuel'!$D$3:$H$3,0))</f>
        <v>0.1803030303030303</v>
      </c>
      <c r="L216" s="43"/>
      <c r="M216" s="43"/>
      <c r="N216" s="43"/>
      <c r="O216" s="43"/>
      <c r="P216" s="40"/>
      <c r="Q216" s="43"/>
      <c r="R216" s="43"/>
      <c r="S216" s="43"/>
      <c r="T216" s="43"/>
      <c r="U216" s="43"/>
      <c r="V216" s="45"/>
      <c r="W216" s="17" t="str">
        <f>W208</f>
        <v>Natural Gas Consumption, MWh/MWh Total Inputs</v>
      </c>
      <c r="X216" s="43"/>
      <c r="Y216" s="43"/>
    </row>
    <row r="217" spans="3:25">
      <c r="C217" s="43"/>
      <c r="D217" s="17"/>
      <c r="E217" s="43"/>
      <c r="F217" s="43"/>
      <c r="G217" s="17" t="str">
        <f>G209</f>
        <v>LVN</v>
      </c>
      <c r="H217" s="43"/>
      <c r="I217" s="43"/>
      <c r="J217" s="43"/>
      <c r="K217" s="43"/>
      <c r="L217" s="33">
        <f>INDEX('92 HVO jet fuel'!$D$4:$H$59,MATCH(SUP_Biofuels!Y217,'92 HVO jet fuel'!$B$4:$B$59,0),MATCH(SUP_Biofuels!$I213,'92 HVO jet fuel'!$D$3:$H$3,0))*(SUM(K213:K216))</f>
        <v>9.8636363636363647E-2</v>
      </c>
      <c r="M217" s="43"/>
      <c r="N217" s="43"/>
      <c r="O217" s="43"/>
      <c r="P217" s="40"/>
      <c r="Q217" s="43"/>
      <c r="R217" s="43"/>
      <c r="S217" s="43"/>
      <c r="T217" s="43"/>
      <c r="U217" s="43"/>
      <c r="V217" s="43"/>
      <c r="W217" s="43"/>
      <c r="X217" s="43"/>
      <c r="Y217" s="17" t="str">
        <f>Y209</f>
        <v>Naphta Output, MWh/MWh Total Input</v>
      </c>
    </row>
    <row r="218" spans="3:25">
      <c r="C218" s="43"/>
      <c r="D218" s="43"/>
      <c r="E218" s="43"/>
      <c r="F218" s="43"/>
      <c r="G218" s="17" t="str">
        <f>G210</f>
        <v>LPG</v>
      </c>
      <c r="H218" s="43"/>
      <c r="I218" s="43"/>
      <c r="J218" s="43"/>
      <c r="K218" s="43"/>
      <c r="L218" s="33">
        <f>INDEX('92 HVO jet fuel'!$D$4:$H$59,MATCH(SUP_Biofuels!Y218,'92 HVO jet fuel'!$B$4:$B$59,0),MATCH(SUP_Biofuels!$I213,'92 HVO jet fuel'!$D$3:$H$3,0))*(SUM(K213:K216))</f>
        <v>0.13999999999999999</v>
      </c>
      <c r="M218" s="43"/>
      <c r="N218" s="43"/>
      <c r="O218" s="43"/>
      <c r="P218" s="40"/>
      <c r="Q218" s="43"/>
      <c r="R218" s="43"/>
      <c r="S218" s="43"/>
      <c r="T218" s="43"/>
      <c r="U218" s="43"/>
      <c r="V218" s="43"/>
      <c r="W218" s="43"/>
      <c r="X218" s="43"/>
      <c r="Y218" s="17" t="str">
        <f>Y210</f>
        <v>LPG Output, MWh/MWh Total Input</v>
      </c>
    </row>
    <row r="219" spans="3:25">
      <c r="C219" s="43"/>
      <c r="D219" s="43"/>
      <c r="E219" s="43"/>
      <c r="F219" s="43"/>
      <c r="G219" s="17" t="str">
        <f>G211</f>
        <v>SNG1</v>
      </c>
      <c r="H219" s="43"/>
      <c r="I219" s="43"/>
      <c r="J219" s="43"/>
      <c r="K219" s="43"/>
      <c r="L219" s="33">
        <f>INDEX('92 HVO jet fuel'!$D$4:$H$59,MATCH(SUP_Biofuels!Y219,'92 HVO jet fuel'!$B$4:$B$59,0),MATCH(SUP_Biofuels!$I213,'92 HVO jet fuel'!$D$3:$H$3,0))*(SUM(K213:K216))</f>
        <v>0.15151515151515152</v>
      </c>
      <c r="M219" s="43"/>
      <c r="N219" s="43"/>
      <c r="O219" s="43"/>
      <c r="P219" s="40"/>
      <c r="Q219" s="43"/>
      <c r="R219" s="43"/>
      <c r="S219" s="43"/>
      <c r="T219" s="43"/>
      <c r="U219" s="43"/>
      <c r="V219" s="43"/>
      <c r="W219" s="43"/>
      <c r="X219" s="43"/>
      <c r="Y219" s="17" t="str">
        <f>Y211</f>
        <v>Fuel Gas Output, MWh/MWh Total Input</v>
      </c>
    </row>
    <row r="220" spans="3:25">
      <c r="C220" s="43"/>
      <c r="D220" s="43"/>
      <c r="E220" s="43"/>
      <c r="F220" s="43"/>
      <c r="G220" s="7" t="s">
        <v>216</v>
      </c>
      <c r="H220" s="43"/>
      <c r="I220" s="43"/>
      <c r="J220" s="43"/>
      <c r="K220" s="43"/>
      <c r="L220" s="33">
        <f>INDEX('92 HVO jet fuel'!$D$4:$H$59,MATCH(SUP_Biofuels!Y220,'92 HVO jet fuel'!$B$4:$B$59,0),MATCH(SUP_Biofuels!$I213,'92 HVO jet fuel'!$D$3:$H$3,0))*(SUM(K213:K216))</f>
        <v>4.0227272727272723E-2</v>
      </c>
      <c r="M220" s="43"/>
      <c r="N220" s="43"/>
      <c r="O220" s="43"/>
      <c r="P220" s="40"/>
      <c r="Q220" s="43"/>
      <c r="R220" s="43"/>
      <c r="S220" s="43"/>
      <c r="T220" s="43"/>
      <c r="U220" s="43"/>
      <c r="V220" s="43"/>
      <c r="W220" s="43"/>
      <c r="X220" s="43"/>
      <c r="Y220" s="17" t="str">
        <f>Y212</f>
        <v>District Heating Output, MWh/MWh Total input</v>
      </c>
    </row>
    <row r="221" spans="3:25">
      <c r="C221" s="43"/>
      <c r="D221" s="43"/>
      <c r="E221" s="17" t="str">
        <f>E213</f>
        <v>SUPRPS</v>
      </c>
      <c r="F221" s="17" t="str">
        <f>F213</f>
        <v>KRB1</v>
      </c>
      <c r="G221" s="17"/>
      <c r="H221" s="17" t="s">
        <v>70</v>
      </c>
      <c r="I221" s="17">
        <v>2040</v>
      </c>
      <c r="J221" s="17"/>
      <c r="K221" s="33">
        <f>(INDEX('92 HVO jet fuel'!$D$4:$H$59,MATCH(SUP_Biofuels!W221,'92 HVO jet fuel'!$B$4:$B$59,0),MATCH(SUP_Biofuels!$I221,'92 HVO jet fuel'!$D$3:$H$3,0)))/INDEX('92 HVO jet fuel'!$D$4:$H$59,MATCH(SUP_Biofuels!X221,'92 HVO jet fuel'!$B$4:$B$59,0),MATCH(SUP_Biofuels!$I221,'92 HVO jet fuel'!$D$3:$H$3,0))</f>
        <v>1.1803030303030302</v>
      </c>
      <c r="L221" s="33"/>
      <c r="M221" s="34">
        <f>INDEX('92 HVO jet fuel'!$D$4:$H$59,MATCH(SUP_Biofuels!M$8,'92 HVO jet fuel'!$B$4:$B$59,0),MATCH(SUP_Biofuels!$I221,'92 HVO jet fuel'!$D$3:$H$3,0))</f>
        <v>25</v>
      </c>
      <c r="N221" s="35">
        <f>INDEX('92 HVO jet fuel'!$D$4:$H$59,MATCH(SUP_Biofuels!N$8,'92 HVO jet fuel'!$B$4:$B$59,0),MATCH(SUP_Biofuels!$I221,'92 HVO jet fuel'!$D$3:$H$3,0))*7.45</f>
        <v>5.6240196078431381</v>
      </c>
      <c r="O221" s="35">
        <f>INDEX('92 HVO jet fuel'!$D$4:$H$59,MATCH(SUP_Biofuels!O$8,'92 HVO jet fuel'!$B$4:$B$59,0),MATCH(SUP_Biofuels!$I221,'92 HVO jet fuel'!$D$3:$H$3,0))*7.45</f>
        <v>0.2655971479500891</v>
      </c>
      <c r="P221" s="35">
        <f>INDEX('92 HVO jet fuel'!$D$4:$H$59,MATCH(SUP_Biofuels!P$8,'92 HVO jet fuel'!$B$4:$B$59,0),MATCH(SUP_Biofuels!$I221,'92 HVO jet fuel'!$D$3:$H$3,0))*7.45/3.6</f>
        <v>17.591358678811794</v>
      </c>
      <c r="Q221" s="33">
        <f>1-INDEX('92 HVO jet fuel'!$D$4:$H$59,MATCH(SUP_Biofuels!Q$7,'92 HVO jet fuel'!$B$4:$B$59,0),MATCH(SUP_Biofuels!$I221,'92 HVO jet fuel'!$D$3:$H$3,0))/52-INDEX('92 HVO jet fuel'!$D$4:$H$59,MATCH(SUP_Biofuels!Q$8,'92 HVO jet fuel'!$B$4:$B$59,0),MATCH(SUP_Biofuels!$I221,'92 HVO jet fuel'!$D$3:$H$3,0))/100</f>
        <v>0.96153846153846156</v>
      </c>
      <c r="R221" s="36">
        <f>$R$39</f>
        <v>3.1536000000000002E-2</v>
      </c>
      <c r="S221" s="34">
        <f>INDEX('92 HVO jet fuel'!$D$4:$H$59,MATCH(SUP_Biofuels!S$8,'92 HVO jet fuel'!$B$4:$B$59,0),MATCH(SUP_Biofuels!$I221,'92 HVO jet fuel'!$D$3:$H$3,0))</f>
        <v>2</v>
      </c>
      <c r="T221" s="34"/>
      <c r="U221" s="44"/>
      <c r="V221" s="43"/>
      <c r="W221" s="17" t="str">
        <f>W213</f>
        <v>Feedstock Consumption, MWh/MWh Total Inputs</v>
      </c>
      <c r="X221" s="17" t="str">
        <f>X213</f>
        <v>HVO Jet Output, GJ/GJ Total Input</v>
      </c>
      <c r="Y221" s="17"/>
    </row>
    <row r="222" spans="3:25">
      <c r="C222" s="43"/>
      <c r="D222" s="43"/>
      <c r="E222" s="17" t="str">
        <f>E214</f>
        <v>SUPH2</v>
      </c>
      <c r="F222" s="17"/>
      <c r="G222" s="17"/>
      <c r="H222" s="17"/>
      <c r="I222" s="17"/>
      <c r="J222" s="17"/>
      <c r="K222" s="33">
        <f>(INDEX('92 HVO jet fuel'!$D$4:$H$59,MATCH(SUP_Biofuels!W222,'92 HVO jet fuel'!$B$4:$B$59,0),MATCH(SUP_Biofuels!$I221,'92 HVO jet fuel'!$D$3:$H$3,0)))/INDEX('92 HVO jet fuel'!$D$4:$H$59,MATCH(SUP_Biofuels!X221,'92 HVO jet fuel'!$B$4:$B$59,0),MATCH(SUP_Biofuels!$I221,'92 HVO jet fuel'!$D$3:$H$3,0))</f>
        <v>0.15</v>
      </c>
      <c r="L222" s="33"/>
      <c r="M222" s="39"/>
      <c r="N222" s="40"/>
      <c r="O222" s="40"/>
      <c r="P222" s="40"/>
      <c r="Q222" s="41"/>
      <c r="R222" s="42"/>
      <c r="S222" s="39"/>
      <c r="T222" s="39"/>
      <c r="U222" s="43"/>
      <c r="V222" s="43"/>
      <c r="W222" s="17" t="str">
        <f>W214</f>
        <v>Hydrogen Consumption, MWh/MWh Total Inputs</v>
      </c>
      <c r="X222" s="17"/>
      <c r="Y222" s="17"/>
    </row>
    <row r="223" spans="3:25">
      <c r="C223" s="43"/>
      <c r="D223" s="43"/>
      <c r="E223" s="17" t="str">
        <f>E215</f>
        <v>SUPELC</v>
      </c>
      <c r="F223" s="43"/>
      <c r="G223" s="43"/>
      <c r="H223" s="43"/>
      <c r="I223" s="43"/>
      <c r="J223" s="43"/>
      <c r="K223" s="33">
        <f>(INDEX('92 HVO jet fuel'!$D$4:$H$59,MATCH(SUP_Biofuels!W223,'92 HVO jet fuel'!$B$4:$B$59,0),MATCH(SUP_Biofuels!$I221,'92 HVO jet fuel'!$D$3:$H$3,0)))/INDEX('92 HVO jet fuel'!$D$4:$H$59,MATCH(SUP_Biofuels!X221,'92 HVO jet fuel'!$B$4:$B$59,0),MATCH(SUP_Biofuels!$I221,'92 HVO jet fuel'!$D$3:$H$3,0))</f>
        <v>4.5454545454545452E-3</v>
      </c>
      <c r="L223" s="43"/>
      <c r="M223" s="43"/>
      <c r="N223" s="43"/>
      <c r="O223" s="43"/>
      <c r="P223" s="40"/>
      <c r="Q223" s="43"/>
      <c r="R223" s="43"/>
      <c r="S223" s="43"/>
      <c r="T223" s="43"/>
      <c r="U223" s="43"/>
      <c r="V223" s="43"/>
      <c r="W223" s="17" t="str">
        <f>W215</f>
        <v>Electricity Consumption, MWh/MWh Total Inputs</v>
      </c>
      <c r="X223" s="43"/>
      <c r="Y223" s="43"/>
    </row>
    <row r="224" spans="3:25">
      <c r="C224" s="43"/>
      <c r="D224" s="43"/>
      <c r="E224" s="17" t="str">
        <f>E216</f>
        <v>SUPNGA,SUPSNG,SUPH2</v>
      </c>
      <c r="F224" s="43"/>
      <c r="G224" s="43"/>
      <c r="H224" s="43"/>
      <c r="I224" s="43"/>
      <c r="J224" s="43"/>
      <c r="K224" s="33">
        <f>(INDEX('92 HVO jet fuel'!$D$4:$H$59,MATCH(SUP_Biofuels!W224,'92 HVO jet fuel'!$B$4:$B$59,0),MATCH(SUP_Biofuels!$I221,'92 HVO jet fuel'!$D$3:$H$3,0)))/INDEX('92 HVO jet fuel'!$D$4:$H$59,MATCH(SUP_Biofuels!X221,'92 HVO jet fuel'!$B$4:$B$59,0),MATCH(SUP_Biofuels!$I221,'92 HVO jet fuel'!$D$3:$H$3,0))</f>
        <v>0.1803030303030303</v>
      </c>
      <c r="L224" s="43"/>
      <c r="M224" s="43"/>
      <c r="N224" s="43"/>
      <c r="O224" s="43"/>
      <c r="P224" s="40"/>
      <c r="Q224" s="43"/>
      <c r="R224" s="43"/>
      <c r="S224" s="43"/>
      <c r="T224" s="43"/>
      <c r="U224" s="43"/>
      <c r="V224" s="43"/>
      <c r="W224" s="17" t="str">
        <f>W216</f>
        <v>Natural Gas Consumption, MWh/MWh Total Inputs</v>
      </c>
      <c r="X224" s="43"/>
      <c r="Y224" s="43"/>
    </row>
    <row r="225" spans="3:25">
      <c r="C225" s="43"/>
      <c r="D225" s="43"/>
      <c r="E225" s="43"/>
      <c r="F225" s="43"/>
      <c r="G225" s="17" t="str">
        <f>G217</f>
        <v>LVN</v>
      </c>
      <c r="H225" s="43"/>
      <c r="I225" s="43"/>
      <c r="J225" s="43"/>
      <c r="K225" s="43"/>
      <c r="L225" s="33">
        <f>INDEX('92 HVO jet fuel'!$D$4:$H$59,MATCH(SUP_Biofuels!Y225,'92 HVO jet fuel'!$B$4:$B$59,0),MATCH(SUP_Biofuels!$I221,'92 HVO jet fuel'!$D$3:$H$3,0))*(SUM(K221:K224))</f>
        <v>9.8636363636363647E-2</v>
      </c>
      <c r="M225" s="43"/>
      <c r="N225" s="43"/>
      <c r="O225" s="43"/>
      <c r="P225" s="40"/>
      <c r="Q225" s="43"/>
      <c r="R225" s="43"/>
      <c r="S225" s="43"/>
      <c r="T225" s="43"/>
      <c r="U225" s="43"/>
      <c r="V225" s="43"/>
      <c r="W225" s="43"/>
      <c r="X225" s="43"/>
      <c r="Y225" s="17" t="str">
        <f>Y217</f>
        <v>Naphta Output, MWh/MWh Total Input</v>
      </c>
    </row>
    <row r="226" spans="3:25">
      <c r="C226" s="43"/>
      <c r="D226" s="43"/>
      <c r="E226" s="43"/>
      <c r="F226" s="43"/>
      <c r="G226" s="17" t="str">
        <f>G218</f>
        <v>LPG</v>
      </c>
      <c r="H226" s="43"/>
      <c r="I226" s="43"/>
      <c r="J226" s="43"/>
      <c r="K226" s="43"/>
      <c r="L226" s="33">
        <f>INDEX('92 HVO jet fuel'!$D$4:$H$59,MATCH(SUP_Biofuels!Y226,'92 HVO jet fuel'!$B$4:$B$59,0),MATCH(SUP_Biofuels!$I221,'92 HVO jet fuel'!$D$3:$H$3,0))*(SUM(K221:K224))</f>
        <v>0.13999999999999999</v>
      </c>
      <c r="M226" s="43"/>
      <c r="N226" s="43"/>
      <c r="O226" s="43"/>
      <c r="P226" s="40"/>
      <c r="Q226" s="43"/>
      <c r="R226" s="43"/>
      <c r="S226" s="43"/>
      <c r="T226" s="43"/>
      <c r="U226" s="43"/>
      <c r="V226" s="43"/>
      <c r="W226" s="43"/>
      <c r="X226" s="43"/>
      <c r="Y226" s="17" t="str">
        <f>Y218</f>
        <v>LPG Output, MWh/MWh Total Input</v>
      </c>
    </row>
    <row r="227" spans="3:25">
      <c r="C227" s="43"/>
      <c r="D227" s="43"/>
      <c r="E227" s="43"/>
      <c r="F227" s="43"/>
      <c r="G227" s="17" t="str">
        <f>G219</f>
        <v>SNG1</v>
      </c>
      <c r="H227" s="43"/>
      <c r="I227" s="43"/>
      <c r="J227" s="43"/>
      <c r="K227" s="43"/>
      <c r="L227" s="33">
        <f>INDEX('92 HVO jet fuel'!$D$4:$H$59,MATCH(SUP_Biofuels!Y227,'92 HVO jet fuel'!$B$4:$B$59,0),MATCH(SUP_Biofuels!$I221,'92 HVO jet fuel'!$D$3:$H$3,0))*(SUM(K221:K224))</f>
        <v>0.15151515151515152</v>
      </c>
      <c r="M227" s="43"/>
      <c r="N227" s="43"/>
      <c r="O227" s="43"/>
      <c r="P227" s="40"/>
      <c r="Q227" s="43"/>
      <c r="R227" s="43"/>
      <c r="S227" s="43"/>
      <c r="T227" s="43"/>
      <c r="U227" s="43"/>
      <c r="V227" s="43"/>
      <c r="W227" s="43"/>
      <c r="X227" s="43"/>
      <c r="Y227" s="17" t="str">
        <f>Y219</f>
        <v>Fuel Gas Output, MWh/MWh Total Input</v>
      </c>
    </row>
    <row r="228" spans="3:25">
      <c r="C228" s="43"/>
      <c r="D228" s="43"/>
      <c r="E228" s="43"/>
      <c r="F228" s="43"/>
      <c r="G228" s="17" t="str">
        <f>G220</f>
        <v>HETC</v>
      </c>
      <c r="H228" s="43"/>
      <c r="I228" s="43"/>
      <c r="J228" s="43"/>
      <c r="K228" s="43"/>
      <c r="L228" s="33">
        <f>INDEX('92 HVO jet fuel'!$D$4:$H$59,MATCH(SUP_Biofuels!Y228,'92 HVO jet fuel'!$B$4:$B$59,0),MATCH(SUP_Biofuels!$I221,'92 HVO jet fuel'!$D$3:$H$3,0))*(SUM(K221:K224))</f>
        <v>4.0227272727272723E-2</v>
      </c>
      <c r="M228" s="43"/>
      <c r="N228" s="43"/>
      <c r="O228" s="43"/>
      <c r="P228" s="40"/>
      <c r="Q228" s="43"/>
      <c r="R228" s="43"/>
      <c r="S228" s="43"/>
      <c r="T228" s="43"/>
      <c r="U228" s="43"/>
      <c r="V228" s="43"/>
      <c r="W228" s="43"/>
      <c r="X228" s="43"/>
      <c r="Y228" s="17" t="str">
        <f>Y220</f>
        <v>District Heating Output, MWh/MWh Total input</v>
      </c>
    </row>
    <row r="229" spans="3:25">
      <c r="C229" s="43"/>
      <c r="D229" s="43"/>
      <c r="E229" s="17" t="str">
        <f>E221</f>
        <v>SUPRPS</v>
      </c>
      <c r="F229" s="17" t="str">
        <f>F221</f>
        <v>KRB1</v>
      </c>
      <c r="G229" s="17"/>
      <c r="H229" s="17" t="s">
        <v>70</v>
      </c>
      <c r="I229" s="17">
        <v>2050</v>
      </c>
      <c r="J229" s="17"/>
      <c r="K229" s="33">
        <f>(INDEX('92 HVO jet fuel'!$D$4:$H$59,MATCH(SUP_Biofuels!W229,'92 HVO jet fuel'!$B$4:$B$59,0),MATCH(SUP_Biofuels!$I229,'92 HVO jet fuel'!$D$3:$H$3,0)))/INDEX('92 HVO jet fuel'!$D$4:$H$59,MATCH(SUP_Biofuels!X229,'92 HVO jet fuel'!$B$4:$B$59,0),MATCH(SUP_Biofuels!$I229,'92 HVO jet fuel'!$D$3:$H$3,0))</f>
        <v>1.1803030303030302</v>
      </c>
      <c r="L229" s="33"/>
      <c r="M229" s="34">
        <f>INDEX('92 HVO jet fuel'!$D$4:$H$59,MATCH(SUP_Biofuels!M$8,'92 HVO jet fuel'!$B$4:$B$59,0),MATCH(SUP_Biofuels!$I229,'92 HVO jet fuel'!$D$3:$H$3,0))</f>
        <v>25</v>
      </c>
      <c r="N229" s="35">
        <f>INDEX('92 HVO jet fuel'!$D$4:$H$59,MATCH(SUP_Biofuels!N$8,'92 HVO jet fuel'!$B$4:$B$59,0),MATCH(SUP_Biofuels!$I229,'92 HVO jet fuel'!$D$3:$H$3,0))*7.45</f>
        <v>5.3151998216375906</v>
      </c>
      <c r="O229" s="35">
        <f>INDEX('92 HVO jet fuel'!$D$4:$H$59,MATCH(SUP_Biofuels!O$8,'92 HVO jet fuel'!$B$4:$B$59,0),MATCH(SUP_Biofuels!$I229,'92 HVO jet fuel'!$D$3:$H$3,0))*7.45</f>
        <v>0.26575999108187948</v>
      </c>
      <c r="P229" s="35">
        <f>INDEX('92 HVO jet fuel'!$D$4:$H$59,MATCH(SUP_Biofuels!P$8,'92 HVO jet fuel'!$B$4:$B$59,0),MATCH(SUP_Biofuels!$I229,'92 HVO jet fuel'!$D$3:$H$3,0))*7.45/3.6</f>
        <v>17.591358678811794</v>
      </c>
      <c r="Q229" s="33">
        <f>1-INDEX('92 HVO jet fuel'!$D$4:$H$59,MATCH(SUP_Biofuels!Q$7,'92 HVO jet fuel'!$B$4:$B$59,0),MATCH(SUP_Biofuels!$I229,'92 HVO jet fuel'!$D$3:$H$3,0))/52-INDEX('92 HVO jet fuel'!$D$4:$H$59,MATCH(SUP_Biofuels!Q$8,'92 HVO jet fuel'!$B$4:$B$59,0),MATCH(SUP_Biofuels!$I229,'92 HVO jet fuel'!$D$3:$H$3,0))/100</f>
        <v>0.96153846153846156</v>
      </c>
      <c r="R229" s="36">
        <f>$R$39</f>
        <v>3.1536000000000002E-2</v>
      </c>
      <c r="S229" s="34">
        <f>INDEX('92 HVO jet fuel'!$D$4:$H$59,MATCH(SUP_Biofuels!S$8,'92 HVO jet fuel'!$B$4:$B$59,0),MATCH(SUP_Biofuels!$I229,'92 HVO jet fuel'!$D$3:$H$3,0))</f>
        <v>2</v>
      </c>
      <c r="T229" s="34"/>
      <c r="U229" s="44"/>
      <c r="V229" s="43"/>
      <c r="W229" s="17" t="str">
        <f>W221</f>
        <v>Feedstock Consumption, MWh/MWh Total Inputs</v>
      </c>
      <c r="X229" s="17" t="str">
        <f>X221</f>
        <v>HVO Jet Output, GJ/GJ Total Input</v>
      </c>
      <c r="Y229" s="17"/>
    </row>
    <row r="230" spans="3:25">
      <c r="C230" s="43"/>
      <c r="D230" s="43"/>
      <c r="E230" s="17" t="str">
        <f>E222</f>
        <v>SUPH2</v>
      </c>
      <c r="F230" s="17"/>
      <c r="G230" s="17"/>
      <c r="H230" s="17"/>
      <c r="I230" s="17"/>
      <c r="J230" s="17"/>
      <c r="K230" s="33">
        <f>(INDEX('92 HVO jet fuel'!$D$4:$H$59,MATCH(SUP_Biofuels!W230,'92 HVO jet fuel'!$B$4:$B$59,0),MATCH(SUP_Biofuels!$I229,'92 HVO jet fuel'!$D$3:$H$3,0)))/INDEX('92 HVO jet fuel'!$D$4:$H$59,MATCH(SUP_Biofuels!X229,'92 HVO jet fuel'!$B$4:$B$59,0),MATCH(SUP_Biofuels!$I229,'92 HVO jet fuel'!$D$3:$H$3,0))</f>
        <v>0.15</v>
      </c>
      <c r="L230" s="33"/>
      <c r="M230" s="39"/>
      <c r="N230" s="40"/>
      <c r="O230" s="40"/>
      <c r="P230" s="40"/>
      <c r="Q230" s="41"/>
      <c r="R230" s="42"/>
      <c r="S230" s="39"/>
      <c r="T230" s="39"/>
      <c r="U230" s="43"/>
      <c r="V230" s="43"/>
      <c r="W230" s="17" t="str">
        <f>W222</f>
        <v>Hydrogen Consumption, MWh/MWh Total Inputs</v>
      </c>
      <c r="X230" s="17"/>
      <c r="Y230" s="17"/>
    </row>
    <row r="231" spans="3:25" ht="15.6">
      <c r="C231" s="43"/>
      <c r="D231" s="32"/>
      <c r="E231" s="17" t="str">
        <f>E223</f>
        <v>SUPELC</v>
      </c>
      <c r="F231" s="43"/>
      <c r="G231" s="43"/>
      <c r="H231" s="43"/>
      <c r="I231" s="43"/>
      <c r="J231" s="43"/>
      <c r="K231" s="33">
        <f>(INDEX('92 HVO jet fuel'!$D$4:$H$59,MATCH(SUP_Biofuels!W231,'92 HVO jet fuel'!$B$4:$B$59,0),MATCH(SUP_Biofuels!$I229,'92 HVO jet fuel'!$D$3:$H$3,0)))/INDEX('92 HVO jet fuel'!$D$4:$H$59,MATCH(SUP_Biofuels!X229,'92 HVO jet fuel'!$B$4:$B$59,0),MATCH(SUP_Biofuels!$I229,'92 HVO jet fuel'!$D$3:$H$3,0))</f>
        <v>4.5454545454545452E-3</v>
      </c>
      <c r="L231" s="43"/>
      <c r="M231" s="43"/>
      <c r="N231" s="43"/>
      <c r="O231" s="43"/>
      <c r="P231" s="40"/>
      <c r="Q231" s="43"/>
      <c r="R231" s="43"/>
      <c r="S231" s="43"/>
      <c r="T231" s="43"/>
      <c r="U231" s="43"/>
      <c r="V231" s="43"/>
      <c r="W231" s="17" t="str">
        <f>W223</f>
        <v>Electricity Consumption, MWh/MWh Total Inputs</v>
      </c>
      <c r="X231" s="43"/>
      <c r="Y231" s="43"/>
    </row>
    <row r="232" spans="3:25">
      <c r="C232" s="43"/>
      <c r="D232" s="17"/>
      <c r="E232" s="17" t="str">
        <f>E224</f>
        <v>SUPNGA,SUPSNG,SUPH2</v>
      </c>
      <c r="F232" s="43"/>
      <c r="G232" s="43"/>
      <c r="H232" s="43"/>
      <c r="I232" s="43"/>
      <c r="J232" s="43"/>
      <c r="K232" s="33">
        <f>(INDEX('92 HVO jet fuel'!$D$4:$H$59,MATCH(SUP_Biofuels!W232,'92 HVO jet fuel'!$B$4:$B$59,0),MATCH(SUP_Biofuels!$I229,'92 HVO jet fuel'!$D$3:$H$3,0)))/INDEX('92 HVO jet fuel'!$D$4:$H$59,MATCH(SUP_Biofuels!X229,'92 HVO jet fuel'!$B$4:$B$59,0),MATCH(SUP_Biofuels!$I229,'92 HVO jet fuel'!$D$3:$H$3,0))</f>
        <v>0.1803030303030303</v>
      </c>
      <c r="L232" s="43"/>
      <c r="M232" s="43"/>
      <c r="N232" s="43"/>
      <c r="O232" s="43"/>
      <c r="P232" s="40"/>
      <c r="Q232" s="43"/>
      <c r="R232" s="43"/>
      <c r="S232" s="43"/>
      <c r="T232" s="43"/>
      <c r="U232" s="43"/>
      <c r="V232" s="43"/>
      <c r="W232" s="17" t="str">
        <f>W224</f>
        <v>Natural Gas Consumption, MWh/MWh Total Inputs</v>
      </c>
      <c r="X232" s="43"/>
      <c r="Y232" s="43"/>
    </row>
    <row r="233" spans="3:25">
      <c r="C233" s="43"/>
      <c r="D233" s="43"/>
      <c r="E233" s="43"/>
      <c r="F233" s="43"/>
      <c r="G233" s="17" t="str">
        <f>G225</f>
        <v>LVN</v>
      </c>
      <c r="H233" s="43"/>
      <c r="I233" s="43"/>
      <c r="J233" s="43"/>
      <c r="K233" s="43"/>
      <c r="L233" s="33">
        <f>INDEX('92 HVO jet fuel'!$D$4:$H$59,MATCH(SUP_Biofuels!Y233,'92 HVO jet fuel'!$B$4:$B$59,0),MATCH(SUP_Biofuels!$I229,'92 HVO jet fuel'!$D$3:$H$3,0))*(SUM(K229:K232))</f>
        <v>9.8636363636363647E-2</v>
      </c>
      <c r="M233" s="43"/>
      <c r="N233" s="43"/>
      <c r="O233" s="43"/>
      <c r="P233" s="40"/>
      <c r="Q233" s="43"/>
      <c r="R233" s="43"/>
      <c r="S233" s="43"/>
      <c r="T233" s="43"/>
      <c r="U233" s="43"/>
      <c r="V233" s="43"/>
      <c r="W233" s="43"/>
      <c r="X233" s="43"/>
      <c r="Y233" s="17" t="str">
        <f>Y225</f>
        <v>Naphta Output, MWh/MWh Total Input</v>
      </c>
    </row>
    <row r="234" spans="3:25">
      <c r="C234" s="43"/>
      <c r="D234" s="43"/>
      <c r="E234" s="43"/>
      <c r="F234" s="43"/>
      <c r="G234" s="43" t="str">
        <f>G226</f>
        <v>LPG</v>
      </c>
      <c r="H234" s="43"/>
      <c r="I234" s="43"/>
      <c r="J234" s="43"/>
      <c r="K234" s="43"/>
      <c r="L234" s="33">
        <f>INDEX('92 HVO jet fuel'!$D$4:$H$59,MATCH(SUP_Biofuels!Y234,'92 HVO jet fuel'!$B$4:$B$59,0),MATCH(SUP_Biofuels!$I229,'92 HVO jet fuel'!$D$3:$H$3,0))*(SUM(K229:K232))</f>
        <v>0.13999999999999999</v>
      </c>
      <c r="M234" s="43"/>
      <c r="N234" s="43"/>
      <c r="O234" s="43"/>
      <c r="P234" s="40"/>
      <c r="Q234" s="43"/>
      <c r="R234" s="43"/>
      <c r="S234" s="43"/>
      <c r="T234" s="43"/>
      <c r="U234" s="43"/>
      <c r="V234" s="43"/>
      <c r="W234" s="43"/>
      <c r="X234" s="43"/>
      <c r="Y234" s="43" t="str">
        <f>Y226</f>
        <v>LPG Output, MWh/MWh Total Input</v>
      </c>
    </row>
    <row r="235" spans="3:25">
      <c r="C235" s="43"/>
      <c r="D235" s="43"/>
      <c r="E235" s="43"/>
      <c r="F235" s="43"/>
      <c r="G235" s="43" t="str">
        <f>G227</f>
        <v>SNG1</v>
      </c>
      <c r="H235" s="43"/>
      <c r="I235" s="43"/>
      <c r="J235" s="43"/>
      <c r="K235" s="43"/>
      <c r="L235" s="33">
        <f>INDEX('92 HVO jet fuel'!$D$4:$H$59,MATCH(SUP_Biofuels!Y235,'92 HVO jet fuel'!$B$4:$B$59,0),MATCH(SUP_Biofuels!$I229,'92 HVO jet fuel'!$D$3:$H$3,0))*(SUM(K229:K232))</f>
        <v>0.15151515151515152</v>
      </c>
      <c r="M235" s="43"/>
      <c r="N235" s="43"/>
      <c r="O235" s="43"/>
      <c r="P235" s="40"/>
      <c r="Q235" s="43"/>
      <c r="R235" s="43"/>
      <c r="S235" s="43"/>
      <c r="T235" s="43"/>
      <c r="U235" s="43"/>
      <c r="V235" s="43"/>
      <c r="W235" s="43"/>
      <c r="X235" s="43"/>
      <c r="Y235" s="43" t="str">
        <f>Y227</f>
        <v>Fuel Gas Output, MWh/MWh Total Input</v>
      </c>
    </row>
    <row r="236" spans="3:25" ht="15" thickBot="1">
      <c r="C236" s="46"/>
      <c r="D236" s="46"/>
      <c r="E236" s="46"/>
      <c r="F236" s="46"/>
      <c r="G236" s="47" t="str">
        <f>G228</f>
        <v>HETC</v>
      </c>
      <c r="H236" s="46"/>
      <c r="I236" s="46"/>
      <c r="J236" s="46"/>
      <c r="K236" s="43"/>
      <c r="L236" s="33">
        <f>INDEX('92 HVO jet fuel'!$D$4:$H$59,MATCH(SUP_Biofuels!Y236,'92 HVO jet fuel'!$B$4:$B$59,0),MATCH(SUP_Biofuels!$I229,'92 HVO jet fuel'!$D$3:$H$3,0))*(SUM(K229:K232))</f>
        <v>4.0227272727272723E-2</v>
      </c>
      <c r="M236" s="43"/>
      <c r="N236" s="43"/>
      <c r="O236" s="43"/>
      <c r="P236" s="40"/>
      <c r="Q236" s="43"/>
      <c r="R236" s="43"/>
      <c r="S236" s="43"/>
      <c r="T236" s="43"/>
      <c r="U236" s="46"/>
      <c r="V236" s="46"/>
      <c r="W236" s="46"/>
      <c r="X236" s="46"/>
      <c r="Y236" s="47" t="str">
        <f>Y228</f>
        <v>District Heating Output, MWh/MWh Total input</v>
      </c>
    </row>
    <row r="237" spans="3:25" ht="15.6">
      <c r="C237" s="54" t="str">
        <f>"SUP"&amp;F237&amp;RIGHT(E237,3)&amp;IF(RIGHT(D237,7)="Central","C1","D1")</f>
        <v>SUPKRB1CRBC1</v>
      </c>
      <c r="D237" s="57" t="str">
        <f>'92 HVO jet fuel'!D2&amp;" Central"</f>
        <v>HVO Jet Fuel Central</v>
      </c>
      <c r="E237" s="17" t="s">
        <v>1761</v>
      </c>
      <c r="F237" s="17" t="s">
        <v>79</v>
      </c>
      <c r="G237" s="17"/>
      <c r="H237" s="17" t="s">
        <v>70</v>
      </c>
      <c r="I237" s="17">
        <f>'93 1st generation ethanol'!$D$3</f>
        <v>2015</v>
      </c>
      <c r="J237" s="19">
        <v>2030</v>
      </c>
      <c r="K237" s="33">
        <f>(INDEX('92 HVO jet fuel'!$D$4:$H$59,MATCH(SUP_Biofuels!W237,'92 HVO jet fuel'!$B$4:$B$59,0),MATCH(SUP_Biofuels!$I237,'92 HVO jet fuel'!$D$3:$H$3,0)))/INDEX('92 HVO jet fuel'!$D$4:$H$59,MATCH(SUP_Biofuels!X237,'92 HVO jet fuel'!$B$4:$B$59,0),MATCH(SUP_Biofuels!$I237,'92 HVO jet fuel'!$D$3:$H$3,0))</f>
        <v>1.1803030303030302</v>
      </c>
      <c r="L237" s="33"/>
      <c r="M237" s="34">
        <f>INDEX('92 HVO jet fuel'!$D$4:$H$59,MATCH(SUP_Biofuels!M$8,'92 HVO jet fuel'!$B$4:$B$59,0),MATCH(SUP_Biofuels!$I237,'92 HVO jet fuel'!$D$3:$H$3,0))</f>
        <v>25</v>
      </c>
      <c r="N237" s="35">
        <f>INDEX('92 HVO jet fuel'!$D$4:$H$59,MATCH(SUP_Biofuels!N$8,'92 HVO jet fuel'!$B$4:$B$59,0),MATCH(SUP_Biofuels!$I237,'92 HVO jet fuel'!$D$3:$H$3,0))*7.45</f>
        <v>7.1397223466188997</v>
      </c>
      <c r="O237" s="35">
        <f>INDEX('92 HVO jet fuel'!$D$4:$H$59,MATCH(SUP_Biofuels!O$8,'92 HVO jet fuel'!$B$4:$B$59,0),MATCH(SUP_Biofuels!$I237,'92 HVO jet fuel'!$D$3:$H$3,0))*7.45</f>
        <v>0.26690550828481863</v>
      </c>
      <c r="P237" s="35">
        <f>INDEX('92 HVO jet fuel'!$D$4:$H$59,MATCH(SUP_Biofuels!P$8,'92 HVO jet fuel'!$B$4:$B$59,0),MATCH(SUP_Biofuels!$I237,'92 HVO jet fuel'!$D$3:$H$3,0))*7.45/3.6</f>
        <v>17.591358678811794</v>
      </c>
      <c r="Q237" s="33">
        <f>1-INDEX('92 HVO jet fuel'!$D$4:$H$59,MATCH(SUP_Biofuels!Q$7,'92 HVO jet fuel'!$B$4:$B$59,0),MATCH(SUP_Biofuels!$I237,'92 HVO jet fuel'!$D$3:$H$3,0))/52-INDEX('92 HVO jet fuel'!$D$4:$H$59,MATCH(SUP_Biofuels!Q$8,'92 HVO jet fuel'!$B$4:$B$59,0),MATCH(SUP_Biofuels!$I237,'92 HVO jet fuel'!$D$3:$H$3,0))/100</f>
        <v>0.96153846153846156</v>
      </c>
      <c r="R237" s="36">
        <f>$R$39</f>
        <v>3.1536000000000002E-2</v>
      </c>
      <c r="S237" s="34">
        <f>INDEX('92 HVO jet fuel'!$D$4:$H$59,MATCH(SUP_Biofuels!S$8,'92 HVO jet fuel'!$B$4:$B$59,0),MATCH(SUP_Biofuels!$I237,'92 HVO jet fuel'!$D$3:$H$3,0))</f>
        <v>2</v>
      </c>
      <c r="T237" s="34"/>
      <c r="U237" s="37"/>
      <c r="V237" s="38" t="s">
        <v>74</v>
      </c>
      <c r="W237" s="17" t="str">
        <f>W197</f>
        <v>Feedstock Consumption, MWh/MWh Total Inputs</v>
      </c>
      <c r="X237" s="17" t="str">
        <f>X197</f>
        <v>HVO Jet Output, GJ/GJ Total Input</v>
      </c>
      <c r="Y237" s="17"/>
    </row>
    <row r="238" spans="3:25">
      <c r="C238" s="17"/>
      <c r="D238" s="17"/>
      <c r="E238" s="17" t="s">
        <v>1386</v>
      </c>
      <c r="F238" s="17"/>
      <c r="G238" s="17"/>
      <c r="H238" s="17"/>
      <c r="I238" s="17"/>
      <c r="J238" s="17"/>
      <c r="K238" s="33">
        <f>(INDEX('92 HVO jet fuel'!$D$4:$H$59,MATCH(SUP_Biofuels!W238,'92 HVO jet fuel'!$B$4:$B$59,0),MATCH(SUP_Biofuels!$I237,'92 HVO jet fuel'!$D$3:$H$3,0)))/INDEX('92 HVO jet fuel'!$D$4:$H$59,MATCH(SUP_Biofuels!X237,'92 HVO jet fuel'!$B$4:$B$59,0),MATCH(SUP_Biofuels!$I237,'92 HVO jet fuel'!$D$3:$H$3,0))</f>
        <v>0.15</v>
      </c>
      <c r="L238" s="33"/>
      <c r="M238" s="39"/>
      <c r="N238" s="40"/>
      <c r="O238" s="40"/>
      <c r="P238" s="40"/>
      <c r="Q238" s="41"/>
      <c r="R238" s="42"/>
      <c r="S238" s="39"/>
      <c r="T238" s="39"/>
      <c r="U238" s="43"/>
      <c r="V238" s="43"/>
      <c r="W238" s="17" t="str">
        <f>W198</f>
        <v>Hydrogen Consumption, MWh/MWh Total Inputs</v>
      </c>
      <c r="X238" s="17"/>
      <c r="Y238" s="17"/>
    </row>
    <row r="239" spans="3:25">
      <c r="C239" s="43"/>
      <c r="D239" s="43"/>
      <c r="E239" s="43" t="s">
        <v>71</v>
      </c>
      <c r="F239" s="43"/>
      <c r="G239" s="43"/>
      <c r="H239" s="43"/>
      <c r="I239" s="43"/>
      <c r="J239" s="43"/>
      <c r="K239" s="33">
        <f>(INDEX('92 HVO jet fuel'!$D$4:$H$59,MATCH(SUP_Biofuels!W239,'92 HVO jet fuel'!$B$4:$B$59,0),MATCH(SUP_Biofuels!$I237,'92 HVO jet fuel'!$D$3:$H$3,0)))/INDEX('92 HVO jet fuel'!$D$4:$H$59,MATCH(SUP_Biofuels!X237,'92 HVO jet fuel'!$B$4:$B$59,0),MATCH(SUP_Biofuels!$I237,'92 HVO jet fuel'!$D$3:$H$3,0))</f>
        <v>4.5454545454545452E-3</v>
      </c>
      <c r="L239" s="43"/>
      <c r="M239" s="43"/>
      <c r="N239" s="43"/>
      <c r="O239" s="43"/>
      <c r="P239" s="40"/>
      <c r="Q239" s="43"/>
      <c r="R239" s="43"/>
      <c r="S239" s="43"/>
      <c r="T239" s="43"/>
      <c r="U239" s="43"/>
      <c r="V239" s="43"/>
      <c r="W239" s="17" t="str">
        <f>W199</f>
        <v>Electricity Consumption, MWh/MWh Total Inputs</v>
      </c>
      <c r="X239" s="43"/>
      <c r="Y239" s="43"/>
    </row>
    <row r="240" spans="3:25">
      <c r="C240" s="43"/>
      <c r="D240" s="43"/>
      <c r="E240" s="43" t="s">
        <v>1760</v>
      </c>
      <c r="F240" s="43"/>
      <c r="G240" s="43"/>
      <c r="H240" s="43"/>
      <c r="I240" s="43"/>
      <c r="J240" s="43"/>
      <c r="K240" s="33">
        <f>(INDEX('92 HVO jet fuel'!$D$4:$H$59,MATCH(SUP_Biofuels!W240,'92 HVO jet fuel'!$B$4:$B$59,0),MATCH(SUP_Biofuels!$I237,'92 HVO jet fuel'!$D$3:$H$3,0)))/INDEX('92 HVO jet fuel'!$D$4:$H$59,MATCH(SUP_Biofuels!X237,'92 HVO jet fuel'!$B$4:$B$59,0),MATCH(SUP_Biofuels!$I237,'92 HVO jet fuel'!$D$3:$H$3,0))</f>
        <v>0.1803030303030303</v>
      </c>
      <c r="L240" s="43"/>
      <c r="M240" s="43"/>
      <c r="N240" s="43"/>
      <c r="O240" s="43"/>
      <c r="P240" s="40"/>
      <c r="Q240" s="43"/>
      <c r="R240" s="43"/>
      <c r="S240" s="43"/>
      <c r="T240" s="43"/>
      <c r="U240" s="43"/>
      <c r="V240" s="43"/>
      <c r="W240" s="17" t="str">
        <f>W200</f>
        <v>Natural Gas Consumption, MWh/MWh Total Inputs</v>
      </c>
      <c r="X240" s="43"/>
      <c r="Y240" s="43"/>
    </row>
    <row r="241" spans="3:25">
      <c r="C241" s="43"/>
      <c r="D241" s="43"/>
      <c r="E241" s="43"/>
      <c r="F241" s="43"/>
      <c r="G241" s="43" t="s">
        <v>76</v>
      </c>
      <c r="H241" s="43"/>
      <c r="I241" s="43"/>
      <c r="J241" s="43"/>
      <c r="K241" s="43"/>
      <c r="L241" s="33">
        <f>INDEX('92 HVO jet fuel'!$D$4:$H$59,MATCH(SUP_Biofuels!Y241,'92 HVO jet fuel'!$B$4:$B$59,0),MATCH(SUP_Biofuels!$I237,'92 HVO jet fuel'!$D$3:$H$3,0))*(SUM(K237:K240))</f>
        <v>9.8636363636363647E-2</v>
      </c>
      <c r="M241" s="43"/>
      <c r="N241" s="43"/>
      <c r="O241" s="43"/>
      <c r="P241" s="40"/>
      <c r="Q241" s="43"/>
      <c r="R241" s="43"/>
      <c r="S241" s="43"/>
      <c r="T241" s="43"/>
      <c r="U241" s="43"/>
      <c r="V241" s="43"/>
      <c r="W241" s="43"/>
      <c r="X241" s="43"/>
      <c r="Y241" s="17" t="str">
        <f>Y201</f>
        <v>Naphta Output, MWh/MWh Total Input</v>
      </c>
    </row>
    <row r="242" spans="3:25">
      <c r="C242" s="43"/>
      <c r="D242" s="43"/>
      <c r="E242" s="43"/>
      <c r="F242" s="43"/>
      <c r="G242" s="43" t="s">
        <v>78</v>
      </c>
      <c r="H242" s="43"/>
      <c r="I242" s="43"/>
      <c r="J242" s="43"/>
      <c r="K242" s="43"/>
      <c r="L242" s="33">
        <f>INDEX('92 HVO jet fuel'!$D$4:$H$59,MATCH(SUP_Biofuels!Y242,'92 HVO jet fuel'!$B$4:$B$59,0),MATCH(SUP_Biofuels!$I237,'92 HVO jet fuel'!$D$3:$H$3,0))*(SUM(K237:K240))</f>
        <v>0.13999999999999999</v>
      </c>
      <c r="M242" s="43"/>
      <c r="N242" s="43"/>
      <c r="O242" s="43"/>
      <c r="P242" s="40"/>
      <c r="Q242" s="43"/>
      <c r="R242" s="43"/>
      <c r="S242" s="43"/>
      <c r="T242" s="43"/>
      <c r="U242" s="43"/>
      <c r="V242" s="43"/>
      <c r="W242" s="43"/>
      <c r="X242" s="43"/>
      <c r="Y242" s="17" t="str">
        <f>Y202</f>
        <v>LPG Output, MWh/MWh Total Input</v>
      </c>
    </row>
    <row r="243" spans="3:25">
      <c r="C243" s="43"/>
      <c r="D243" s="43"/>
      <c r="E243" s="43"/>
      <c r="F243" s="43"/>
      <c r="G243" s="43" t="s">
        <v>77</v>
      </c>
      <c r="H243" s="43"/>
      <c r="I243" s="43"/>
      <c r="J243" s="43"/>
      <c r="K243" s="43"/>
      <c r="L243" s="33">
        <f>INDEX('92 HVO jet fuel'!$D$4:$H$59,MATCH(SUP_Biofuels!Y243,'92 HVO jet fuel'!$B$4:$B$59,0),MATCH(SUP_Biofuels!$I237,'92 HVO jet fuel'!$D$3:$H$3,0))*(SUM(K237:K240))</f>
        <v>0.15151515151515152</v>
      </c>
      <c r="M243" s="43"/>
      <c r="N243" s="43"/>
      <c r="O243" s="43"/>
      <c r="P243" s="40"/>
      <c r="Q243" s="43"/>
      <c r="R243" s="43"/>
      <c r="S243" s="43"/>
      <c r="T243" s="43"/>
      <c r="U243" s="43"/>
      <c r="V243" s="43"/>
      <c r="W243" s="43"/>
      <c r="X243" s="43"/>
      <c r="Y243" s="17" t="str">
        <f>Y203</f>
        <v>Fuel Gas Output, MWh/MWh Total Input</v>
      </c>
    </row>
    <row r="244" spans="3:25">
      <c r="C244" s="43"/>
      <c r="D244" s="43"/>
      <c r="E244" s="43"/>
      <c r="F244" s="43"/>
      <c r="G244" s="7" t="s">
        <v>216</v>
      </c>
      <c r="H244" s="43"/>
      <c r="I244" s="43"/>
      <c r="J244" s="43"/>
      <c r="K244" s="43"/>
      <c r="L244" s="33">
        <f>INDEX('92 HVO jet fuel'!$D$4:$H$59,MATCH(SUP_Biofuels!Y244,'92 HVO jet fuel'!$B$4:$B$59,0),MATCH(SUP_Biofuels!$I237,'92 HVO jet fuel'!$D$3:$H$3,0))*(SUM(K237:K240))</f>
        <v>4.0227272727272723E-2</v>
      </c>
      <c r="M244" s="43"/>
      <c r="N244" s="43"/>
      <c r="O244" s="43"/>
      <c r="P244" s="40"/>
      <c r="Q244" s="43"/>
      <c r="R244" s="43"/>
      <c r="S244" s="43"/>
      <c r="T244" s="43"/>
      <c r="U244" s="43"/>
      <c r="V244" s="43"/>
      <c r="W244" s="43"/>
      <c r="X244" s="43"/>
      <c r="Y244" s="17" t="str">
        <f>Y204</f>
        <v>District Heating Output, MWh/MWh Total input</v>
      </c>
    </row>
    <row r="245" spans="3:25" ht="15.6">
      <c r="C245" s="17"/>
      <c r="D245" s="32"/>
      <c r="E245" s="17" t="str">
        <f>E237</f>
        <v>SUPCRB</v>
      </c>
      <c r="F245" s="17" t="str">
        <f>F237</f>
        <v>KRB1</v>
      </c>
      <c r="G245" s="17"/>
      <c r="H245" s="17" t="s">
        <v>70</v>
      </c>
      <c r="I245" s="17">
        <v>2020</v>
      </c>
      <c r="J245" s="17"/>
      <c r="K245" s="33">
        <f>(INDEX('92 HVO jet fuel'!$D$4:$H$59,MATCH(SUP_Biofuels!W245,'92 HVO jet fuel'!$B$4:$B$59,0),MATCH(SUP_Biofuels!$I245,'92 HVO jet fuel'!$D$3:$H$3,0)))/INDEX('92 HVO jet fuel'!$D$4:$H$59,MATCH(SUP_Biofuels!X245,'92 HVO jet fuel'!$B$4:$B$59,0),MATCH(SUP_Biofuels!$I245,'92 HVO jet fuel'!$D$3:$H$3,0))</f>
        <v>1.1803030303030302</v>
      </c>
      <c r="L245" s="33"/>
      <c r="M245" s="34">
        <f>INDEX('92 HVO jet fuel'!$D$4:$H$59,MATCH(SUP_Biofuels!M$8,'92 HVO jet fuel'!$B$4:$B$59,0),MATCH(SUP_Biofuels!$I245,'92 HVO jet fuel'!$D$3:$H$3,0))</f>
        <v>25</v>
      </c>
      <c r="N245" s="35">
        <f>INDEX('92 HVO jet fuel'!$D$4:$H$59,MATCH(SUP_Biofuels!N$8,'92 HVO jet fuel'!$B$4:$B$59,0),MATCH(SUP_Biofuels!$I245,'92 HVO jet fuel'!$D$3:$H$3,0))*7.45</f>
        <v>7.1397223466188997</v>
      </c>
      <c r="O245" s="35">
        <f>INDEX('92 HVO jet fuel'!$D$4:$H$59,MATCH(SUP_Biofuels!O$8,'92 HVO jet fuel'!$B$4:$B$59,0),MATCH(SUP_Biofuels!$I245,'92 HVO jet fuel'!$D$3:$H$3,0))*7.45</f>
        <v>0.26690550828481863</v>
      </c>
      <c r="P245" s="35">
        <f>INDEX('92 HVO jet fuel'!$D$4:$H$59,MATCH(SUP_Biofuels!P$8,'92 HVO jet fuel'!$B$4:$B$59,0),MATCH(SUP_Biofuels!$I245,'92 HVO jet fuel'!$D$3:$H$3,0))*7.45/3.6</f>
        <v>17.591358678811794</v>
      </c>
      <c r="Q245" s="33">
        <f>1-INDEX('92 HVO jet fuel'!$D$4:$H$59,MATCH(SUP_Biofuels!Q$7,'92 HVO jet fuel'!$B$4:$B$59,0),MATCH(SUP_Biofuels!$I245,'92 HVO jet fuel'!$D$3:$H$3,0))/52-INDEX('92 HVO jet fuel'!$D$4:$H$59,MATCH(SUP_Biofuels!Q$8,'92 HVO jet fuel'!$B$4:$B$59,0),MATCH(SUP_Biofuels!$I245,'92 HVO jet fuel'!$D$3:$H$3,0))/100</f>
        <v>0.96153846153846156</v>
      </c>
      <c r="R245" s="36">
        <f>$R$39</f>
        <v>3.1536000000000002E-2</v>
      </c>
      <c r="S245" s="34">
        <f>INDEX('92 HVO jet fuel'!$D$4:$H$59,MATCH(SUP_Biofuels!S$8,'92 HVO jet fuel'!$B$4:$B$59,0),MATCH(SUP_Biofuels!$I245,'92 HVO jet fuel'!$D$3:$H$3,0))</f>
        <v>2</v>
      </c>
      <c r="T245" s="34"/>
      <c r="U245" s="44"/>
      <c r="V245" s="45"/>
      <c r="W245" s="17" t="str">
        <f>W237</f>
        <v>Feedstock Consumption, MWh/MWh Total Inputs</v>
      </c>
      <c r="X245" s="17" t="str">
        <f>X237</f>
        <v>HVO Jet Output, GJ/GJ Total Input</v>
      </c>
      <c r="Y245" s="17"/>
    </row>
    <row r="246" spans="3:25">
      <c r="C246" s="17"/>
      <c r="D246" s="17"/>
      <c r="E246" s="17" t="str">
        <f>E238</f>
        <v>SUPH2</v>
      </c>
      <c r="F246" s="17"/>
      <c r="G246" s="17"/>
      <c r="H246" s="17"/>
      <c r="I246" s="17"/>
      <c r="J246" s="17"/>
      <c r="K246" s="33">
        <f>(INDEX('92 HVO jet fuel'!$D$4:$H$59,MATCH(SUP_Biofuels!W246,'92 HVO jet fuel'!$B$4:$B$59,0),MATCH(SUP_Biofuels!$I245,'92 HVO jet fuel'!$D$3:$H$3,0)))/INDEX('92 HVO jet fuel'!$D$4:$H$59,MATCH(SUP_Biofuels!X245,'92 HVO jet fuel'!$B$4:$B$59,0),MATCH(SUP_Biofuels!$I245,'92 HVO jet fuel'!$D$3:$H$3,0))</f>
        <v>0.15</v>
      </c>
      <c r="L246" s="33"/>
      <c r="M246" s="39"/>
      <c r="N246" s="40"/>
      <c r="O246" s="40"/>
      <c r="P246" s="40"/>
      <c r="Q246" s="41"/>
      <c r="R246" s="42"/>
      <c r="S246" s="39"/>
      <c r="T246" s="39"/>
      <c r="U246" s="43"/>
      <c r="V246" s="43"/>
      <c r="W246" s="17" t="str">
        <f>W238</f>
        <v>Hydrogen Consumption, MWh/MWh Total Inputs</v>
      </c>
      <c r="X246" s="17"/>
      <c r="Y246" s="17"/>
    </row>
    <row r="247" spans="3:25">
      <c r="C247" s="43"/>
      <c r="D247" s="43"/>
      <c r="E247" s="17" t="str">
        <f>E239</f>
        <v>SUPELC</v>
      </c>
      <c r="F247" s="43"/>
      <c r="G247" s="43"/>
      <c r="H247" s="43"/>
      <c r="I247" s="43"/>
      <c r="J247" s="43"/>
      <c r="K247" s="33">
        <f>(INDEX('92 HVO jet fuel'!$D$4:$H$59,MATCH(SUP_Biofuels!W247,'92 HVO jet fuel'!$B$4:$B$59,0),MATCH(SUP_Biofuels!$I245,'92 HVO jet fuel'!$D$3:$H$3,0)))/INDEX('92 HVO jet fuel'!$D$4:$H$59,MATCH(SUP_Biofuels!X245,'92 HVO jet fuel'!$B$4:$B$59,0),MATCH(SUP_Biofuels!$I245,'92 HVO jet fuel'!$D$3:$H$3,0))</f>
        <v>4.5454545454545452E-3</v>
      </c>
      <c r="L247" s="43"/>
      <c r="M247" s="43"/>
      <c r="N247" s="43"/>
      <c r="O247" s="43"/>
      <c r="P247" s="40"/>
      <c r="Q247" s="43"/>
      <c r="R247" s="43"/>
      <c r="S247" s="43"/>
      <c r="T247" s="43"/>
      <c r="U247" s="43"/>
      <c r="V247" s="43"/>
      <c r="W247" s="17" t="str">
        <f>W239</f>
        <v>Electricity Consumption, MWh/MWh Total Inputs</v>
      </c>
      <c r="X247" s="43"/>
      <c r="Y247" s="43"/>
    </row>
    <row r="248" spans="3:25">
      <c r="C248" s="43"/>
      <c r="D248" s="43"/>
      <c r="E248" s="17" t="str">
        <f>E240</f>
        <v>SUPNGA,SUPSNG,SUPH2</v>
      </c>
      <c r="F248" s="43"/>
      <c r="G248" s="43"/>
      <c r="H248" s="43"/>
      <c r="I248" s="43"/>
      <c r="J248" s="43"/>
      <c r="K248" s="33">
        <f>(INDEX('92 HVO jet fuel'!$D$4:$H$59,MATCH(SUP_Biofuels!W248,'92 HVO jet fuel'!$B$4:$B$59,0),MATCH(SUP_Biofuels!$I245,'92 HVO jet fuel'!$D$3:$H$3,0)))/INDEX('92 HVO jet fuel'!$D$4:$H$59,MATCH(SUP_Biofuels!X245,'92 HVO jet fuel'!$B$4:$B$59,0),MATCH(SUP_Biofuels!$I245,'92 HVO jet fuel'!$D$3:$H$3,0))</f>
        <v>0.1803030303030303</v>
      </c>
      <c r="L248" s="43"/>
      <c r="M248" s="43"/>
      <c r="N248" s="43"/>
      <c r="O248" s="43"/>
      <c r="P248" s="40"/>
      <c r="Q248" s="43"/>
      <c r="R248" s="43"/>
      <c r="S248" s="43"/>
      <c r="T248" s="43"/>
      <c r="U248" s="43"/>
      <c r="V248" s="43"/>
      <c r="W248" s="17" t="str">
        <f>W240</f>
        <v>Natural Gas Consumption, MWh/MWh Total Inputs</v>
      </c>
      <c r="X248" s="43"/>
      <c r="Y248" s="43"/>
    </row>
    <row r="249" spans="3:25" ht="15.6">
      <c r="C249" s="43"/>
      <c r="D249" s="32"/>
      <c r="E249" s="43"/>
      <c r="F249" s="43"/>
      <c r="G249" s="17" t="str">
        <f>G241</f>
        <v>LVN</v>
      </c>
      <c r="H249" s="43"/>
      <c r="I249" s="43"/>
      <c r="J249" s="43"/>
      <c r="K249" s="43"/>
      <c r="L249" s="33">
        <f>INDEX('92 HVO jet fuel'!$D$4:$H$59,MATCH(SUP_Biofuels!Y249,'92 HVO jet fuel'!$B$4:$B$59,0),MATCH(SUP_Biofuels!$I245,'92 HVO jet fuel'!$D$3:$H$3,0))*(SUM(K245:K248))</f>
        <v>9.8636363636363647E-2</v>
      </c>
      <c r="M249" s="43"/>
      <c r="N249" s="43"/>
      <c r="O249" s="43"/>
      <c r="P249" s="40"/>
      <c r="Q249" s="43"/>
      <c r="R249" s="43"/>
      <c r="S249" s="43"/>
      <c r="T249" s="43"/>
      <c r="U249" s="43"/>
      <c r="V249" s="45"/>
      <c r="W249" s="43"/>
      <c r="X249" s="43"/>
      <c r="Y249" s="17" t="str">
        <f>Y241</f>
        <v>Naphta Output, MWh/MWh Total Input</v>
      </c>
    </row>
    <row r="250" spans="3:25">
      <c r="C250" s="43"/>
      <c r="D250" s="43"/>
      <c r="E250" s="43"/>
      <c r="F250" s="43"/>
      <c r="G250" s="17" t="str">
        <f>G242</f>
        <v>LPG</v>
      </c>
      <c r="H250" s="43"/>
      <c r="I250" s="43"/>
      <c r="J250" s="43"/>
      <c r="K250" s="43"/>
      <c r="L250" s="33">
        <f>INDEX('92 HVO jet fuel'!$D$4:$H$59,MATCH(SUP_Biofuels!Y250,'92 HVO jet fuel'!$B$4:$B$59,0),MATCH(SUP_Biofuels!$I245,'92 HVO jet fuel'!$D$3:$H$3,0))*(SUM(K245:K248))</f>
        <v>0.13999999999999999</v>
      </c>
      <c r="M250" s="43"/>
      <c r="N250" s="43"/>
      <c r="O250" s="43"/>
      <c r="P250" s="40"/>
      <c r="Q250" s="43"/>
      <c r="R250" s="43"/>
      <c r="S250" s="43"/>
      <c r="T250" s="43"/>
      <c r="U250" s="43"/>
      <c r="V250" s="43"/>
      <c r="W250" s="43"/>
      <c r="X250" s="43"/>
      <c r="Y250" s="17" t="str">
        <f>Y242</f>
        <v>LPG Output, MWh/MWh Total Input</v>
      </c>
    </row>
    <row r="251" spans="3:25">
      <c r="C251" s="43"/>
      <c r="D251" s="43"/>
      <c r="E251" s="43"/>
      <c r="F251" s="43"/>
      <c r="G251" s="17" t="str">
        <f>G243</f>
        <v>SNG1</v>
      </c>
      <c r="H251" s="43"/>
      <c r="I251" s="43"/>
      <c r="J251" s="43"/>
      <c r="K251" s="43"/>
      <c r="L251" s="33">
        <f>INDEX('92 HVO jet fuel'!$D$4:$H$59,MATCH(SUP_Biofuels!Y251,'92 HVO jet fuel'!$B$4:$B$59,0),MATCH(SUP_Biofuels!$I245,'92 HVO jet fuel'!$D$3:$H$3,0))*(SUM(K245:K248))</f>
        <v>0.15151515151515152</v>
      </c>
      <c r="M251" s="43"/>
      <c r="N251" s="43"/>
      <c r="O251" s="43"/>
      <c r="P251" s="40"/>
      <c r="Q251" s="43"/>
      <c r="R251" s="43"/>
      <c r="S251" s="43"/>
      <c r="T251" s="43"/>
      <c r="U251" s="43"/>
      <c r="V251" s="43"/>
      <c r="W251" s="43"/>
      <c r="X251" s="43"/>
      <c r="Y251" s="17" t="str">
        <f>Y243</f>
        <v>Fuel Gas Output, MWh/MWh Total Input</v>
      </c>
    </row>
    <row r="252" spans="3:25">
      <c r="C252" s="43"/>
      <c r="D252" s="43"/>
      <c r="E252" s="43"/>
      <c r="F252" s="43"/>
      <c r="G252" s="7" t="s">
        <v>216</v>
      </c>
      <c r="H252" s="43"/>
      <c r="I252" s="43"/>
      <c r="J252" s="43"/>
      <c r="K252" s="43"/>
      <c r="L252" s="33">
        <f>INDEX('92 HVO jet fuel'!$D$4:$H$59,MATCH(SUP_Biofuels!Y252,'92 HVO jet fuel'!$B$4:$B$59,0),MATCH(SUP_Biofuels!$I245,'92 HVO jet fuel'!$D$3:$H$3,0))*(SUM(K245:K248))</f>
        <v>4.0227272727272723E-2</v>
      </c>
      <c r="M252" s="43"/>
      <c r="N252" s="43"/>
      <c r="O252" s="43"/>
      <c r="P252" s="40"/>
      <c r="Q252" s="43"/>
      <c r="R252" s="43"/>
      <c r="S252" s="43"/>
      <c r="T252" s="43"/>
      <c r="U252" s="43"/>
      <c r="V252" s="43"/>
      <c r="W252" s="43"/>
      <c r="X252" s="43"/>
      <c r="Y252" s="17" t="str">
        <f>Y244</f>
        <v>District Heating Output, MWh/MWh Total input</v>
      </c>
    </row>
    <row r="253" spans="3:25">
      <c r="C253" s="43"/>
      <c r="D253" s="17"/>
      <c r="E253" s="17" t="str">
        <f>E245</f>
        <v>SUPCRB</v>
      </c>
      <c r="F253" s="17" t="str">
        <f>F245</f>
        <v>KRB1</v>
      </c>
      <c r="G253" s="17"/>
      <c r="H253" s="17" t="s">
        <v>70</v>
      </c>
      <c r="I253" s="17">
        <v>2030</v>
      </c>
      <c r="J253" s="17"/>
      <c r="K253" s="33">
        <f>(INDEX('92 HVO jet fuel'!$D$4:$H$59,MATCH(SUP_Biofuels!W253,'92 HVO jet fuel'!$B$4:$B$59,0),MATCH(SUP_Biofuels!$I253,'92 HVO jet fuel'!$D$3:$H$3,0)))/INDEX('92 HVO jet fuel'!$D$4:$H$59,MATCH(SUP_Biofuels!X253,'92 HVO jet fuel'!$B$4:$B$59,0),MATCH(SUP_Biofuels!$I253,'92 HVO jet fuel'!$D$3:$H$3,0))</f>
        <v>1.1803030303030302</v>
      </c>
      <c r="L253" s="33"/>
      <c r="M253" s="34">
        <f>INDEX('92 HVO jet fuel'!$D$4:$H$59,MATCH(SUP_Biofuels!M$8,'92 HVO jet fuel'!$B$4:$B$59,0),MATCH(SUP_Biofuels!$I253,'92 HVO jet fuel'!$D$3:$H$3,0))</f>
        <v>25</v>
      </c>
      <c r="N253" s="35">
        <f>INDEX('92 HVO jet fuel'!$D$4:$H$59,MATCH(SUP_Biofuels!N$8,'92 HVO jet fuel'!$B$4:$B$59,0),MATCH(SUP_Biofuels!$I253,'92 HVO jet fuel'!$D$3:$H$3,0))*7.45</f>
        <v>6.0374025974025978</v>
      </c>
      <c r="O253" s="35">
        <f>INDEX('92 HVO jet fuel'!$D$4:$H$59,MATCH(SUP_Biofuels!O$8,'92 HVO jet fuel'!$B$4:$B$59,0),MATCH(SUP_Biofuels!$I253,'92 HVO jet fuel'!$D$3:$H$3,0))*7.45</f>
        <v>0.26538033395176247</v>
      </c>
      <c r="P253" s="35">
        <f>INDEX('92 HVO jet fuel'!$D$4:$H$59,MATCH(SUP_Biofuels!P$8,'92 HVO jet fuel'!$B$4:$B$59,0),MATCH(SUP_Biofuels!$I253,'92 HVO jet fuel'!$D$3:$H$3,0))*7.45/3.6</f>
        <v>17.591358678811794</v>
      </c>
      <c r="Q253" s="33">
        <f>1-INDEX('92 HVO jet fuel'!$D$4:$H$59,MATCH(SUP_Biofuels!Q$7,'92 HVO jet fuel'!$B$4:$B$59,0),MATCH(SUP_Biofuels!$I253,'92 HVO jet fuel'!$D$3:$H$3,0))/52-INDEX('92 HVO jet fuel'!$D$4:$H$59,MATCH(SUP_Biofuels!Q$8,'92 HVO jet fuel'!$B$4:$B$59,0),MATCH(SUP_Biofuels!$I253,'92 HVO jet fuel'!$D$3:$H$3,0))/100</f>
        <v>0.96153846153846156</v>
      </c>
      <c r="R253" s="36">
        <f>$R$39</f>
        <v>3.1536000000000002E-2</v>
      </c>
      <c r="S253" s="34">
        <f>INDEX('92 HVO jet fuel'!$D$4:$H$59,MATCH(SUP_Biofuels!S$8,'92 HVO jet fuel'!$B$4:$B$59,0),MATCH(SUP_Biofuels!$I253,'92 HVO jet fuel'!$D$3:$H$3,0))</f>
        <v>2</v>
      </c>
      <c r="T253" s="34"/>
      <c r="U253" s="44"/>
      <c r="V253" s="43"/>
      <c r="W253" s="17" t="str">
        <f>W245</f>
        <v>Feedstock Consumption, MWh/MWh Total Inputs</v>
      </c>
      <c r="X253" s="17" t="str">
        <f>X245</f>
        <v>HVO Jet Output, GJ/GJ Total Input</v>
      </c>
      <c r="Y253" s="17"/>
    </row>
    <row r="254" spans="3:25">
      <c r="C254" s="43"/>
      <c r="D254" s="43"/>
      <c r="E254" s="17" t="str">
        <f>E246</f>
        <v>SUPH2</v>
      </c>
      <c r="F254" s="17"/>
      <c r="G254" s="17"/>
      <c r="H254" s="17"/>
      <c r="I254" s="17"/>
      <c r="J254" s="17"/>
      <c r="K254" s="33">
        <f>(INDEX('92 HVO jet fuel'!$D$4:$H$59,MATCH(SUP_Biofuels!W254,'92 HVO jet fuel'!$B$4:$B$59,0),MATCH(SUP_Biofuels!$I253,'92 HVO jet fuel'!$D$3:$H$3,0)))/INDEX('92 HVO jet fuel'!$D$4:$H$59,MATCH(SUP_Biofuels!X253,'92 HVO jet fuel'!$B$4:$B$59,0),MATCH(SUP_Biofuels!$I253,'92 HVO jet fuel'!$D$3:$H$3,0))</f>
        <v>0.15</v>
      </c>
      <c r="L254" s="33"/>
      <c r="M254" s="39"/>
      <c r="N254" s="40"/>
      <c r="O254" s="40"/>
      <c r="P254" s="40"/>
      <c r="Q254" s="41"/>
      <c r="R254" s="42"/>
      <c r="S254" s="39"/>
      <c r="T254" s="39"/>
      <c r="U254" s="43"/>
      <c r="V254" s="43"/>
      <c r="W254" s="17" t="str">
        <f>W246</f>
        <v>Hydrogen Consumption, MWh/MWh Total Inputs</v>
      </c>
      <c r="X254" s="17"/>
      <c r="Y254" s="17"/>
    </row>
    <row r="255" spans="3:25">
      <c r="C255" s="43"/>
      <c r="D255" s="43"/>
      <c r="E255" s="17" t="str">
        <f>E247</f>
        <v>SUPELC</v>
      </c>
      <c r="F255" s="43"/>
      <c r="G255" s="43"/>
      <c r="H255" s="43"/>
      <c r="I255" s="43"/>
      <c r="J255" s="43"/>
      <c r="K255" s="33">
        <f>(INDEX('92 HVO jet fuel'!$D$4:$H$59,MATCH(SUP_Biofuels!W255,'92 HVO jet fuel'!$B$4:$B$59,0),MATCH(SUP_Biofuels!$I253,'92 HVO jet fuel'!$D$3:$H$3,0)))/INDEX('92 HVO jet fuel'!$D$4:$H$59,MATCH(SUP_Biofuels!X253,'92 HVO jet fuel'!$B$4:$B$59,0),MATCH(SUP_Biofuels!$I253,'92 HVO jet fuel'!$D$3:$H$3,0))</f>
        <v>4.5454545454545452E-3</v>
      </c>
      <c r="L255" s="43"/>
      <c r="M255" s="43"/>
      <c r="N255" s="43"/>
      <c r="O255" s="43"/>
      <c r="P255" s="40"/>
      <c r="Q255" s="43"/>
      <c r="R255" s="43"/>
      <c r="S255" s="43"/>
      <c r="T255" s="43"/>
      <c r="U255" s="43"/>
      <c r="V255" s="43"/>
      <c r="W255" s="17" t="str">
        <f>W247</f>
        <v>Electricity Consumption, MWh/MWh Total Inputs</v>
      </c>
      <c r="X255" s="43"/>
      <c r="Y255" s="43"/>
    </row>
    <row r="256" spans="3:25" ht="15.6">
      <c r="C256" s="43"/>
      <c r="D256" s="32"/>
      <c r="E256" s="17" t="str">
        <f>E248</f>
        <v>SUPNGA,SUPSNG,SUPH2</v>
      </c>
      <c r="F256" s="43"/>
      <c r="G256" s="43"/>
      <c r="H256" s="43"/>
      <c r="I256" s="43"/>
      <c r="J256" s="43"/>
      <c r="K256" s="33">
        <f>(INDEX('92 HVO jet fuel'!$D$4:$H$59,MATCH(SUP_Biofuels!W256,'92 HVO jet fuel'!$B$4:$B$59,0),MATCH(SUP_Biofuels!$I253,'92 HVO jet fuel'!$D$3:$H$3,0)))/INDEX('92 HVO jet fuel'!$D$4:$H$59,MATCH(SUP_Biofuels!X253,'92 HVO jet fuel'!$B$4:$B$59,0),MATCH(SUP_Biofuels!$I253,'92 HVO jet fuel'!$D$3:$H$3,0))</f>
        <v>0.1803030303030303</v>
      </c>
      <c r="L256" s="43"/>
      <c r="M256" s="43"/>
      <c r="N256" s="43"/>
      <c r="O256" s="43"/>
      <c r="P256" s="40"/>
      <c r="Q256" s="43"/>
      <c r="R256" s="43"/>
      <c r="S256" s="43"/>
      <c r="T256" s="43"/>
      <c r="U256" s="43"/>
      <c r="V256" s="45"/>
      <c r="W256" s="17" t="str">
        <f>W248</f>
        <v>Natural Gas Consumption, MWh/MWh Total Inputs</v>
      </c>
      <c r="X256" s="43"/>
      <c r="Y256" s="43"/>
    </row>
    <row r="257" spans="3:25">
      <c r="C257" s="43"/>
      <c r="D257" s="17"/>
      <c r="E257" s="43"/>
      <c r="F257" s="43"/>
      <c r="G257" s="17" t="str">
        <f>G249</f>
        <v>LVN</v>
      </c>
      <c r="H257" s="43"/>
      <c r="I257" s="43"/>
      <c r="J257" s="43"/>
      <c r="K257" s="43"/>
      <c r="L257" s="33">
        <f>INDEX('92 HVO jet fuel'!$D$4:$H$59,MATCH(SUP_Biofuels!Y257,'92 HVO jet fuel'!$B$4:$B$59,0),MATCH(SUP_Biofuels!$I253,'92 HVO jet fuel'!$D$3:$H$3,0))*(SUM(K253:K256))</f>
        <v>9.8636363636363647E-2</v>
      </c>
      <c r="M257" s="43"/>
      <c r="N257" s="43"/>
      <c r="O257" s="43"/>
      <c r="P257" s="40"/>
      <c r="Q257" s="43"/>
      <c r="R257" s="43"/>
      <c r="S257" s="43"/>
      <c r="T257" s="43"/>
      <c r="U257" s="43"/>
      <c r="V257" s="43"/>
      <c r="W257" s="43"/>
      <c r="X257" s="43"/>
      <c r="Y257" s="17" t="str">
        <f>Y249</f>
        <v>Naphta Output, MWh/MWh Total Input</v>
      </c>
    </row>
    <row r="258" spans="3:25">
      <c r="C258" s="43"/>
      <c r="D258" s="43"/>
      <c r="E258" s="43"/>
      <c r="F258" s="43"/>
      <c r="G258" s="17" t="str">
        <f>G250</f>
        <v>LPG</v>
      </c>
      <c r="H258" s="43"/>
      <c r="I258" s="43"/>
      <c r="J258" s="43"/>
      <c r="K258" s="43"/>
      <c r="L258" s="33">
        <f>INDEX('92 HVO jet fuel'!$D$4:$H$59,MATCH(SUP_Biofuels!Y258,'92 HVO jet fuel'!$B$4:$B$59,0),MATCH(SUP_Biofuels!$I253,'92 HVO jet fuel'!$D$3:$H$3,0))*(SUM(K253:K256))</f>
        <v>0.13999999999999999</v>
      </c>
      <c r="M258" s="43"/>
      <c r="N258" s="43"/>
      <c r="O258" s="43"/>
      <c r="P258" s="40"/>
      <c r="Q258" s="43"/>
      <c r="R258" s="43"/>
      <c r="S258" s="43"/>
      <c r="T258" s="43"/>
      <c r="U258" s="43"/>
      <c r="V258" s="43"/>
      <c r="W258" s="43"/>
      <c r="X258" s="43"/>
      <c r="Y258" s="17" t="str">
        <f>Y250</f>
        <v>LPG Output, MWh/MWh Total Input</v>
      </c>
    </row>
    <row r="259" spans="3:25">
      <c r="C259" s="43"/>
      <c r="D259" s="43"/>
      <c r="E259" s="43"/>
      <c r="F259" s="43"/>
      <c r="G259" s="17" t="str">
        <f>G251</f>
        <v>SNG1</v>
      </c>
      <c r="H259" s="43"/>
      <c r="I259" s="43"/>
      <c r="J259" s="43"/>
      <c r="K259" s="43"/>
      <c r="L259" s="33">
        <f>INDEX('92 HVO jet fuel'!$D$4:$H$59,MATCH(SUP_Biofuels!Y259,'92 HVO jet fuel'!$B$4:$B$59,0),MATCH(SUP_Biofuels!$I253,'92 HVO jet fuel'!$D$3:$H$3,0))*(SUM(K253:K256))</f>
        <v>0.15151515151515152</v>
      </c>
      <c r="M259" s="43"/>
      <c r="N259" s="43"/>
      <c r="O259" s="43"/>
      <c r="P259" s="40"/>
      <c r="Q259" s="43"/>
      <c r="R259" s="43"/>
      <c r="S259" s="43"/>
      <c r="T259" s="43"/>
      <c r="U259" s="43"/>
      <c r="V259" s="43"/>
      <c r="W259" s="43"/>
      <c r="X259" s="43"/>
      <c r="Y259" s="17" t="str">
        <f>Y251</f>
        <v>Fuel Gas Output, MWh/MWh Total Input</v>
      </c>
    </row>
    <row r="260" spans="3:25">
      <c r="C260" s="43"/>
      <c r="D260" s="43"/>
      <c r="E260" s="43"/>
      <c r="F260" s="43"/>
      <c r="G260" s="7" t="s">
        <v>216</v>
      </c>
      <c r="H260" s="43"/>
      <c r="I260" s="43"/>
      <c r="J260" s="43"/>
      <c r="K260" s="43"/>
      <c r="L260" s="33">
        <f>INDEX('92 HVO jet fuel'!$D$4:$H$59,MATCH(SUP_Biofuels!Y260,'92 HVO jet fuel'!$B$4:$B$59,0),MATCH(SUP_Biofuels!$I253,'92 HVO jet fuel'!$D$3:$H$3,0))*(SUM(K253:K256))</f>
        <v>4.0227272727272723E-2</v>
      </c>
      <c r="M260" s="43"/>
      <c r="N260" s="43"/>
      <c r="O260" s="43"/>
      <c r="P260" s="40"/>
      <c r="Q260" s="43"/>
      <c r="R260" s="43"/>
      <c r="S260" s="43"/>
      <c r="T260" s="43"/>
      <c r="U260" s="43"/>
      <c r="V260" s="43"/>
      <c r="W260" s="43"/>
      <c r="X260" s="43"/>
      <c r="Y260" s="17" t="str">
        <f>Y252</f>
        <v>District Heating Output, MWh/MWh Total input</v>
      </c>
    </row>
    <row r="261" spans="3:25">
      <c r="C261" s="43"/>
      <c r="D261" s="43"/>
      <c r="E261" s="17" t="str">
        <f>E253</f>
        <v>SUPCRB</v>
      </c>
      <c r="F261" s="17" t="str">
        <f>F253</f>
        <v>KRB1</v>
      </c>
      <c r="G261" s="17"/>
      <c r="H261" s="17" t="s">
        <v>70</v>
      </c>
      <c r="I261" s="17">
        <v>2040</v>
      </c>
      <c r="J261" s="17"/>
      <c r="K261" s="33">
        <f>(INDEX('92 HVO jet fuel'!$D$4:$H$59,MATCH(SUP_Biofuels!W261,'92 HVO jet fuel'!$B$4:$B$59,0),MATCH(SUP_Biofuels!$I261,'92 HVO jet fuel'!$D$3:$H$3,0)))/INDEX('92 HVO jet fuel'!$D$4:$H$59,MATCH(SUP_Biofuels!X261,'92 HVO jet fuel'!$B$4:$B$59,0),MATCH(SUP_Biofuels!$I261,'92 HVO jet fuel'!$D$3:$H$3,0))</f>
        <v>1.1803030303030302</v>
      </c>
      <c r="L261" s="33"/>
      <c r="M261" s="34">
        <f>INDEX('92 HVO jet fuel'!$D$4:$H$59,MATCH(SUP_Biofuels!M$8,'92 HVO jet fuel'!$B$4:$B$59,0),MATCH(SUP_Biofuels!$I261,'92 HVO jet fuel'!$D$3:$H$3,0))</f>
        <v>25</v>
      </c>
      <c r="N261" s="35">
        <f>INDEX('92 HVO jet fuel'!$D$4:$H$59,MATCH(SUP_Biofuels!N$8,'92 HVO jet fuel'!$B$4:$B$59,0),MATCH(SUP_Biofuels!$I261,'92 HVO jet fuel'!$D$3:$H$3,0))*7.45</f>
        <v>5.6240196078431381</v>
      </c>
      <c r="O261" s="35">
        <f>INDEX('92 HVO jet fuel'!$D$4:$H$59,MATCH(SUP_Biofuels!O$8,'92 HVO jet fuel'!$B$4:$B$59,0),MATCH(SUP_Biofuels!$I261,'92 HVO jet fuel'!$D$3:$H$3,0))*7.45</f>
        <v>0.2655971479500891</v>
      </c>
      <c r="P261" s="35">
        <f>INDEX('92 HVO jet fuel'!$D$4:$H$59,MATCH(SUP_Biofuels!P$8,'92 HVO jet fuel'!$B$4:$B$59,0),MATCH(SUP_Biofuels!$I261,'92 HVO jet fuel'!$D$3:$H$3,0))*7.45/3.6</f>
        <v>17.591358678811794</v>
      </c>
      <c r="Q261" s="33">
        <f>1-INDEX('92 HVO jet fuel'!$D$4:$H$59,MATCH(SUP_Biofuels!Q$7,'92 HVO jet fuel'!$B$4:$B$59,0),MATCH(SUP_Biofuels!$I261,'92 HVO jet fuel'!$D$3:$H$3,0))/52-INDEX('92 HVO jet fuel'!$D$4:$H$59,MATCH(SUP_Biofuels!Q$8,'92 HVO jet fuel'!$B$4:$B$59,0),MATCH(SUP_Biofuels!$I261,'92 HVO jet fuel'!$D$3:$H$3,0))/100</f>
        <v>0.96153846153846156</v>
      </c>
      <c r="R261" s="36">
        <f>$R$39</f>
        <v>3.1536000000000002E-2</v>
      </c>
      <c r="S261" s="34">
        <f>INDEX('92 HVO jet fuel'!$D$4:$H$59,MATCH(SUP_Biofuels!S$8,'92 HVO jet fuel'!$B$4:$B$59,0),MATCH(SUP_Biofuels!$I261,'92 HVO jet fuel'!$D$3:$H$3,0))</f>
        <v>2</v>
      </c>
      <c r="T261" s="34"/>
      <c r="U261" s="44"/>
      <c r="V261" s="43"/>
      <c r="W261" s="17" t="str">
        <f>W253</f>
        <v>Feedstock Consumption, MWh/MWh Total Inputs</v>
      </c>
      <c r="X261" s="17" t="str">
        <f>X253</f>
        <v>HVO Jet Output, GJ/GJ Total Input</v>
      </c>
      <c r="Y261" s="17"/>
    </row>
    <row r="262" spans="3:25">
      <c r="C262" s="43"/>
      <c r="D262" s="43"/>
      <c r="E262" s="17" t="str">
        <f>E254</f>
        <v>SUPH2</v>
      </c>
      <c r="F262" s="17"/>
      <c r="G262" s="17"/>
      <c r="H262" s="17"/>
      <c r="I262" s="17"/>
      <c r="J262" s="17"/>
      <c r="K262" s="33">
        <f>(INDEX('92 HVO jet fuel'!$D$4:$H$59,MATCH(SUP_Biofuels!W262,'92 HVO jet fuel'!$B$4:$B$59,0),MATCH(SUP_Biofuels!$I261,'92 HVO jet fuel'!$D$3:$H$3,0)))/INDEX('92 HVO jet fuel'!$D$4:$H$59,MATCH(SUP_Biofuels!X261,'92 HVO jet fuel'!$B$4:$B$59,0),MATCH(SUP_Biofuels!$I261,'92 HVO jet fuel'!$D$3:$H$3,0))</f>
        <v>0.15</v>
      </c>
      <c r="L262" s="33"/>
      <c r="M262" s="39"/>
      <c r="N262" s="40"/>
      <c r="O262" s="40"/>
      <c r="P262" s="40"/>
      <c r="Q262" s="41"/>
      <c r="R262" s="42"/>
      <c r="S262" s="39"/>
      <c r="T262" s="39"/>
      <c r="U262" s="43"/>
      <c r="V262" s="43"/>
      <c r="W262" s="17" t="str">
        <f>W254</f>
        <v>Hydrogen Consumption, MWh/MWh Total Inputs</v>
      </c>
      <c r="X262" s="17"/>
      <c r="Y262" s="17"/>
    </row>
    <row r="263" spans="3:25">
      <c r="C263" s="43"/>
      <c r="D263" s="43"/>
      <c r="E263" s="17" t="str">
        <f>E255</f>
        <v>SUPELC</v>
      </c>
      <c r="F263" s="43"/>
      <c r="G263" s="43"/>
      <c r="H263" s="43"/>
      <c r="I263" s="43"/>
      <c r="J263" s="43"/>
      <c r="K263" s="33">
        <f>(INDEX('92 HVO jet fuel'!$D$4:$H$59,MATCH(SUP_Biofuels!W263,'92 HVO jet fuel'!$B$4:$B$59,0),MATCH(SUP_Biofuels!$I261,'92 HVO jet fuel'!$D$3:$H$3,0)))/INDEX('92 HVO jet fuel'!$D$4:$H$59,MATCH(SUP_Biofuels!X261,'92 HVO jet fuel'!$B$4:$B$59,0),MATCH(SUP_Biofuels!$I261,'92 HVO jet fuel'!$D$3:$H$3,0))</f>
        <v>4.5454545454545452E-3</v>
      </c>
      <c r="L263" s="43"/>
      <c r="M263" s="43"/>
      <c r="N263" s="43"/>
      <c r="O263" s="43"/>
      <c r="P263" s="40"/>
      <c r="Q263" s="43"/>
      <c r="R263" s="43"/>
      <c r="S263" s="43"/>
      <c r="T263" s="43"/>
      <c r="U263" s="43"/>
      <c r="V263" s="43"/>
      <c r="W263" s="17" t="str">
        <f>W255</f>
        <v>Electricity Consumption, MWh/MWh Total Inputs</v>
      </c>
      <c r="X263" s="43"/>
      <c r="Y263" s="43"/>
    </row>
    <row r="264" spans="3:25">
      <c r="C264" s="43"/>
      <c r="D264" s="43"/>
      <c r="E264" s="17" t="str">
        <f>E256</f>
        <v>SUPNGA,SUPSNG,SUPH2</v>
      </c>
      <c r="F264" s="43"/>
      <c r="G264" s="43"/>
      <c r="H264" s="43"/>
      <c r="I264" s="43"/>
      <c r="J264" s="43"/>
      <c r="K264" s="33">
        <f>(INDEX('92 HVO jet fuel'!$D$4:$H$59,MATCH(SUP_Biofuels!W264,'92 HVO jet fuel'!$B$4:$B$59,0),MATCH(SUP_Biofuels!$I261,'92 HVO jet fuel'!$D$3:$H$3,0)))/INDEX('92 HVO jet fuel'!$D$4:$H$59,MATCH(SUP_Biofuels!X261,'92 HVO jet fuel'!$B$4:$B$59,0),MATCH(SUP_Biofuels!$I261,'92 HVO jet fuel'!$D$3:$H$3,0))</f>
        <v>0.1803030303030303</v>
      </c>
      <c r="L264" s="43"/>
      <c r="M264" s="43"/>
      <c r="N264" s="43"/>
      <c r="O264" s="43"/>
      <c r="P264" s="40"/>
      <c r="Q264" s="43"/>
      <c r="R264" s="43"/>
      <c r="S264" s="43"/>
      <c r="T264" s="43"/>
      <c r="U264" s="43"/>
      <c r="V264" s="43"/>
      <c r="W264" s="17" t="str">
        <f>W256</f>
        <v>Natural Gas Consumption, MWh/MWh Total Inputs</v>
      </c>
      <c r="X264" s="43"/>
      <c r="Y264" s="43"/>
    </row>
    <row r="265" spans="3:25">
      <c r="C265" s="43"/>
      <c r="D265" s="43"/>
      <c r="E265" s="43"/>
      <c r="F265" s="43"/>
      <c r="G265" s="17" t="str">
        <f>G257</f>
        <v>LVN</v>
      </c>
      <c r="H265" s="43"/>
      <c r="I265" s="43"/>
      <c r="J265" s="43"/>
      <c r="K265" s="43"/>
      <c r="L265" s="33">
        <f>INDEX('92 HVO jet fuel'!$D$4:$H$59,MATCH(SUP_Biofuels!Y265,'92 HVO jet fuel'!$B$4:$B$59,0),MATCH(SUP_Biofuels!$I261,'92 HVO jet fuel'!$D$3:$H$3,0))*(SUM(K261:K264))</f>
        <v>9.8636363636363647E-2</v>
      </c>
      <c r="M265" s="43"/>
      <c r="N265" s="43"/>
      <c r="O265" s="43"/>
      <c r="P265" s="40"/>
      <c r="Q265" s="43"/>
      <c r="R265" s="43"/>
      <c r="S265" s="43"/>
      <c r="T265" s="43"/>
      <c r="U265" s="43"/>
      <c r="V265" s="43"/>
      <c r="W265" s="43"/>
      <c r="X265" s="43"/>
      <c r="Y265" s="17" t="str">
        <f>Y257</f>
        <v>Naphta Output, MWh/MWh Total Input</v>
      </c>
    </row>
    <row r="266" spans="3:25">
      <c r="C266" s="43"/>
      <c r="D266" s="43"/>
      <c r="E266" s="43"/>
      <c r="F266" s="43"/>
      <c r="G266" s="17" t="str">
        <f>G258</f>
        <v>LPG</v>
      </c>
      <c r="H266" s="43"/>
      <c r="I266" s="43"/>
      <c r="J266" s="43"/>
      <c r="K266" s="43"/>
      <c r="L266" s="33">
        <f>INDEX('92 HVO jet fuel'!$D$4:$H$59,MATCH(SUP_Biofuels!Y266,'92 HVO jet fuel'!$B$4:$B$59,0),MATCH(SUP_Biofuels!$I261,'92 HVO jet fuel'!$D$3:$H$3,0))*(SUM(K261:K264))</f>
        <v>0.13999999999999999</v>
      </c>
      <c r="M266" s="43"/>
      <c r="N266" s="43"/>
      <c r="O266" s="43"/>
      <c r="P266" s="40"/>
      <c r="Q266" s="43"/>
      <c r="R266" s="43"/>
      <c r="S266" s="43"/>
      <c r="T266" s="43"/>
      <c r="U266" s="43"/>
      <c r="V266" s="43"/>
      <c r="W266" s="43"/>
      <c r="X266" s="43"/>
      <c r="Y266" s="17" t="str">
        <f>Y258</f>
        <v>LPG Output, MWh/MWh Total Input</v>
      </c>
    </row>
    <row r="267" spans="3:25">
      <c r="C267" s="43"/>
      <c r="D267" s="43"/>
      <c r="E267" s="43"/>
      <c r="F267" s="43"/>
      <c r="G267" s="17" t="str">
        <f>G259</f>
        <v>SNG1</v>
      </c>
      <c r="H267" s="43"/>
      <c r="I267" s="43"/>
      <c r="J267" s="43"/>
      <c r="K267" s="43"/>
      <c r="L267" s="33">
        <f>INDEX('92 HVO jet fuel'!$D$4:$H$59,MATCH(SUP_Biofuels!Y267,'92 HVO jet fuel'!$B$4:$B$59,0),MATCH(SUP_Biofuels!$I261,'92 HVO jet fuel'!$D$3:$H$3,0))*(SUM(K261:K264))</f>
        <v>0.15151515151515152</v>
      </c>
      <c r="M267" s="43"/>
      <c r="N267" s="43"/>
      <c r="O267" s="43"/>
      <c r="P267" s="40"/>
      <c r="Q267" s="43"/>
      <c r="R267" s="43"/>
      <c r="S267" s="43"/>
      <c r="T267" s="43"/>
      <c r="U267" s="43"/>
      <c r="V267" s="43"/>
      <c r="W267" s="43"/>
      <c r="X267" s="43"/>
      <c r="Y267" s="17" t="str">
        <f>Y259</f>
        <v>Fuel Gas Output, MWh/MWh Total Input</v>
      </c>
    </row>
    <row r="268" spans="3:25">
      <c r="C268" s="43"/>
      <c r="D268" s="43"/>
      <c r="E268" s="43"/>
      <c r="F268" s="43"/>
      <c r="G268" s="17" t="str">
        <f>G260</f>
        <v>HETC</v>
      </c>
      <c r="H268" s="43"/>
      <c r="I268" s="43"/>
      <c r="J268" s="43"/>
      <c r="K268" s="43"/>
      <c r="L268" s="33">
        <f>INDEX('92 HVO jet fuel'!$D$4:$H$59,MATCH(SUP_Biofuels!Y268,'92 HVO jet fuel'!$B$4:$B$59,0),MATCH(SUP_Biofuels!$I261,'92 HVO jet fuel'!$D$3:$H$3,0))*(SUM(K261:K264))</f>
        <v>4.0227272727272723E-2</v>
      </c>
      <c r="M268" s="43"/>
      <c r="N268" s="43"/>
      <c r="O268" s="43"/>
      <c r="P268" s="40"/>
      <c r="Q268" s="43"/>
      <c r="R268" s="43"/>
      <c r="S268" s="43"/>
      <c r="T268" s="43"/>
      <c r="U268" s="43"/>
      <c r="V268" s="43"/>
      <c r="W268" s="43"/>
      <c r="X268" s="43"/>
      <c r="Y268" s="17" t="str">
        <f>Y260</f>
        <v>District Heating Output, MWh/MWh Total input</v>
      </c>
    </row>
    <row r="269" spans="3:25">
      <c r="C269" s="43"/>
      <c r="D269" s="43"/>
      <c r="E269" s="17" t="str">
        <f>E261</f>
        <v>SUPCRB</v>
      </c>
      <c r="F269" s="17" t="str">
        <f>F261</f>
        <v>KRB1</v>
      </c>
      <c r="G269" s="17"/>
      <c r="H269" s="17" t="s">
        <v>70</v>
      </c>
      <c r="I269" s="17">
        <v>2050</v>
      </c>
      <c r="J269" s="17"/>
      <c r="K269" s="33">
        <f>(INDEX('92 HVO jet fuel'!$D$4:$H$59,MATCH(SUP_Biofuels!W269,'92 HVO jet fuel'!$B$4:$B$59,0),MATCH(SUP_Biofuels!$I269,'92 HVO jet fuel'!$D$3:$H$3,0)))/INDEX('92 HVO jet fuel'!$D$4:$H$59,MATCH(SUP_Biofuels!X269,'92 HVO jet fuel'!$B$4:$B$59,0),MATCH(SUP_Biofuels!$I269,'92 HVO jet fuel'!$D$3:$H$3,0))</f>
        <v>1.1803030303030302</v>
      </c>
      <c r="L269" s="33"/>
      <c r="M269" s="34">
        <f>INDEX('92 HVO jet fuel'!$D$4:$H$59,MATCH(SUP_Biofuels!M$8,'92 HVO jet fuel'!$B$4:$B$59,0),MATCH(SUP_Biofuels!$I269,'92 HVO jet fuel'!$D$3:$H$3,0))</f>
        <v>25</v>
      </c>
      <c r="N269" s="35">
        <f>INDEX('92 HVO jet fuel'!$D$4:$H$59,MATCH(SUP_Biofuels!N$8,'92 HVO jet fuel'!$B$4:$B$59,0),MATCH(SUP_Biofuels!$I269,'92 HVO jet fuel'!$D$3:$H$3,0))*7.45</f>
        <v>5.3151998216375906</v>
      </c>
      <c r="O269" s="35">
        <f>INDEX('92 HVO jet fuel'!$D$4:$H$59,MATCH(SUP_Biofuels!O$8,'92 HVO jet fuel'!$B$4:$B$59,0),MATCH(SUP_Biofuels!$I269,'92 HVO jet fuel'!$D$3:$H$3,0))*7.45</f>
        <v>0.26575999108187948</v>
      </c>
      <c r="P269" s="35">
        <f>INDEX('92 HVO jet fuel'!$D$4:$H$59,MATCH(SUP_Biofuels!P$8,'92 HVO jet fuel'!$B$4:$B$59,0),MATCH(SUP_Biofuels!$I269,'92 HVO jet fuel'!$D$3:$H$3,0))*7.45/3.6</f>
        <v>17.591358678811794</v>
      </c>
      <c r="Q269" s="33">
        <f>1-INDEX('92 HVO jet fuel'!$D$4:$H$59,MATCH(SUP_Biofuels!Q$7,'92 HVO jet fuel'!$B$4:$B$59,0),MATCH(SUP_Biofuels!$I269,'92 HVO jet fuel'!$D$3:$H$3,0))/52-INDEX('92 HVO jet fuel'!$D$4:$H$59,MATCH(SUP_Biofuels!Q$8,'92 HVO jet fuel'!$B$4:$B$59,0),MATCH(SUP_Biofuels!$I269,'92 HVO jet fuel'!$D$3:$H$3,0))/100</f>
        <v>0.96153846153846156</v>
      </c>
      <c r="R269" s="36">
        <f>$R$39</f>
        <v>3.1536000000000002E-2</v>
      </c>
      <c r="S269" s="34">
        <f>INDEX('92 HVO jet fuel'!$D$4:$H$59,MATCH(SUP_Biofuels!S$8,'92 HVO jet fuel'!$B$4:$B$59,0),MATCH(SUP_Biofuels!$I269,'92 HVO jet fuel'!$D$3:$H$3,0))</f>
        <v>2</v>
      </c>
      <c r="T269" s="34"/>
      <c r="U269" s="44"/>
      <c r="V269" s="43"/>
      <c r="W269" s="17" t="str">
        <f>W261</f>
        <v>Feedstock Consumption, MWh/MWh Total Inputs</v>
      </c>
      <c r="X269" s="17" t="str">
        <f>X261</f>
        <v>HVO Jet Output, GJ/GJ Total Input</v>
      </c>
      <c r="Y269" s="17"/>
    </row>
    <row r="270" spans="3:25">
      <c r="C270" s="43"/>
      <c r="D270" s="43"/>
      <c r="E270" s="17" t="str">
        <f>E262</f>
        <v>SUPH2</v>
      </c>
      <c r="F270" s="17"/>
      <c r="G270" s="17"/>
      <c r="H270" s="17"/>
      <c r="I270" s="17"/>
      <c r="J270" s="17"/>
      <c r="K270" s="33">
        <f>(INDEX('92 HVO jet fuel'!$D$4:$H$59,MATCH(SUP_Biofuels!W270,'92 HVO jet fuel'!$B$4:$B$59,0),MATCH(SUP_Biofuels!$I269,'92 HVO jet fuel'!$D$3:$H$3,0)))/INDEX('92 HVO jet fuel'!$D$4:$H$59,MATCH(SUP_Biofuels!X269,'92 HVO jet fuel'!$B$4:$B$59,0),MATCH(SUP_Biofuels!$I269,'92 HVO jet fuel'!$D$3:$H$3,0))</f>
        <v>0.15</v>
      </c>
      <c r="L270" s="33"/>
      <c r="M270" s="39"/>
      <c r="N270" s="40"/>
      <c r="O270" s="40"/>
      <c r="P270" s="40"/>
      <c r="Q270" s="41"/>
      <c r="R270" s="42"/>
      <c r="S270" s="39"/>
      <c r="T270" s="39"/>
      <c r="U270" s="43"/>
      <c r="V270" s="43"/>
      <c r="W270" s="17" t="str">
        <f>W262</f>
        <v>Hydrogen Consumption, MWh/MWh Total Inputs</v>
      </c>
      <c r="X270" s="17"/>
      <c r="Y270" s="17"/>
    </row>
    <row r="271" spans="3:25" ht="15.6">
      <c r="C271" s="43"/>
      <c r="D271" s="32"/>
      <c r="E271" s="17" t="str">
        <f>E263</f>
        <v>SUPELC</v>
      </c>
      <c r="F271" s="43"/>
      <c r="G271" s="43"/>
      <c r="H271" s="43"/>
      <c r="I271" s="43"/>
      <c r="J271" s="43"/>
      <c r="K271" s="33">
        <f>(INDEX('92 HVO jet fuel'!$D$4:$H$59,MATCH(SUP_Biofuels!W271,'92 HVO jet fuel'!$B$4:$B$59,0),MATCH(SUP_Biofuels!$I269,'92 HVO jet fuel'!$D$3:$H$3,0)))/INDEX('92 HVO jet fuel'!$D$4:$H$59,MATCH(SUP_Biofuels!X269,'92 HVO jet fuel'!$B$4:$B$59,0),MATCH(SUP_Biofuels!$I269,'92 HVO jet fuel'!$D$3:$H$3,0))</f>
        <v>4.5454545454545452E-3</v>
      </c>
      <c r="L271" s="43"/>
      <c r="M271" s="43"/>
      <c r="N271" s="43"/>
      <c r="O271" s="43"/>
      <c r="P271" s="40"/>
      <c r="Q271" s="43"/>
      <c r="R271" s="43"/>
      <c r="S271" s="43"/>
      <c r="T271" s="43"/>
      <c r="U271" s="43"/>
      <c r="V271" s="43"/>
      <c r="W271" s="17" t="str">
        <f>W263</f>
        <v>Electricity Consumption, MWh/MWh Total Inputs</v>
      </c>
      <c r="X271" s="43"/>
      <c r="Y271" s="43"/>
    </row>
    <row r="272" spans="3:25">
      <c r="C272" s="43"/>
      <c r="D272" s="17"/>
      <c r="E272" s="17" t="str">
        <f>E264</f>
        <v>SUPNGA,SUPSNG,SUPH2</v>
      </c>
      <c r="F272" s="43"/>
      <c r="G272" s="43"/>
      <c r="H272" s="43"/>
      <c r="I272" s="43"/>
      <c r="J272" s="43"/>
      <c r="K272" s="33">
        <f>(INDEX('92 HVO jet fuel'!$D$4:$H$59,MATCH(SUP_Biofuels!W272,'92 HVO jet fuel'!$B$4:$B$59,0),MATCH(SUP_Biofuels!$I269,'92 HVO jet fuel'!$D$3:$H$3,0)))/INDEX('92 HVO jet fuel'!$D$4:$H$59,MATCH(SUP_Biofuels!X269,'92 HVO jet fuel'!$B$4:$B$59,0),MATCH(SUP_Biofuels!$I269,'92 HVO jet fuel'!$D$3:$H$3,0))</f>
        <v>0.1803030303030303</v>
      </c>
      <c r="L272" s="43"/>
      <c r="M272" s="43"/>
      <c r="N272" s="43"/>
      <c r="O272" s="43"/>
      <c r="P272" s="40"/>
      <c r="Q272" s="43"/>
      <c r="R272" s="43"/>
      <c r="S272" s="43"/>
      <c r="T272" s="43"/>
      <c r="U272" s="43"/>
      <c r="V272" s="43"/>
      <c r="W272" s="17" t="str">
        <f>W264</f>
        <v>Natural Gas Consumption, MWh/MWh Total Inputs</v>
      </c>
      <c r="X272" s="43"/>
      <c r="Y272" s="43"/>
    </row>
    <row r="273" spans="3:25">
      <c r="C273" s="43"/>
      <c r="D273" s="43"/>
      <c r="E273" s="43"/>
      <c r="F273" s="43"/>
      <c r="G273" s="17" t="str">
        <f>G265</f>
        <v>LVN</v>
      </c>
      <c r="H273" s="43"/>
      <c r="I273" s="43"/>
      <c r="J273" s="43"/>
      <c r="K273" s="43"/>
      <c r="L273" s="33">
        <f>INDEX('92 HVO jet fuel'!$D$4:$H$59,MATCH(SUP_Biofuels!Y273,'92 HVO jet fuel'!$B$4:$B$59,0),MATCH(SUP_Biofuels!$I269,'92 HVO jet fuel'!$D$3:$H$3,0))*(SUM(K269:K272))</f>
        <v>9.8636363636363647E-2</v>
      </c>
      <c r="M273" s="43"/>
      <c r="N273" s="43"/>
      <c r="O273" s="43"/>
      <c r="P273" s="40"/>
      <c r="Q273" s="43"/>
      <c r="R273" s="43"/>
      <c r="S273" s="43"/>
      <c r="T273" s="43"/>
      <c r="U273" s="43"/>
      <c r="V273" s="43"/>
      <c r="W273" s="43"/>
      <c r="X273" s="43"/>
      <c r="Y273" s="17" t="str">
        <f>Y265</f>
        <v>Naphta Output, MWh/MWh Total Input</v>
      </c>
    </row>
    <row r="274" spans="3:25">
      <c r="C274" s="43"/>
      <c r="D274" s="43"/>
      <c r="E274" s="43"/>
      <c r="F274" s="43"/>
      <c r="G274" s="43" t="str">
        <f>G266</f>
        <v>LPG</v>
      </c>
      <c r="H274" s="43"/>
      <c r="I274" s="43"/>
      <c r="J274" s="43"/>
      <c r="K274" s="43"/>
      <c r="L274" s="33">
        <f>INDEX('92 HVO jet fuel'!$D$4:$H$59,MATCH(SUP_Biofuels!Y274,'92 HVO jet fuel'!$B$4:$B$59,0),MATCH(SUP_Biofuels!$I269,'92 HVO jet fuel'!$D$3:$H$3,0))*(SUM(K269:K272))</f>
        <v>0.13999999999999999</v>
      </c>
      <c r="M274" s="43"/>
      <c r="N274" s="43"/>
      <c r="O274" s="43"/>
      <c r="P274" s="40"/>
      <c r="Q274" s="43"/>
      <c r="R274" s="43"/>
      <c r="S274" s="43"/>
      <c r="T274" s="43"/>
      <c r="U274" s="43"/>
      <c r="V274" s="43"/>
      <c r="W274" s="43"/>
      <c r="X274" s="43"/>
      <c r="Y274" s="43" t="str">
        <f>Y266</f>
        <v>LPG Output, MWh/MWh Total Input</v>
      </c>
    </row>
    <row r="275" spans="3:25">
      <c r="C275" s="43"/>
      <c r="D275" s="43"/>
      <c r="E275" s="43"/>
      <c r="F275" s="43"/>
      <c r="G275" s="43" t="str">
        <f>G267</f>
        <v>SNG1</v>
      </c>
      <c r="H275" s="43"/>
      <c r="I275" s="43"/>
      <c r="J275" s="43"/>
      <c r="K275" s="43"/>
      <c r="L275" s="33">
        <f>INDEX('92 HVO jet fuel'!$D$4:$H$59,MATCH(SUP_Biofuels!Y275,'92 HVO jet fuel'!$B$4:$B$59,0),MATCH(SUP_Biofuels!$I269,'92 HVO jet fuel'!$D$3:$H$3,0))*(SUM(K269:K272))</f>
        <v>0.15151515151515152</v>
      </c>
      <c r="M275" s="43"/>
      <c r="N275" s="43"/>
      <c r="O275" s="43"/>
      <c r="P275" s="40"/>
      <c r="Q275" s="43"/>
      <c r="R275" s="43"/>
      <c r="S275" s="43"/>
      <c r="T275" s="43"/>
      <c r="U275" s="43"/>
      <c r="V275" s="43"/>
      <c r="W275" s="43"/>
      <c r="X275" s="43"/>
      <c r="Y275" s="43" t="str">
        <f>Y267</f>
        <v>Fuel Gas Output, MWh/MWh Total Input</v>
      </c>
    </row>
    <row r="276" spans="3:25" ht="15" thickBot="1">
      <c r="C276" s="46"/>
      <c r="D276" s="46"/>
      <c r="E276" s="46"/>
      <c r="F276" s="46"/>
      <c r="G276" s="47" t="str">
        <f>G268</f>
        <v>HETC</v>
      </c>
      <c r="H276" s="46"/>
      <c r="I276" s="46"/>
      <c r="J276" s="46"/>
      <c r="K276" s="43"/>
      <c r="L276" s="33">
        <f>INDEX('92 HVO jet fuel'!$D$4:$H$59,MATCH(SUP_Biofuels!Y276,'92 HVO jet fuel'!$B$4:$B$59,0),MATCH(SUP_Biofuels!$I269,'92 HVO jet fuel'!$D$3:$H$3,0))*(SUM(K269:K272))</f>
        <v>4.0227272727272723E-2</v>
      </c>
      <c r="M276" s="43"/>
      <c r="N276" s="43"/>
      <c r="O276" s="43"/>
      <c r="P276" s="40"/>
      <c r="Q276" s="43"/>
      <c r="R276" s="43"/>
      <c r="S276" s="43"/>
      <c r="T276" s="43"/>
      <c r="U276" s="46"/>
      <c r="V276" s="46"/>
      <c r="W276" s="46"/>
      <c r="X276" s="46"/>
      <c r="Y276" s="47" t="str">
        <f>Y268</f>
        <v>District Heating Output, MWh/MWh Total input</v>
      </c>
    </row>
    <row r="277" spans="3:25" ht="15.6">
      <c r="C277" s="17" t="str">
        <f>"SUP"&amp;F277&amp;RIGHT(E277,3)&amp;IF(RIGHT(D277,7)="Central","C1","D1")</f>
        <v>SUPGSB1CRNC1</v>
      </c>
      <c r="D277" s="21" t="str">
        <f>'93 1st generation ethanol'!D2&amp;" Central"</f>
        <v>1st Generation Ethanol Central</v>
      </c>
      <c r="E277" s="7" t="s">
        <v>80</v>
      </c>
      <c r="F277" s="7" t="s">
        <v>81</v>
      </c>
      <c r="G277" s="7"/>
      <c r="H277" s="7" t="s">
        <v>70</v>
      </c>
      <c r="I277" s="7">
        <f>'93 1st generation ethanol'!$D$3</f>
        <v>2015</v>
      </c>
      <c r="J277" s="19">
        <v>2030</v>
      </c>
      <c r="K277" s="7">
        <f>'93 1st generation ethanol'!$D$9/'93 1st generation ethanol'!$D$13</f>
        <v>1.8043478260869563</v>
      </c>
      <c r="L277" s="50"/>
      <c r="M277" s="7">
        <f>'93 1st generation ethanol'!$D$18</f>
        <v>25</v>
      </c>
      <c r="N277" s="23">
        <f>'93 1st generation ethanol'!$D$21*7.45</f>
        <v>5.4965641952983724</v>
      </c>
      <c r="O277" s="24">
        <f>'93 1st generation ethanol'!$D$24*7.45</f>
        <v>0.45265822784810128</v>
      </c>
      <c r="P277" s="51">
        <f>'93 1st generation ethanol'!$D$25*7.45/3.6</f>
        <v>17.177877729206291</v>
      </c>
      <c r="Q277" s="22">
        <f>1-'93 1st generation ethanol'!$D$17/52</f>
        <v>0.96153846153846156</v>
      </c>
      <c r="R277" s="7">
        <f>$R$39</f>
        <v>3.1536000000000002E-2</v>
      </c>
      <c r="S277">
        <f>'93 1st generation ethanol'!$D$19</f>
        <v>2</v>
      </c>
      <c r="U277" s="52"/>
      <c r="V277" s="38" t="s">
        <v>74</v>
      </c>
      <c r="W277" s="7"/>
      <c r="X277" s="7"/>
      <c r="Y277" s="7"/>
    </row>
    <row r="278" spans="3:25">
      <c r="D278" s="7"/>
      <c r="E278" s="7" t="s">
        <v>71</v>
      </c>
      <c r="F278" s="7"/>
      <c r="G278" s="7"/>
      <c r="H278" s="7"/>
      <c r="I278" s="7"/>
      <c r="J278" s="7"/>
      <c r="K278" s="7">
        <f>'93 1st generation ethanol'!$D$10/'93 1st generation ethanol'!$D$13</f>
        <v>4.3478260869565216E-2</v>
      </c>
      <c r="L278" s="7"/>
      <c r="M278" s="7"/>
      <c r="N278" s="7"/>
      <c r="O278" s="7"/>
      <c r="P278" s="51"/>
      <c r="Q278" s="7"/>
      <c r="R278" s="7"/>
      <c r="S278" s="7"/>
      <c r="T278" s="7"/>
      <c r="U278" s="7"/>
      <c r="W278" s="7"/>
      <c r="X278" s="7"/>
      <c r="Y278" s="7"/>
    </row>
    <row r="279" spans="3:25">
      <c r="E279" s="43" t="s">
        <v>1760</v>
      </c>
      <c r="K279" s="7">
        <f>'93 1st generation ethanol'!$D$11/'93 1st generation ethanol'!$D$13</f>
        <v>0.32608695652173908</v>
      </c>
      <c r="P279" s="51"/>
    </row>
    <row r="280" spans="3:25">
      <c r="G280" t="s">
        <v>1418</v>
      </c>
      <c r="L280">
        <f>'93 1st generation ethanol'!$D$14</f>
        <v>0.28999999999999998</v>
      </c>
      <c r="P280" s="51"/>
    </row>
    <row r="281" spans="3:25" ht="15.6">
      <c r="C281" s="7"/>
      <c r="D281" s="21"/>
      <c r="E281" s="7" t="str">
        <f>E277</f>
        <v>SUPCRN</v>
      </c>
      <c r="F281" s="7" t="s">
        <v>81</v>
      </c>
      <c r="G281" s="7"/>
      <c r="H281" s="7" t="s">
        <v>70</v>
      </c>
      <c r="I281" s="7">
        <f>'93 1st generation ethanol'!$E$3</f>
        <v>2020</v>
      </c>
      <c r="J281" s="7"/>
      <c r="K281" s="7">
        <f>'93 1st generation ethanol'!$E$9/'93 1st generation ethanol'!$E$13</f>
        <v>1.8043478260869563</v>
      </c>
      <c r="L281" s="50"/>
      <c r="M281" s="7">
        <f>'93 1st generation ethanol'!$E$18</f>
        <v>25</v>
      </c>
      <c r="N281" s="23">
        <f>'93 1st generation ethanol'!$E$21*7.45</f>
        <v>5.3887884267631092</v>
      </c>
      <c r="O281" s="24">
        <f>'93 1st generation ethanol'!$E$24*7.45</f>
        <v>0.45265822784810128</v>
      </c>
      <c r="P281" s="51">
        <f>'93 1st generation ethanol'!$E$25*7.45/3.6</f>
        <v>17.177877729206291</v>
      </c>
      <c r="Q281" s="22">
        <f>1-'93 1st generation ethanol'!$E$17/52</f>
        <v>0.96153846153846156</v>
      </c>
      <c r="R281" s="7">
        <f>$R$39</f>
        <v>3.1536000000000002E-2</v>
      </c>
      <c r="S281">
        <f>'93 1st generation ethanol'!$E$19</f>
        <v>2</v>
      </c>
      <c r="U281" s="53"/>
      <c r="V281" s="45"/>
      <c r="W281" s="7"/>
      <c r="X281" s="7"/>
      <c r="Y281" s="7"/>
    </row>
    <row r="282" spans="3:25">
      <c r="C282" s="54"/>
      <c r="D282" s="7"/>
      <c r="E282" s="7" t="str">
        <f>E278</f>
        <v>SUPELC</v>
      </c>
      <c r="F282" s="7"/>
      <c r="G282" s="7"/>
      <c r="H282" s="7"/>
      <c r="I282" s="7"/>
      <c r="J282" s="7"/>
      <c r="K282" s="7">
        <f>'93 1st generation ethanol'!$E$10/'93 1st generation ethanol'!$E$13</f>
        <v>4.3478260869565216E-2</v>
      </c>
      <c r="L282" s="7"/>
      <c r="M282" s="7"/>
      <c r="N282" s="7"/>
      <c r="O282" s="7"/>
      <c r="P282" s="51"/>
      <c r="Q282" s="7"/>
      <c r="R282" s="7"/>
      <c r="S282" s="7"/>
      <c r="T282" s="7"/>
      <c r="U282" s="7"/>
      <c r="W282" s="7"/>
      <c r="X282" s="7"/>
      <c r="Y282" s="7"/>
    </row>
    <row r="283" spans="3:25">
      <c r="E283" s="7" t="str">
        <f>E279</f>
        <v>SUPNGA,SUPSNG,SUPH2</v>
      </c>
      <c r="K283" s="7">
        <f>'93 1st generation ethanol'!$E$11/'93 1st generation ethanol'!$E$13</f>
        <v>0.32608695652173908</v>
      </c>
      <c r="P283" s="51"/>
    </row>
    <row r="284" spans="3:25">
      <c r="G284" t="s">
        <v>1418</v>
      </c>
      <c r="L284">
        <f>'93 1st generation ethanol'!$E$14</f>
        <v>0.27</v>
      </c>
      <c r="P284" s="51"/>
    </row>
    <row r="285" spans="3:25" ht="15.6">
      <c r="D285" s="21"/>
      <c r="E285" s="7" t="str">
        <f>E281</f>
        <v>SUPCRN</v>
      </c>
      <c r="F285" s="7" t="s">
        <v>81</v>
      </c>
      <c r="G285" s="7"/>
      <c r="H285" s="7" t="s">
        <v>70</v>
      </c>
      <c r="I285" s="7">
        <f>'93 1st generation ethanol'!$F$3</f>
        <v>2030</v>
      </c>
      <c r="J285" s="7"/>
      <c r="K285" s="7">
        <f>'93 1st generation ethanol'!$F$9/'93 1st generation ethanol'!$F$13</f>
        <v>1.7872340425531916</v>
      </c>
      <c r="L285" s="50"/>
      <c r="M285" s="7">
        <f>'93 1st generation ethanol'!$F$18</f>
        <v>25</v>
      </c>
      <c r="N285" s="23">
        <f>'93 1st generation ethanol'!$F$21*7.45</f>
        <v>5.1732368896925855</v>
      </c>
      <c r="O285" s="24">
        <f>'93 1st generation ethanol'!$F$24*7.45</f>
        <v>0.45265822784810128</v>
      </c>
      <c r="P285" s="51">
        <f>'93 1st generation ethanol'!$F$25*7.45/3.6</f>
        <v>17.177877729206291</v>
      </c>
      <c r="Q285" s="22">
        <f>1-'93 1st generation ethanol'!$F$17/52</f>
        <v>0.96153846153846156</v>
      </c>
      <c r="R285" s="7">
        <f>$R$39</f>
        <v>3.1536000000000002E-2</v>
      </c>
      <c r="S285">
        <f>'93 1st generation ethanol'!$F$19</f>
        <v>2</v>
      </c>
      <c r="U285" s="53"/>
      <c r="V285" s="45"/>
      <c r="W285" s="7"/>
      <c r="X285" s="7"/>
      <c r="Y285" s="7"/>
    </row>
    <row r="286" spans="3:25">
      <c r="D286" s="7"/>
      <c r="E286" s="7" t="str">
        <f>E282</f>
        <v>SUPELC</v>
      </c>
      <c r="F286" s="7"/>
      <c r="G286" s="7"/>
      <c r="H286" s="7"/>
      <c r="I286" s="7"/>
      <c r="J286" s="7"/>
      <c r="K286" s="7">
        <f>'93 1st generation ethanol'!$F$10/'93 1st generation ethanol'!$F$13</f>
        <v>4.2553191489361708E-2</v>
      </c>
      <c r="L286" s="7"/>
      <c r="M286" s="7"/>
      <c r="N286" s="7"/>
      <c r="O286" s="7"/>
      <c r="P286" s="51"/>
      <c r="Q286" s="7"/>
      <c r="R286" s="7"/>
      <c r="S286" s="7"/>
      <c r="T286" s="7"/>
      <c r="U286" s="7"/>
      <c r="W286" s="7"/>
      <c r="X286" s="7"/>
      <c r="Y286" s="7"/>
    </row>
    <row r="287" spans="3:25">
      <c r="E287" s="7" t="str">
        <f>E283</f>
        <v>SUPNGA,SUPSNG,SUPH2</v>
      </c>
      <c r="K287" s="7">
        <f>'93 1st generation ethanol'!$F$11/'93 1st generation ethanol'!$F$13</f>
        <v>0.29787234042553196</v>
      </c>
      <c r="P287" s="51"/>
    </row>
    <row r="288" spans="3:25">
      <c r="G288" t="s">
        <v>1418</v>
      </c>
      <c r="L288">
        <f>'93 1st generation ethanol'!$F$14</f>
        <v>0.28000000000000003</v>
      </c>
      <c r="P288" s="51"/>
    </row>
    <row r="289" spans="3:25" ht="15.6">
      <c r="D289" s="21"/>
      <c r="E289" s="7" t="str">
        <f>E285</f>
        <v>SUPCRN</v>
      </c>
      <c r="F289" s="7" t="s">
        <v>81</v>
      </c>
      <c r="G289" s="7"/>
      <c r="H289" s="7" t="s">
        <v>70</v>
      </c>
      <c r="I289" s="7">
        <f>'93 1st generation ethanol'!$G$3</f>
        <v>2040</v>
      </c>
      <c r="J289" s="7"/>
      <c r="K289" s="7">
        <f>'93 1st generation ethanol'!$G$9/'93 1st generation ethanol'!$G$13</f>
        <v>1.8085106382978724</v>
      </c>
      <c r="L289" s="50"/>
      <c r="M289" s="7">
        <f>'93 1st generation ethanol'!$G$18</f>
        <v>25</v>
      </c>
      <c r="N289" s="23">
        <f>'93 1st generation ethanol'!$G$21*7.45</f>
        <v>4.9449375</v>
      </c>
      <c r="O289" s="24">
        <f>'93 1st generation ethanol'!$G$24*7.45</f>
        <v>0.45265822784810128</v>
      </c>
      <c r="P289" s="51">
        <f>'93 1st generation ethanol'!$G$25*7.45/3.6</f>
        <v>17.177877729206294</v>
      </c>
      <c r="Q289" s="22">
        <f>1-'93 1st generation ethanol'!$G$17/52</f>
        <v>0.96153846153846156</v>
      </c>
      <c r="R289" s="7">
        <f>$R$39</f>
        <v>3.1536000000000002E-2</v>
      </c>
      <c r="S289">
        <f>'93 1st generation ethanol'!$G$19</f>
        <v>2</v>
      </c>
      <c r="U289" s="53"/>
      <c r="V289" s="45"/>
      <c r="W289" s="7"/>
      <c r="X289" s="7"/>
      <c r="Y289" s="7"/>
    </row>
    <row r="290" spans="3:25">
      <c r="D290" s="7"/>
      <c r="E290" s="7" t="str">
        <f>E286</f>
        <v>SUPELC</v>
      </c>
      <c r="F290" s="7"/>
      <c r="G290" s="7"/>
      <c r="H290" s="7"/>
      <c r="I290" s="7"/>
      <c r="J290" s="7"/>
      <c r="K290" s="7">
        <f>'93 1st generation ethanol'!$G$10/'93 1st generation ethanol'!$G$13</f>
        <v>4.2553191489361708E-2</v>
      </c>
      <c r="L290" s="7"/>
      <c r="M290" s="7"/>
      <c r="N290" s="7"/>
      <c r="O290" s="7"/>
      <c r="P290" s="51"/>
      <c r="Q290" s="7"/>
      <c r="R290" s="7"/>
      <c r="S290" s="7"/>
      <c r="T290" s="7"/>
      <c r="U290" s="7"/>
      <c r="W290" s="7"/>
      <c r="X290" s="7"/>
      <c r="Y290" s="7"/>
    </row>
    <row r="291" spans="3:25">
      <c r="E291" s="7" t="str">
        <f>E287</f>
        <v>SUPNGA,SUPSNG,SUPH2</v>
      </c>
      <c r="K291" s="7">
        <f>'93 1st generation ethanol'!$G$11/'93 1st generation ethanol'!$G$13</f>
        <v>0.27659574468085107</v>
      </c>
      <c r="P291" s="51"/>
    </row>
    <row r="292" spans="3:25">
      <c r="G292" t="s">
        <v>1418</v>
      </c>
      <c r="L292">
        <f>'93 1st generation ethanol'!$G$14</f>
        <v>0.25</v>
      </c>
      <c r="P292" s="51"/>
    </row>
    <row r="293" spans="3:25" ht="15.6">
      <c r="D293" s="21"/>
      <c r="E293" s="7" t="str">
        <f>E289</f>
        <v>SUPCRN</v>
      </c>
      <c r="F293" s="7" t="s">
        <v>81</v>
      </c>
      <c r="G293" s="7"/>
      <c r="H293" s="7" t="s">
        <v>70</v>
      </c>
      <c r="I293" s="7">
        <f>'93 1st generation ethanol'!$H$3</f>
        <v>2050</v>
      </c>
      <c r="J293" s="7"/>
      <c r="K293" s="7">
        <f>'93 1st generation ethanol'!$H$9/'93 1st generation ethanol'!$H$13</f>
        <v>1.8085106382978724</v>
      </c>
      <c r="L293" s="50"/>
      <c r="M293" s="7">
        <f>'93 1st generation ethanol'!$H$18</f>
        <v>25</v>
      </c>
      <c r="N293" s="23">
        <f>'93 1st generation ethanol'!$H$21*7.45</f>
        <v>4.9295166858457993</v>
      </c>
      <c r="O293" s="24">
        <f>'93 1st generation ethanol'!$H$24*7.45</f>
        <v>0.45265822784810128</v>
      </c>
      <c r="P293" s="51">
        <f>'93 1st generation ethanol'!$H$25*7.45/3.6</f>
        <v>17.177877729206294</v>
      </c>
      <c r="Q293" s="22">
        <f>1-'93 1st generation ethanol'!$H$17/52</f>
        <v>0.96153846153846156</v>
      </c>
      <c r="R293" s="7">
        <f>$R$39</f>
        <v>3.1536000000000002E-2</v>
      </c>
      <c r="S293">
        <f>'93 1st generation ethanol'!$H$19</f>
        <v>2</v>
      </c>
      <c r="U293" s="53"/>
      <c r="V293" s="45"/>
      <c r="W293" s="7"/>
      <c r="X293" s="7"/>
      <c r="Y293" s="7"/>
    </row>
    <row r="294" spans="3:25">
      <c r="D294" s="7"/>
      <c r="E294" s="7" t="str">
        <f>E290</f>
        <v>SUPELC</v>
      </c>
      <c r="F294" s="7"/>
      <c r="G294" s="7"/>
      <c r="H294" s="7"/>
      <c r="I294" s="7"/>
      <c r="J294" s="7"/>
      <c r="K294" s="7">
        <f>'93 1st generation ethanol'!$H$10/'93 1st generation ethanol'!$H$13</f>
        <v>4.2553191489361708E-2</v>
      </c>
      <c r="L294" s="7"/>
      <c r="M294" s="7"/>
      <c r="N294" s="7"/>
      <c r="O294" s="7"/>
      <c r="P294" s="51"/>
      <c r="Q294" s="7"/>
      <c r="R294" s="7"/>
      <c r="S294" s="7"/>
      <c r="T294" s="7"/>
      <c r="U294" s="7"/>
      <c r="W294" s="7"/>
      <c r="X294" s="7"/>
      <c r="Y294" s="7"/>
    </row>
    <row r="295" spans="3:25">
      <c r="E295" s="7" t="str">
        <f>E291</f>
        <v>SUPNGA,SUPSNG,SUPH2</v>
      </c>
      <c r="K295" s="7">
        <f>'93 1st generation ethanol'!$H$11/'93 1st generation ethanol'!$H$13</f>
        <v>0.27659574468085107</v>
      </c>
      <c r="P295" s="51"/>
    </row>
    <row r="296" spans="3:25" ht="15" thickBot="1">
      <c r="C296" s="55"/>
      <c r="D296" s="55"/>
      <c r="E296" s="55"/>
      <c r="F296" s="55"/>
      <c r="G296" t="s">
        <v>1418</v>
      </c>
      <c r="H296" s="55"/>
      <c r="I296" s="55"/>
      <c r="J296" s="55"/>
      <c r="K296" s="55"/>
      <c r="L296" s="55">
        <f>'93 1st generation ethanol'!$H$14</f>
        <v>0.25</v>
      </c>
      <c r="M296" s="55"/>
      <c r="N296" s="55"/>
      <c r="O296" s="55"/>
      <c r="P296" s="56"/>
      <c r="Q296" s="55"/>
      <c r="R296" s="55"/>
      <c r="S296" s="55"/>
      <c r="T296" s="55"/>
      <c r="U296" s="55"/>
      <c r="V296" s="55"/>
      <c r="W296" s="55"/>
      <c r="X296" s="55"/>
      <c r="Y296" s="55"/>
    </row>
    <row r="297" spans="3:25" ht="15.6">
      <c r="C297" s="54" t="str">
        <f>"SUP"&amp;F297&amp;RIGHT(E297,3)&amp;IF(RIGHT(D297,7)="Central","C1","D1")</f>
        <v>SUPCRBCRND1</v>
      </c>
      <c r="D297" s="32" t="str">
        <f>'94 Pyrolysis oils'!D2</f>
        <v>Fast Pyrolysis Bio Oil</v>
      </c>
      <c r="E297" s="17" t="s">
        <v>1763</v>
      </c>
      <c r="F297" s="17" t="s">
        <v>1762</v>
      </c>
      <c r="G297" s="17"/>
      <c r="H297" s="17" t="s">
        <v>70</v>
      </c>
      <c r="I297" s="17">
        <f>'93 1st generation ethanol'!$D$3</f>
        <v>2015</v>
      </c>
      <c r="J297" s="1251">
        <v>2025</v>
      </c>
      <c r="K297" s="17">
        <f>'93 1st generation ethanol'!$D$9/'93 1st generation ethanol'!$D$13</f>
        <v>1.8043478260869563</v>
      </c>
      <c r="L297" s="1252"/>
      <c r="M297" s="17">
        <f>'93 1st generation ethanol'!$D$18</f>
        <v>25</v>
      </c>
      <c r="N297" s="34">
        <f>'93 1st generation ethanol'!$D$21*7.45</f>
        <v>5.4965641952983724</v>
      </c>
      <c r="O297" s="35">
        <f>'93 1st generation ethanol'!$D$24*7.45</f>
        <v>0.45265822784810128</v>
      </c>
      <c r="P297" s="40">
        <f t="array" ref="P297">'93 1st generation ethanol'!$D$25*7.45/3.6</f>
        <v>17.177877729206291</v>
      </c>
      <c r="Q297" s="33">
        <f>1-'93 1st generation ethanol'!$D$17/52</f>
        <v>0.96153846153846156</v>
      </c>
      <c r="R297" s="17">
        <f>$R$39</f>
        <v>3.1536000000000002E-2</v>
      </c>
      <c r="S297" s="43">
        <f>'93 1st generation ethanol'!$D$19</f>
        <v>2</v>
      </c>
      <c r="T297" s="43"/>
      <c r="U297" s="44"/>
      <c r="V297" s="45" t="s">
        <v>74</v>
      </c>
      <c r="W297" s="54"/>
      <c r="X297" s="54"/>
      <c r="Y297" s="54"/>
    </row>
    <row r="298" spans="3:25">
      <c r="C298" s="54"/>
      <c r="D298" s="17"/>
      <c r="E298" s="17" t="s">
        <v>71</v>
      </c>
      <c r="F298" s="17"/>
      <c r="G298" s="17"/>
      <c r="H298" s="17"/>
      <c r="I298" s="17"/>
      <c r="J298" s="17"/>
      <c r="K298" s="17">
        <f>'93 1st generation ethanol'!$D$10/'93 1st generation ethanol'!$D$13</f>
        <v>4.3478260869565216E-2</v>
      </c>
      <c r="L298" s="17"/>
      <c r="M298" s="17"/>
      <c r="N298" s="17"/>
      <c r="O298" s="17"/>
      <c r="P298" s="40"/>
      <c r="Q298" s="17"/>
      <c r="R298" s="17"/>
      <c r="S298" s="17"/>
      <c r="T298" s="17"/>
      <c r="U298" s="17"/>
      <c r="V298" s="1253" t="s">
        <v>82</v>
      </c>
      <c r="W298" s="54"/>
      <c r="X298" s="54"/>
      <c r="Y298" s="54"/>
    </row>
    <row r="299" spans="3:25">
      <c r="C299" s="5"/>
      <c r="D299" s="43"/>
      <c r="E299" s="43" t="s">
        <v>1760</v>
      </c>
      <c r="F299" s="43"/>
      <c r="G299" s="43"/>
      <c r="H299" s="43"/>
      <c r="I299" s="43"/>
      <c r="J299" s="43"/>
      <c r="K299" s="17">
        <f>'93 1st generation ethanol'!$D$11/'93 1st generation ethanol'!$D$13</f>
        <v>0.32608695652173908</v>
      </c>
      <c r="L299" s="43"/>
      <c r="M299" s="43"/>
      <c r="N299" s="43"/>
      <c r="O299" s="43"/>
      <c r="P299" s="40"/>
      <c r="Q299" s="43"/>
      <c r="R299" s="43"/>
      <c r="S299" s="43"/>
      <c r="T299" s="43"/>
      <c r="U299" s="43"/>
      <c r="V299" s="43"/>
      <c r="W299" s="5"/>
      <c r="X299" s="5"/>
      <c r="Y299" s="5"/>
    </row>
    <row r="300" spans="3:25">
      <c r="C300" s="5"/>
      <c r="D300" s="43"/>
      <c r="E300" s="43"/>
      <c r="F300" s="43"/>
      <c r="G300" s="43" t="s">
        <v>1418</v>
      </c>
      <c r="H300" s="43"/>
      <c r="I300" s="43"/>
      <c r="J300" s="43"/>
      <c r="K300" s="43"/>
      <c r="L300" s="43">
        <f>'93 1st generation ethanol'!$D$14</f>
        <v>0.28999999999999998</v>
      </c>
      <c r="M300" s="43"/>
      <c r="N300" s="43"/>
      <c r="O300" s="43"/>
      <c r="P300" s="40"/>
      <c r="Q300" s="43"/>
      <c r="R300" s="43"/>
      <c r="S300" s="43"/>
      <c r="T300" s="43"/>
      <c r="U300" s="43"/>
      <c r="V300" s="43"/>
      <c r="W300" s="5"/>
      <c r="X300" s="5"/>
      <c r="Y300" s="5"/>
    </row>
    <row r="301" spans="3:25" ht="15.6">
      <c r="C301" s="54"/>
      <c r="D301" s="32"/>
      <c r="E301" s="17" t="str">
        <f>E297</f>
        <v>SUPWCH,SUPCRN</v>
      </c>
      <c r="F301" s="17" t="str">
        <f>F297</f>
        <v>CRB</v>
      </c>
      <c r="G301" s="17"/>
      <c r="H301" s="17" t="s">
        <v>70</v>
      </c>
      <c r="I301" s="17">
        <f>'93 1st generation ethanol'!$E$3</f>
        <v>2020</v>
      </c>
      <c r="J301" s="17"/>
      <c r="K301" s="17">
        <f>'93 1st generation ethanol'!$E$9/'93 1st generation ethanol'!$E$13</f>
        <v>1.8043478260869563</v>
      </c>
      <c r="L301" s="1252"/>
      <c r="M301" s="17">
        <f>'93 1st generation ethanol'!$E$18</f>
        <v>25</v>
      </c>
      <c r="N301" s="34">
        <f>'93 1st generation ethanol'!$E$21*7.45</f>
        <v>5.3887884267631092</v>
      </c>
      <c r="O301" s="35">
        <f>'93 1st generation ethanol'!$E$24*7.45</f>
        <v>0.45265822784810128</v>
      </c>
      <c r="P301" s="40">
        <f>'93 1st generation ethanol'!$E$25*7.45/3.6</f>
        <v>17.177877729206291</v>
      </c>
      <c r="Q301" s="33">
        <f>1-'93 1st generation ethanol'!$E$17/52</f>
        <v>0.96153846153846156</v>
      </c>
      <c r="R301" s="17">
        <f>$R$39</f>
        <v>3.1536000000000002E-2</v>
      </c>
      <c r="S301" s="43">
        <f>'93 1st generation ethanol'!$E$19</f>
        <v>2</v>
      </c>
      <c r="T301" s="43"/>
      <c r="U301" s="44"/>
      <c r="V301" s="45"/>
      <c r="W301" s="54"/>
      <c r="X301" s="54"/>
      <c r="Y301" s="54"/>
    </row>
    <row r="302" spans="3:25">
      <c r="C302" s="54"/>
      <c r="D302" s="17"/>
      <c r="E302" s="17" t="str">
        <f>E298</f>
        <v>SUPELC</v>
      </c>
      <c r="F302" s="17"/>
      <c r="G302" s="17"/>
      <c r="H302" s="17"/>
      <c r="I302" s="17"/>
      <c r="J302" s="17"/>
      <c r="K302" s="17">
        <f>'93 1st generation ethanol'!$E$10/'93 1st generation ethanol'!$E$13</f>
        <v>4.3478260869565216E-2</v>
      </c>
      <c r="L302" s="17"/>
      <c r="M302" s="17"/>
      <c r="N302" s="17"/>
      <c r="O302" s="17"/>
      <c r="P302" s="40"/>
      <c r="Q302" s="17"/>
      <c r="R302" s="17"/>
      <c r="S302" s="17"/>
      <c r="T302" s="17"/>
      <c r="U302" s="17"/>
      <c r="V302" s="43"/>
      <c r="W302" s="54"/>
      <c r="X302" s="54"/>
      <c r="Y302" s="54"/>
    </row>
    <row r="303" spans="3:25">
      <c r="C303" s="5"/>
      <c r="D303" s="43"/>
      <c r="E303" s="17" t="str">
        <f>E299</f>
        <v>SUPNGA,SUPSNG,SUPH2</v>
      </c>
      <c r="F303" s="43"/>
      <c r="G303" s="43"/>
      <c r="H303" s="43"/>
      <c r="I303" s="43"/>
      <c r="J303" s="43"/>
      <c r="K303" s="17">
        <f>'93 1st generation ethanol'!$E$11/'93 1st generation ethanol'!$E$13</f>
        <v>0.32608695652173908</v>
      </c>
      <c r="L303" s="43"/>
      <c r="M303" s="43"/>
      <c r="N303" s="43"/>
      <c r="O303" s="43"/>
      <c r="P303" s="40"/>
      <c r="Q303" s="43"/>
      <c r="R303" s="43"/>
      <c r="S303" s="43"/>
      <c r="T303" s="43"/>
      <c r="U303" s="43"/>
      <c r="V303" s="43"/>
      <c r="W303" s="5"/>
      <c r="X303" s="5"/>
      <c r="Y303" s="5"/>
    </row>
    <row r="304" spans="3:25">
      <c r="C304" s="5"/>
      <c r="D304" s="43"/>
      <c r="E304" s="43"/>
      <c r="F304" s="43"/>
      <c r="G304" s="43" t="s">
        <v>1418</v>
      </c>
      <c r="H304" s="43"/>
      <c r="I304" s="43"/>
      <c r="J304" s="43"/>
      <c r="K304" s="43"/>
      <c r="L304" s="43">
        <f>'93 1st generation ethanol'!$E$14</f>
        <v>0.27</v>
      </c>
      <c r="M304" s="43"/>
      <c r="N304" s="43"/>
      <c r="O304" s="43"/>
      <c r="P304" s="40"/>
      <c r="Q304" s="43"/>
      <c r="R304" s="43"/>
      <c r="S304" s="43"/>
      <c r="T304" s="43"/>
      <c r="U304" s="43"/>
      <c r="V304" s="43"/>
      <c r="W304" s="5"/>
      <c r="X304" s="5"/>
      <c r="Y304" s="5"/>
    </row>
    <row r="305" spans="3:25" ht="15.6">
      <c r="C305" s="5"/>
      <c r="D305" s="32"/>
      <c r="E305" s="17" t="str">
        <f>E301</f>
        <v>SUPWCH,SUPCRN</v>
      </c>
      <c r="F305" s="17" t="str">
        <f>F301</f>
        <v>CRB</v>
      </c>
      <c r="G305" s="17"/>
      <c r="H305" s="17" t="s">
        <v>70</v>
      </c>
      <c r="I305" s="17">
        <f>'93 1st generation ethanol'!$F$3</f>
        <v>2030</v>
      </c>
      <c r="J305" s="17"/>
      <c r="K305" s="17">
        <f>'93 1st generation ethanol'!$F$9/'93 1st generation ethanol'!$F$13</f>
        <v>1.7872340425531916</v>
      </c>
      <c r="L305" s="1252"/>
      <c r="M305" s="17">
        <f>'93 1st generation ethanol'!$F$18</f>
        <v>25</v>
      </c>
      <c r="N305" s="34">
        <f>'93 1st generation ethanol'!$F$21*7.45</f>
        <v>5.1732368896925855</v>
      </c>
      <c r="O305" s="35">
        <f>'93 1st generation ethanol'!$F$24*7.45</f>
        <v>0.45265822784810128</v>
      </c>
      <c r="P305" s="40">
        <f>'93 1st generation ethanol'!$F$25*7.45/3.6</f>
        <v>17.177877729206291</v>
      </c>
      <c r="Q305" s="33">
        <f>1-'93 1st generation ethanol'!$F$17/52</f>
        <v>0.96153846153846156</v>
      </c>
      <c r="R305" s="17">
        <f>$R$39</f>
        <v>3.1536000000000002E-2</v>
      </c>
      <c r="S305" s="43">
        <f>'93 1st generation ethanol'!$F$19</f>
        <v>2</v>
      </c>
      <c r="T305" s="43"/>
      <c r="U305" s="44"/>
      <c r="V305" s="45"/>
      <c r="W305" s="54"/>
      <c r="X305" s="54"/>
      <c r="Y305" s="54"/>
    </row>
    <row r="306" spans="3:25">
      <c r="C306" s="5"/>
      <c r="D306" s="17"/>
      <c r="E306" s="17" t="str">
        <f>E302</f>
        <v>SUPELC</v>
      </c>
      <c r="F306" s="17"/>
      <c r="G306" s="17"/>
      <c r="H306" s="17"/>
      <c r="I306" s="17"/>
      <c r="J306" s="17"/>
      <c r="K306" s="17">
        <f>'93 1st generation ethanol'!$F$10/'93 1st generation ethanol'!$F$13</f>
        <v>4.2553191489361708E-2</v>
      </c>
      <c r="L306" s="17"/>
      <c r="M306" s="17"/>
      <c r="N306" s="17"/>
      <c r="O306" s="17"/>
      <c r="P306" s="40"/>
      <c r="Q306" s="17"/>
      <c r="R306" s="17"/>
      <c r="S306" s="17"/>
      <c r="T306" s="17"/>
      <c r="U306" s="17"/>
      <c r="V306" s="43"/>
      <c r="W306" s="54"/>
      <c r="X306" s="54"/>
      <c r="Y306" s="54"/>
    </row>
    <row r="307" spans="3:25">
      <c r="C307" s="5"/>
      <c r="D307" s="43"/>
      <c r="E307" s="17" t="str">
        <f>E303</f>
        <v>SUPNGA,SUPSNG,SUPH2</v>
      </c>
      <c r="F307" s="43"/>
      <c r="G307" s="43"/>
      <c r="H307" s="43"/>
      <c r="I307" s="43"/>
      <c r="J307" s="43"/>
      <c r="K307" s="17">
        <f>'93 1st generation ethanol'!$F$11/'93 1st generation ethanol'!$F$13</f>
        <v>0.29787234042553196</v>
      </c>
      <c r="L307" s="43"/>
      <c r="M307" s="43"/>
      <c r="N307" s="43"/>
      <c r="O307" s="43"/>
      <c r="P307" s="40"/>
      <c r="Q307" s="43"/>
      <c r="R307" s="43"/>
      <c r="S307" s="43"/>
      <c r="T307" s="43"/>
      <c r="U307" s="43"/>
      <c r="V307" s="43"/>
      <c r="W307" s="5"/>
      <c r="X307" s="5"/>
      <c r="Y307" s="5"/>
    </row>
    <row r="308" spans="3:25">
      <c r="C308" s="5"/>
      <c r="D308" s="43"/>
      <c r="E308" s="43"/>
      <c r="F308" s="43"/>
      <c r="G308" s="43" t="s">
        <v>1418</v>
      </c>
      <c r="H308" s="43"/>
      <c r="I308" s="43"/>
      <c r="J308" s="43"/>
      <c r="K308" s="43"/>
      <c r="L308" s="43">
        <f>'93 1st generation ethanol'!$F$14</f>
        <v>0.28000000000000003</v>
      </c>
      <c r="M308" s="43"/>
      <c r="N308" s="43"/>
      <c r="O308" s="43"/>
      <c r="P308" s="40"/>
      <c r="Q308" s="43"/>
      <c r="R308" s="43"/>
      <c r="S308" s="43"/>
      <c r="T308" s="43"/>
      <c r="U308" s="43"/>
      <c r="V308" s="43"/>
      <c r="W308" s="5"/>
      <c r="X308" s="5"/>
      <c r="Y308" s="5"/>
    </row>
    <row r="309" spans="3:25" ht="15.6">
      <c r="C309" s="5"/>
      <c r="D309" s="32"/>
      <c r="E309" s="17" t="str">
        <f>E305</f>
        <v>SUPWCH,SUPCRN</v>
      </c>
      <c r="F309" s="17" t="str">
        <f>F305</f>
        <v>CRB</v>
      </c>
      <c r="G309" s="17"/>
      <c r="H309" s="17" t="s">
        <v>70</v>
      </c>
      <c r="I309" s="17">
        <f>'93 1st generation ethanol'!$G$3</f>
        <v>2040</v>
      </c>
      <c r="J309" s="17"/>
      <c r="K309" s="17">
        <f>'93 1st generation ethanol'!$G$9/'93 1st generation ethanol'!$G$13</f>
        <v>1.8085106382978724</v>
      </c>
      <c r="L309" s="1252"/>
      <c r="M309" s="17">
        <f>'93 1st generation ethanol'!$G$18</f>
        <v>25</v>
      </c>
      <c r="N309" s="34">
        <f>'93 1st generation ethanol'!$G$21*7.45</f>
        <v>4.9449375</v>
      </c>
      <c r="O309" s="35">
        <f>'93 1st generation ethanol'!$G$24*7.45</f>
        <v>0.45265822784810128</v>
      </c>
      <c r="P309" s="40">
        <f>'93 1st generation ethanol'!$G$25*7.45/3.6</f>
        <v>17.177877729206294</v>
      </c>
      <c r="Q309" s="33">
        <f>1-'93 1st generation ethanol'!$G$17/52</f>
        <v>0.96153846153846156</v>
      </c>
      <c r="R309" s="17">
        <f>$R$39</f>
        <v>3.1536000000000002E-2</v>
      </c>
      <c r="S309" s="43">
        <f>'93 1st generation ethanol'!$G$19</f>
        <v>2</v>
      </c>
      <c r="T309" s="43"/>
      <c r="U309" s="44"/>
      <c r="V309" s="45"/>
      <c r="W309" s="54"/>
      <c r="X309" s="54"/>
      <c r="Y309" s="54"/>
    </row>
    <row r="310" spans="3:25">
      <c r="C310" s="5"/>
      <c r="D310" s="17"/>
      <c r="E310" s="17" t="str">
        <f>E306</f>
        <v>SUPELC</v>
      </c>
      <c r="F310" s="17"/>
      <c r="G310" s="17"/>
      <c r="H310" s="17"/>
      <c r="I310" s="17"/>
      <c r="J310" s="17"/>
      <c r="K310" s="17">
        <f>'93 1st generation ethanol'!$G$10/'93 1st generation ethanol'!$G$13</f>
        <v>4.2553191489361708E-2</v>
      </c>
      <c r="L310" s="17"/>
      <c r="M310" s="17"/>
      <c r="N310" s="17"/>
      <c r="O310" s="17"/>
      <c r="P310" s="40"/>
      <c r="Q310" s="17"/>
      <c r="R310" s="17"/>
      <c r="S310" s="17"/>
      <c r="T310" s="17"/>
      <c r="U310" s="17"/>
      <c r="V310" s="43"/>
      <c r="W310" s="54"/>
      <c r="X310" s="54"/>
      <c r="Y310" s="54"/>
    </row>
    <row r="311" spans="3:25">
      <c r="C311" s="5"/>
      <c r="D311" s="43"/>
      <c r="E311" s="17" t="str">
        <f>E307</f>
        <v>SUPNGA,SUPSNG,SUPH2</v>
      </c>
      <c r="F311" s="43"/>
      <c r="G311" s="43"/>
      <c r="H311" s="43"/>
      <c r="I311" s="43"/>
      <c r="J311" s="43"/>
      <c r="K311" s="17">
        <f>'93 1st generation ethanol'!$G$11/'93 1st generation ethanol'!$G$13</f>
        <v>0.27659574468085107</v>
      </c>
      <c r="L311" s="43"/>
      <c r="M311" s="43"/>
      <c r="N311" s="43"/>
      <c r="O311" s="43"/>
      <c r="P311" s="40"/>
      <c r="Q311" s="43"/>
      <c r="R311" s="43"/>
      <c r="S311" s="43"/>
      <c r="T311" s="43"/>
      <c r="U311" s="43"/>
      <c r="V311" s="43"/>
      <c r="W311" s="5"/>
      <c r="X311" s="5"/>
      <c r="Y311" s="5"/>
    </row>
    <row r="312" spans="3:25">
      <c r="C312" s="5"/>
      <c r="D312" s="43"/>
      <c r="E312" s="43"/>
      <c r="F312" s="43"/>
      <c r="G312" s="43" t="s">
        <v>1418</v>
      </c>
      <c r="H312" s="43"/>
      <c r="I312" s="43"/>
      <c r="J312" s="43"/>
      <c r="K312" s="43"/>
      <c r="L312" s="43">
        <f>'93 1st generation ethanol'!$G$14</f>
        <v>0.25</v>
      </c>
      <c r="M312" s="43"/>
      <c r="N312" s="43"/>
      <c r="O312" s="43"/>
      <c r="P312" s="40"/>
      <c r="Q312" s="43"/>
      <c r="R312" s="43"/>
      <c r="S312" s="43"/>
      <c r="T312" s="43"/>
      <c r="U312" s="43"/>
      <c r="V312" s="43"/>
      <c r="W312" s="5"/>
      <c r="X312" s="5"/>
      <c r="Y312" s="5"/>
    </row>
    <row r="313" spans="3:25" ht="15.6">
      <c r="C313" s="5"/>
      <c r="D313" s="32"/>
      <c r="E313" s="17" t="str">
        <f>E309</f>
        <v>SUPWCH,SUPCRN</v>
      </c>
      <c r="F313" s="17" t="str">
        <f>F309</f>
        <v>CRB</v>
      </c>
      <c r="G313" s="17"/>
      <c r="H313" s="17" t="s">
        <v>70</v>
      </c>
      <c r="I313" s="17">
        <f>'93 1st generation ethanol'!$H$3</f>
        <v>2050</v>
      </c>
      <c r="J313" s="17"/>
      <c r="K313" s="17">
        <f>'93 1st generation ethanol'!$H$9/'93 1st generation ethanol'!$H$13</f>
        <v>1.8085106382978724</v>
      </c>
      <c r="L313" s="1252"/>
      <c r="M313" s="17">
        <f>'93 1st generation ethanol'!$H$18</f>
        <v>25</v>
      </c>
      <c r="N313" s="34">
        <f>'93 1st generation ethanol'!$H$21*7.45</f>
        <v>4.9295166858457993</v>
      </c>
      <c r="O313" s="35">
        <f>'93 1st generation ethanol'!$H$24*7.45</f>
        <v>0.45265822784810128</v>
      </c>
      <c r="P313" s="40">
        <f>'93 1st generation ethanol'!$H$25*7.45/3.6</f>
        <v>17.177877729206294</v>
      </c>
      <c r="Q313" s="33">
        <f>1-'93 1st generation ethanol'!$H$17/52</f>
        <v>0.96153846153846156</v>
      </c>
      <c r="R313" s="17">
        <f>$R$39</f>
        <v>3.1536000000000002E-2</v>
      </c>
      <c r="S313" s="43">
        <f>'93 1st generation ethanol'!$H$19</f>
        <v>2</v>
      </c>
      <c r="T313" s="43"/>
      <c r="U313" s="44"/>
      <c r="V313" s="45"/>
      <c r="W313" s="54"/>
      <c r="X313" s="54"/>
      <c r="Y313" s="54"/>
    </row>
    <row r="314" spans="3:25">
      <c r="C314" s="5"/>
      <c r="D314" s="17"/>
      <c r="E314" s="17" t="str">
        <f>E310</f>
        <v>SUPELC</v>
      </c>
      <c r="F314" s="17"/>
      <c r="G314" s="17"/>
      <c r="H314" s="17"/>
      <c r="I314" s="17"/>
      <c r="J314" s="17"/>
      <c r="K314" s="17">
        <f>'93 1st generation ethanol'!$H$10/'93 1st generation ethanol'!$H$13</f>
        <v>4.2553191489361708E-2</v>
      </c>
      <c r="L314" s="17"/>
      <c r="M314" s="17"/>
      <c r="N314" s="17"/>
      <c r="O314" s="17"/>
      <c r="P314" s="40"/>
      <c r="Q314" s="17"/>
      <c r="R314" s="17"/>
      <c r="S314" s="17"/>
      <c r="T314" s="17"/>
      <c r="U314" s="17"/>
      <c r="V314" s="43"/>
      <c r="W314" s="54"/>
      <c r="X314" s="54"/>
      <c r="Y314" s="54"/>
    </row>
    <row r="315" spans="3:25">
      <c r="C315" s="5"/>
      <c r="D315" s="43"/>
      <c r="E315" s="17" t="str">
        <f>E311</f>
        <v>SUPNGA,SUPSNG,SUPH2</v>
      </c>
      <c r="F315" s="43"/>
      <c r="G315" s="43"/>
      <c r="H315" s="43"/>
      <c r="I315" s="43"/>
      <c r="J315" s="43"/>
      <c r="K315" s="17">
        <f>'93 1st generation ethanol'!$H$11/'93 1st generation ethanol'!$H$13</f>
        <v>0.27659574468085107</v>
      </c>
      <c r="L315" s="43"/>
      <c r="M315" s="43"/>
      <c r="N315" s="43"/>
      <c r="O315" s="43"/>
      <c r="P315" s="40"/>
      <c r="Q315" s="43"/>
      <c r="R315" s="43"/>
      <c r="S315" s="43"/>
      <c r="T315" s="43"/>
      <c r="U315" s="43"/>
      <c r="V315" s="43"/>
      <c r="W315" s="5"/>
      <c r="X315" s="5"/>
      <c r="Y315" s="5"/>
    </row>
    <row r="316" spans="3:25" ht="15" thickBot="1">
      <c r="C316" s="58"/>
      <c r="D316" s="46"/>
      <c r="E316" s="46"/>
      <c r="F316" s="46"/>
      <c r="G316" s="43" t="s">
        <v>1418</v>
      </c>
      <c r="H316" s="46"/>
      <c r="I316" s="46"/>
      <c r="J316" s="46"/>
      <c r="K316" s="46"/>
      <c r="L316" s="46">
        <f>'93 1st generation ethanol'!$H$14</f>
        <v>0.25</v>
      </c>
      <c r="M316" s="46"/>
      <c r="N316" s="46"/>
      <c r="O316" s="46"/>
      <c r="P316" s="49"/>
      <c r="Q316" s="46"/>
      <c r="R316" s="46"/>
      <c r="S316" s="46"/>
      <c r="T316" s="46"/>
      <c r="U316" s="46"/>
      <c r="V316" s="46"/>
      <c r="W316" s="58"/>
      <c r="X316" s="58"/>
      <c r="Y316" s="58"/>
    </row>
    <row r="317" spans="3:25" s="43" customFormat="1" ht="15.6">
      <c r="C317" s="17" t="str">
        <f>"SUP"&amp;F317&amp;RIGHT(E317,3)&amp;IF(RIGHT(D317,7)="Central","C1","D1")</f>
        <v>SUPGSB1STRC1</v>
      </c>
      <c r="D317" s="32" t="str">
        <f>'95 Cellulosic ethanol'!$D$2&amp;" Central"</f>
        <v>Cellulosic Ethanol Central</v>
      </c>
      <c r="E317" s="17" t="s">
        <v>83</v>
      </c>
      <c r="F317" s="17" t="s">
        <v>81</v>
      </c>
      <c r="G317" s="17"/>
      <c r="H317" s="17" t="s">
        <v>70</v>
      </c>
      <c r="I317" s="17">
        <f>'93 1st generation ethanol'!$D$3</f>
        <v>2015</v>
      </c>
      <c r="J317" s="19">
        <v>2030</v>
      </c>
      <c r="K317" s="33">
        <f>1/INDEX('95 Cellulosic ethanol'!$D$4:$H$59,MATCH(SUP_Biofuels!X317,'95 Cellulosic ethanol'!$B$4:$B$59,0),MATCH(SUP_Biofuels!$I317,'95 Cellulosic ethanol'!$D$3:$H$3,0))</f>
        <v>3.4482758620689657</v>
      </c>
      <c r="L317" s="33"/>
      <c r="M317" s="34">
        <f>INDEX('95 Cellulosic ethanol'!$D$4:$H$59,MATCH(SUP_Biofuels!M$8,'95 Cellulosic ethanol'!$B$4:$B$59,0),MATCH(SUP_Biofuels!$I317,'95 Cellulosic ethanol'!$D$3:$H$3,0))</f>
        <v>25</v>
      </c>
      <c r="N317" s="35">
        <f>INDEX('95 Cellulosic ethanol'!$D$4:$H$59,MATCH(SUP_Biofuels!N$8,'95 Cellulosic ethanol'!$B$4:$B$59,0),MATCH(SUP_Biofuels!$I317,'95 Cellulosic ethanol'!$D$3:$H$3,0))*7.45</f>
        <v>42.404818165812109</v>
      </c>
      <c r="O317" s="35">
        <f>INDEX('95 Cellulosic ethanol'!$D$4:$H$59,MATCH(SUP_Biofuels!O$8,'95 Cellulosic ethanol'!$B$4:$B$59,0),MATCH(SUP_Biofuels!$I317,'95 Cellulosic ethanol'!$D$3:$H$3,0))*7.45</f>
        <v>0.84809636331624216</v>
      </c>
      <c r="P317" s="35">
        <f>INDEX('95 Cellulosic ethanol'!$D$4:$H$59,MATCH(SUP_Biofuels!P$8,'95 Cellulosic ethanol'!$B$4:$B$59,0),MATCH(SUP_Biofuels!$I317,'95 Cellulosic ethanol'!$D$3:$H$3,0))*7.45/3.6</f>
        <v>56.091029319857284</v>
      </c>
      <c r="Q317" s="33">
        <f>1-INDEX('95 Cellulosic ethanol'!$D$4:$H$59,MATCH(SUP_Biofuels!Q$7,'95 Cellulosic ethanol'!$B$4:$B$59,0),MATCH(SUP_Biofuels!$I317,'95 Cellulosic ethanol'!$D$3:$H$3,0))/52-INDEX('95 Cellulosic ethanol'!$D$4:$H$59,MATCH(SUP_Biofuels!Q$8,'95 Cellulosic ethanol'!$B$4:$B$59,0),MATCH(SUP_Biofuels!$I317,'95 Cellulosic ethanol'!$D$3:$H$3,0))/100</f>
        <v>0.92153846153846153</v>
      </c>
      <c r="R317" s="36">
        <f>$R$39</f>
        <v>3.1536000000000002E-2</v>
      </c>
      <c r="S317" s="34">
        <f>INDEX('95 Cellulosic ethanol'!$D$4:$H$59,MATCH(SUP_Biofuels!S$8,'95 Cellulosic ethanol'!$B$4:$B$59,0),MATCH(SUP_Biofuels!$I317,'95 Cellulosic ethanol'!$D$3:$H$3,0))</f>
        <v>2</v>
      </c>
      <c r="T317" s="34"/>
      <c r="U317" s="37"/>
      <c r="V317" s="38" t="s">
        <v>74</v>
      </c>
      <c r="W317" s="17" t="str">
        <f>'95 Cellulosic ethanol'!C9</f>
        <v>Feedstock Consumption, MWh/MWh Total Input</v>
      </c>
      <c r="X317" s="17" t="str">
        <f>'95 Cellulosic ethanol'!C11</f>
        <v>Ethanol Output, MWh/MWh Total Input</v>
      </c>
      <c r="Y317" s="17"/>
    </row>
    <row r="318" spans="3:25" s="43" customFormat="1">
      <c r="G318" s="43" t="s">
        <v>84</v>
      </c>
      <c r="K318" s="41"/>
      <c r="L318" s="33">
        <f>INDEX('95 Cellulosic ethanol'!$D$4:$H$59,MATCH(SUP_Biofuels!Y318,'95 Cellulosic ethanol'!$B$4:$B$59,0),MATCH(SUP_Biofuels!$I317,'95 Cellulosic ethanol'!$D$3:$H$3,0))*K317</f>
        <v>0.13793103448275865</v>
      </c>
      <c r="M318" s="39"/>
      <c r="N318" s="40"/>
      <c r="O318" s="40"/>
      <c r="P318" s="40"/>
      <c r="Q318" s="41"/>
      <c r="R318" s="42"/>
      <c r="S318" s="39"/>
      <c r="T318" s="39"/>
      <c r="Y318" s="43" t="str">
        <f>'95 Cellulosic ethanol'!C12</f>
        <v>Electiricity Output, MWh/MWh Total Input</v>
      </c>
    </row>
    <row r="319" spans="3:25" s="43" customFormat="1" ht="15.6">
      <c r="C319" s="17"/>
      <c r="D319" s="32"/>
      <c r="E319" s="17" t="s">
        <v>83</v>
      </c>
      <c r="F319" s="17" t="s">
        <v>81</v>
      </c>
      <c r="G319" s="17"/>
      <c r="H319" s="17" t="s">
        <v>70</v>
      </c>
      <c r="I319" s="17">
        <f>'93 1st generation ethanol'!$E$3</f>
        <v>2020</v>
      </c>
      <c r="J319" s="17"/>
      <c r="K319" s="33">
        <f>1/INDEX('95 Cellulosic ethanol'!$D$4:$H$59,MATCH(SUP_Biofuels!X319,'95 Cellulosic ethanol'!$B$4:$B$59,0),MATCH(SUP_Biofuels!$I319,'95 Cellulosic ethanol'!$D$3:$H$3,0))</f>
        <v>3.4482758620689657</v>
      </c>
      <c r="L319" s="33"/>
      <c r="M319" s="34">
        <f>INDEX('95 Cellulosic ethanol'!$D$4:$H$59,MATCH(SUP_Biofuels!M$8,'95 Cellulosic ethanol'!$B$4:$B$59,0),MATCH(SUP_Biofuels!$I319,'95 Cellulosic ethanol'!$D$3:$H$3,0))</f>
        <v>25</v>
      </c>
      <c r="N319" s="35">
        <f>INDEX('95 Cellulosic ethanol'!$D$4:$H$59,MATCH(SUP_Biofuels!N$8,'95 Cellulosic ethanol'!$B$4:$B$59,0),MATCH(SUP_Biofuels!$I319,'95 Cellulosic ethanol'!$D$3:$H$3,0))*7.45</f>
        <v>42.404818165812109</v>
      </c>
      <c r="O319" s="35">
        <f>INDEX('95 Cellulosic ethanol'!$D$4:$H$59,MATCH(SUP_Biofuels!O$8,'95 Cellulosic ethanol'!$B$4:$B$59,0),MATCH(SUP_Biofuels!$I319,'95 Cellulosic ethanol'!$D$3:$H$3,0))*7.45</f>
        <v>0.84809636331624216</v>
      </c>
      <c r="P319" s="35">
        <f>INDEX('95 Cellulosic ethanol'!$D$4:$H$59,MATCH(SUP_Biofuels!P$8,'95 Cellulosic ethanol'!$B$4:$B$59,0),MATCH(SUP_Biofuels!$I319,'95 Cellulosic ethanol'!$D$3:$H$3,0))*7.45/3.6</f>
        <v>56.091029319857284</v>
      </c>
      <c r="Q319" s="33">
        <f>1-INDEX('95 Cellulosic ethanol'!$D$4:$H$59,MATCH(SUP_Biofuels!Q$7,'95 Cellulosic ethanol'!$B$4:$B$59,0),MATCH(SUP_Biofuels!$I319,'95 Cellulosic ethanol'!$D$3:$H$3,0))/52-INDEX('95 Cellulosic ethanol'!$D$4:$H$59,MATCH(SUP_Biofuels!Q$8,'95 Cellulosic ethanol'!$B$4:$B$59,0),MATCH(SUP_Biofuels!$I319,'95 Cellulosic ethanol'!$D$3:$H$3,0))/100</f>
        <v>0.92153846153846153</v>
      </c>
      <c r="R319" s="36">
        <f>$R$39</f>
        <v>3.1536000000000002E-2</v>
      </c>
      <c r="S319" s="34">
        <f>INDEX('95 Cellulosic ethanol'!$D$4:$H$59,MATCH(SUP_Biofuels!S$8,'95 Cellulosic ethanol'!$B$4:$B$59,0),MATCH(SUP_Biofuels!$I319,'95 Cellulosic ethanol'!$D$3:$H$3,0))</f>
        <v>2</v>
      </c>
      <c r="T319" s="34"/>
      <c r="U319" s="44"/>
      <c r="V319" s="45"/>
      <c r="W319" s="17" t="str">
        <f>W317</f>
        <v>Feedstock Consumption, MWh/MWh Total Input</v>
      </c>
      <c r="X319" s="17" t="str">
        <f>X317</f>
        <v>Ethanol Output, MWh/MWh Total Input</v>
      </c>
      <c r="Y319" s="17"/>
    </row>
    <row r="320" spans="3:25" s="43" customFormat="1">
      <c r="C320" s="17"/>
      <c r="D320" s="17"/>
      <c r="G320" s="43" t="s">
        <v>84</v>
      </c>
      <c r="H320" s="17"/>
      <c r="I320" s="17"/>
      <c r="J320" s="17"/>
      <c r="K320" s="41"/>
      <c r="L320" s="33">
        <f>INDEX('95 Cellulosic ethanol'!$D$4:$H$59,MATCH(SUP_Biofuels!Y320,'95 Cellulosic ethanol'!$B$4:$B$59,0),MATCH(SUP_Biofuels!$I319,'95 Cellulosic ethanol'!$D$3:$H$3,0))*K319</f>
        <v>0.13793103448275865</v>
      </c>
      <c r="M320" s="39"/>
      <c r="N320" s="40"/>
      <c r="O320" s="40"/>
      <c r="P320" s="40"/>
      <c r="Q320" s="41"/>
      <c r="R320" s="42"/>
      <c r="S320" s="39"/>
      <c r="T320" s="39"/>
      <c r="U320" s="17"/>
      <c r="Y320" s="17" t="str">
        <f>Y318</f>
        <v>Electiricity Output, MWh/MWh Total Input</v>
      </c>
    </row>
    <row r="321" spans="3:25" s="43" customFormat="1" ht="15.6">
      <c r="D321" s="32"/>
      <c r="E321" s="17" t="s">
        <v>83</v>
      </c>
      <c r="F321" s="17" t="s">
        <v>81</v>
      </c>
      <c r="G321" s="17"/>
      <c r="H321" s="17" t="s">
        <v>70</v>
      </c>
      <c r="I321" s="17">
        <f>'93 1st generation ethanol'!$F$3</f>
        <v>2030</v>
      </c>
      <c r="J321" s="17"/>
      <c r="K321" s="33">
        <f>1/INDEX('95 Cellulosic ethanol'!$D$4:$H$59,MATCH(SUP_Biofuels!X321,'95 Cellulosic ethanol'!$B$4:$B$59,0),MATCH(SUP_Biofuels!$I321,'95 Cellulosic ethanol'!$D$3:$H$3,0))</f>
        <v>2.7027027027027026</v>
      </c>
      <c r="L321" s="33"/>
      <c r="M321" s="34">
        <f>INDEX('95 Cellulosic ethanol'!$D$4:$H$59,MATCH(SUP_Biofuels!M$8,'95 Cellulosic ethanol'!$B$4:$B$59,0),MATCH(SUP_Biofuels!$I321,'95 Cellulosic ethanol'!$D$3:$H$3,0))</f>
        <v>25</v>
      </c>
      <c r="N321" s="35">
        <f>INDEX('95 Cellulosic ethanol'!$D$4:$H$59,MATCH(SUP_Biofuels!N$8,'95 Cellulosic ethanol'!$B$4:$B$59,0),MATCH(SUP_Biofuels!$I321,'95 Cellulosic ethanol'!$D$3:$H$3,0))*7.45</f>
        <v>19.082168174615454</v>
      </c>
      <c r="O321" s="35">
        <f>INDEX('95 Cellulosic ethanol'!$D$4:$H$59,MATCH(SUP_Biofuels!O$8,'95 Cellulosic ethanol'!$B$4:$B$59,0),MATCH(SUP_Biofuels!$I321,'95 Cellulosic ethanol'!$D$3:$H$3,0))*7.45</f>
        <v>0.42404818165812114</v>
      </c>
      <c r="P321" s="35">
        <f>INDEX('95 Cellulosic ethanol'!$D$4:$H$59,MATCH(SUP_Biofuels!P$8,'95 Cellulosic ethanol'!$B$4:$B$59,0),MATCH(SUP_Biofuels!$I321,'95 Cellulosic ethanol'!$D$3:$H$3,0))*7.45/3.6</f>
        <v>28.045514659928642</v>
      </c>
      <c r="Q321" s="33">
        <f>1-INDEX('95 Cellulosic ethanol'!$D$4:$H$59,MATCH(SUP_Biofuels!Q$7,'95 Cellulosic ethanol'!$B$4:$B$59,0),MATCH(SUP_Biofuels!$I321,'95 Cellulosic ethanol'!$D$3:$H$3,0))/52-INDEX('95 Cellulosic ethanol'!$D$4:$H$59,MATCH(SUP_Biofuels!Q$8,'95 Cellulosic ethanol'!$B$4:$B$59,0),MATCH(SUP_Biofuels!$I321,'95 Cellulosic ethanol'!$D$3:$H$3,0))/100</f>
        <v>0.94153846153846155</v>
      </c>
      <c r="R321" s="36">
        <f>$R$39</f>
        <v>3.1536000000000002E-2</v>
      </c>
      <c r="S321" s="34">
        <f>INDEX('95 Cellulosic ethanol'!$D$4:$H$59,MATCH(SUP_Biofuels!S$8,'95 Cellulosic ethanol'!$B$4:$B$59,0),MATCH(SUP_Biofuels!$I321,'95 Cellulosic ethanol'!$D$3:$H$3,0))</f>
        <v>2</v>
      </c>
      <c r="T321" s="34"/>
      <c r="U321" s="44"/>
      <c r="V321" s="45"/>
      <c r="W321" s="17" t="str">
        <f>W319</f>
        <v>Feedstock Consumption, MWh/MWh Total Input</v>
      </c>
      <c r="X321" s="17" t="str">
        <f>X319</f>
        <v>Ethanol Output, MWh/MWh Total Input</v>
      </c>
      <c r="Y321" s="17"/>
    </row>
    <row r="322" spans="3:25" s="43" customFormat="1">
      <c r="G322" s="43" t="s">
        <v>84</v>
      </c>
      <c r="H322" s="17"/>
      <c r="K322" s="41"/>
      <c r="L322" s="33">
        <f>INDEX('95 Cellulosic ethanol'!$D$4:$H$59,MATCH(SUP_Biofuels!Y322,'95 Cellulosic ethanol'!$B$4:$B$59,0),MATCH(SUP_Biofuels!$I321,'95 Cellulosic ethanol'!$D$3:$H$3,0))*K321</f>
        <v>0.13513513513513514</v>
      </c>
      <c r="M322" s="39"/>
      <c r="N322" s="40"/>
      <c r="O322" s="40"/>
      <c r="P322" s="40"/>
      <c r="Q322" s="41"/>
      <c r="R322" s="42"/>
      <c r="S322" s="39"/>
      <c r="T322" s="39"/>
      <c r="Y322" s="17" t="str">
        <f>Y320</f>
        <v>Electiricity Output, MWh/MWh Total Input</v>
      </c>
    </row>
    <row r="323" spans="3:25" s="43" customFormat="1" ht="15.6">
      <c r="D323" s="32"/>
      <c r="E323" s="17" t="s">
        <v>83</v>
      </c>
      <c r="F323" s="17" t="s">
        <v>81</v>
      </c>
      <c r="G323" s="17"/>
      <c r="H323" s="17" t="s">
        <v>70</v>
      </c>
      <c r="I323" s="17">
        <f>'93 1st generation ethanol'!$G$3</f>
        <v>2040</v>
      </c>
      <c r="J323" s="17"/>
      <c r="K323" s="33">
        <f>1/INDEX('95 Cellulosic ethanol'!$D$4:$H$59,MATCH(SUP_Biofuels!X323,'95 Cellulosic ethanol'!$B$4:$B$59,0),MATCH(SUP_Biofuels!$I323,'95 Cellulosic ethanol'!$D$3:$H$3,0))</f>
        <v>2.5641025641025639</v>
      </c>
      <c r="L323" s="33"/>
      <c r="M323" s="34">
        <f>INDEX('95 Cellulosic ethanol'!$D$4:$H$59,MATCH(SUP_Biofuels!M$8,'95 Cellulosic ethanol'!$B$4:$B$59,0),MATCH(SUP_Biofuels!$I323,'95 Cellulosic ethanol'!$D$3:$H$3,0))</f>
        <v>25</v>
      </c>
      <c r="N323" s="35">
        <f>INDEX('95 Cellulosic ethanol'!$D$4:$H$59,MATCH(SUP_Biofuels!N$8,'95 Cellulosic ethanol'!$B$4:$B$59,0),MATCH(SUP_Biofuels!$I323,'95 Cellulosic ethanol'!$D$3:$H$3,0))*7.45</f>
        <v>16.749903175495785</v>
      </c>
      <c r="O323" s="35">
        <f>INDEX('95 Cellulosic ethanol'!$D$4:$H$59,MATCH(SUP_Biofuels!O$8,'95 Cellulosic ethanol'!$B$4:$B$59,0),MATCH(SUP_Biofuels!$I323,'95 Cellulosic ethanol'!$D$3:$H$3,0))*7.45</f>
        <v>0.42712253097514241</v>
      </c>
      <c r="P323" s="35">
        <f>INDEX('95 Cellulosic ethanol'!$D$4:$H$59,MATCH(SUP_Biofuels!P$8,'95 Cellulosic ethanol'!$B$4:$B$59,0),MATCH(SUP_Biofuels!$I323,'95 Cellulosic ethanol'!$D$3:$H$3,0))*7.45/3.6</f>
        <v>27.694945726679535</v>
      </c>
      <c r="Q323" s="33">
        <f>1-INDEX('95 Cellulosic ethanol'!$D$4:$H$59,MATCH(SUP_Biofuels!Q$7,'95 Cellulosic ethanol'!$B$4:$B$59,0),MATCH(SUP_Biofuels!$I323,'95 Cellulosic ethanol'!$D$3:$H$3,0))/52-INDEX('95 Cellulosic ethanol'!$D$4:$H$59,MATCH(SUP_Biofuels!Q$8,'95 Cellulosic ethanol'!$B$4:$B$59,0),MATCH(SUP_Biofuels!$I323,'95 Cellulosic ethanol'!$D$3:$H$3,0))/100</f>
        <v>0.96153846153846156</v>
      </c>
      <c r="R323" s="36">
        <f>$R$39</f>
        <v>3.1536000000000002E-2</v>
      </c>
      <c r="S323" s="34">
        <f>INDEX('95 Cellulosic ethanol'!$D$4:$H$59,MATCH(SUP_Biofuels!S$8,'95 Cellulosic ethanol'!$B$4:$B$59,0),MATCH(SUP_Biofuels!$I323,'95 Cellulosic ethanol'!$D$3:$H$3,0))</f>
        <v>2</v>
      </c>
      <c r="T323" s="34"/>
      <c r="U323" s="44"/>
      <c r="V323" s="45"/>
      <c r="W323" s="17" t="str">
        <f>W321</f>
        <v>Feedstock Consumption, MWh/MWh Total Input</v>
      </c>
      <c r="X323" s="17" t="str">
        <f>X321</f>
        <v>Ethanol Output, MWh/MWh Total Input</v>
      </c>
      <c r="Y323" s="17"/>
    </row>
    <row r="324" spans="3:25" s="43" customFormat="1">
      <c r="G324" s="43" t="s">
        <v>84</v>
      </c>
      <c r="H324" s="17"/>
      <c r="K324" s="41"/>
      <c r="L324" s="33">
        <f>INDEX('95 Cellulosic ethanol'!$D$4:$H$59,MATCH(SUP_Biofuels!Y324,'95 Cellulosic ethanol'!$B$4:$B$59,0),MATCH(SUP_Biofuels!$I323,'95 Cellulosic ethanol'!$D$3:$H$3,0))*K323</f>
        <v>0.12820512820512819</v>
      </c>
      <c r="M324" s="39"/>
      <c r="N324" s="40"/>
      <c r="O324" s="40"/>
      <c r="P324" s="40"/>
      <c r="Q324" s="41"/>
      <c r="R324" s="42"/>
      <c r="S324" s="39"/>
      <c r="T324" s="39"/>
      <c r="Y324" s="17" t="str">
        <f>Y322</f>
        <v>Electiricity Output, MWh/MWh Total Input</v>
      </c>
    </row>
    <row r="325" spans="3:25" s="43" customFormat="1" ht="15.6">
      <c r="D325" s="32"/>
      <c r="E325" s="17" t="s">
        <v>83</v>
      </c>
      <c r="F325" s="17" t="s">
        <v>81</v>
      </c>
      <c r="G325" s="17"/>
      <c r="H325" s="17" t="s">
        <v>70</v>
      </c>
      <c r="I325" s="17">
        <f>'93 1st generation ethanol'!$H$3</f>
        <v>2050</v>
      </c>
      <c r="J325" s="17"/>
      <c r="K325" s="33">
        <f>1/INDEX('95 Cellulosic ethanol'!$D$4:$H$59,MATCH(SUP_Biofuels!X325,'95 Cellulosic ethanol'!$B$4:$B$59,0),MATCH(SUP_Biofuels!$I325,'95 Cellulosic ethanol'!$D$3:$H$3,0))</f>
        <v>2.5</v>
      </c>
      <c r="L325" s="33"/>
      <c r="M325" s="34">
        <f>INDEX('95 Cellulosic ethanol'!$D$4:$H$59,MATCH(SUP_Biofuels!M$8,'95 Cellulosic ethanol'!$B$4:$B$59,0),MATCH(SUP_Biofuels!$I325,'95 Cellulosic ethanol'!$D$3:$H$3,0))</f>
        <v>25</v>
      </c>
      <c r="N325" s="35">
        <f>INDEX('95 Cellulosic ethanol'!$D$4:$H$59,MATCH(SUP_Biofuels!N$8,'95 Cellulosic ethanol'!$B$4:$B$59,0),MATCH(SUP_Biofuels!$I325,'95 Cellulosic ethanol'!$D$3:$H$3,0))*7.45</f>
        <v>15.901806812179542</v>
      </c>
      <c r="O325" s="35">
        <f>INDEX('95 Cellulosic ethanol'!$D$4:$H$59,MATCH(SUP_Biofuels!O$8,'95 Cellulosic ethanol'!$B$4:$B$59,0),MATCH(SUP_Biofuels!$I325,'95 Cellulosic ethanol'!$D$3:$H$3,0))*7.45</f>
        <v>0.42404818165812114</v>
      </c>
      <c r="P325" s="35">
        <f>INDEX('95 Cellulosic ethanol'!$D$4:$H$59,MATCH(SUP_Biofuels!P$8,'95 Cellulosic ethanol'!$B$4:$B$59,0),MATCH(SUP_Biofuels!$I325,'95 Cellulosic ethanol'!$D$3:$H$3,0))*7.45/3.6</f>
        <v>28.045514659928649</v>
      </c>
      <c r="Q325" s="33">
        <f>1-INDEX('95 Cellulosic ethanol'!$D$4:$H$59,MATCH(SUP_Biofuels!Q$7,'95 Cellulosic ethanol'!$B$4:$B$59,0),MATCH(SUP_Biofuels!$I325,'95 Cellulosic ethanol'!$D$3:$H$3,0))/52-INDEX('95 Cellulosic ethanol'!$D$4:$H$59,MATCH(SUP_Biofuels!Q$8,'95 Cellulosic ethanol'!$B$4:$B$59,0),MATCH(SUP_Biofuels!$I325,'95 Cellulosic ethanol'!$D$3:$H$3,0))/100</f>
        <v>0.96153846153846156</v>
      </c>
      <c r="R325" s="36">
        <f>$R$39</f>
        <v>3.1536000000000002E-2</v>
      </c>
      <c r="S325" s="39">
        <f>INDEX('95 Cellulosic ethanol'!$D$4:$H$59,MATCH(SUP_Biofuels!S$8,'95 Cellulosic ethanol'!$B$4:$B$59,0),MATCH(SUP_Biofuels!$I325,'95 Cellulosic ethanol'!$D$3:$H$3,0))</f>
        <v>2</v>
      </c>
      <c r="T325" s="39"/>
      <c r="U325" s="44"/>
      <c r="V325" s="45"/>
      <c r="W325" s="17" t="str">
        <f>W323</f>
        <v>Feedstock Consumption, MWh/MWh Total Input</v>
      </c>
      <c r="X325" s="17" t="str">
        <f>X323</f>
        <v>Ethanol Output, MWh/MWh Total Input</v>
      </c>
      <c r="Y325" s="17"/>
    </row>
    <row r="326" spans="3:25" s="43" customFormat="1" ht="15" thickBot="1">
      <c r="C326" s="46"/>
      <c r="D326" s="46"/>
      <c r="E326" s="46"/>
      <c r="F326" s="46"/>
      <c r="G326" s="46" t="s">
        <v>84</v>
      </c>
      <c r="H326" s="46"/>
      <c r="I326" s="46"/>
      <c r="J326" s="46"/>
      <c r="K326" s="59"/>
      <c r="L326" s="59">
        <f>INDEX('95 Cellulosic ethanol'!$D$4:$H$59,MATCH(SUP_Biofuels!Y326,'95 Cellulosic ethanol'!$B$4:$B$59,0),MATCH(SUP_Biofuels!$I325,'95 Cellulosic ethanol'!$D$3:$H$3,0))*K325</f>
        <v>0.15</v>
      </c>
      <c r="M326" s="46"/>
      <c r="N326" s="46"/>
      <c r="O326" s="46"/>
      <c r="P326" s="49"/>
      <c r="Q326" s="46"/>
      <c r="R326" s="46"/>
      <c r="S326" s="46"/>
      <c r="T326" s="46"/>
      <c r="U326" s="46"/>
      <c r="V326" s="46"/>
      <c r="W326" s="46"/>
      <c r="X326" s="46"/>
      <c r="Y326" s="46" t="str">
        <f>Y324</f>
        <v>Electiricity Output, MWh/MWh Total Input</v>
      </c>
    </row>
    <row r="327" spans="3:25" s="43" customFormat="1" ht="15.6">
      <c r="C327" s="17" t="str">
        <f>"SUP"&amp;F327&amp;RIGHT(E327,3)&amp;IF(RIGHT(D327,7)="Central","C1","D1")</f>
        <v>SUPCRBWCHC1</v>
      </c>
      <c r="D327" s="32" t="str">
        <f>'100 Hydrothermal liquifaction'!$D$2&amp;" Central"</f>
        <v>Bio Oil Central</v>
      </c>
      <c r="E327" s="17" t="s">
        <v>68</v>
      </c>
      <c r="F327" s="17" t="s">
        <v>1762</v>
      </c>
      <c r="G327" s="17"/>
      <c r="H327" s="17" t="s">
        <v>70</v>
      </c>
      <c r="I327" s="17">
        <f>'93 1st generation ethanol'!$E$3</f>
        <v>2020</v>
      </c>
      <c r="J327" s="19">
        <v>2030</v>
      </c>
      <c r="K327" s="33">
        <f>(INDEX('100 Hydrothermal liquifaction'!$D$4:$H$59,MATCH(SUP_Biofuels!W327,'100 Hydrothermal liquifaction'!$B$4:$B$59,0),MATCH(SUP_Biofuels!$I327,'100 Hydrothermal liquifaction'!$D$3:$H$3,0)))/INDEX('100 Hydrothermal liquifaction'!$D$4:$H$59,MATCH(SUP_Biofuels!X327,'100 Hydrothermal liquifaction'!$B$4:$B$59,0),MATCH(SUP_Biofuels!$I327,'100 Hydrothermal liquifaction'!$D$3:$H$3,0))</f>
        <v>1.1585365853658536</v>
      </c>
      <c r="L327" s="33"/>
      <c r="M327" s="34">
        <v>20</v>
      </c>
      <c r="N327" s="35">
        <f>INDEX('100 Hydrothermal liquifaction'!$D$4:$H$59,MATCH(SUP_Biofuels!N$8,'100 Hydrothermal liquifaction'!$B$4:$B$59,0),MATCH(SUP_Biofuels!$I327,'100 Hydrothermal liquifaction'!$D$3:$H$3,0))*7.45</f>
        <v>16.369700272479566</v>
      </c>
      <c r="O327" s="35">
        <f>INDEX('100 Hydrothermal liquifaction'!$D$4:$H$59,MATCH(SUP_Biofuels!O$8,'100 Hydrothermal liquifaction'!$B$4:$B$59,0),MATCH(SUP_Biofuels!$I327,'100 Hydrothermal liquifaction'!$D$3:$H$3,0))*7.45</f>
        <v>0.46770572207084465</v>
      </c>
      <c r="P327" s="35">
        <f>INDEX('100 Hydrothermal liquifaction'!$D$4:$H$59,MATCH(SUP_Biofuels!P$8,'100 Hydrothermal liquifaction'!$B$4:$B$59,0),MATCH(SUP_Biofuels!$I327,'100 Hydrothermal liquifaction'!$D$3:$H$3,0))*7.45/3.6</f>
        <v>28.999610743479955</v>
      </c>
      <c r="Q327" s="33">
        <f>1-INDEX('100 Hydrothermal liquifaction'!$D$4:$H$59,MATCH(SUP_Biofuels!Q$7,'100 Hydrothermal liquifaction'!$B$4:$B$59,0),MATCH(SUP_Biofuels!$I327,'100 Hydrothermal liquifaction'!$D$3:$H$3,0))/52-INDEX('100 Hydrothermal liquifaction'!$D$4:$H$59,MATCH(SUP_Biofuels!Q$8,'100 Hydrothermal liquifaction'!$B$4:$B$59,0),MATCH(SUP_Biofuels!$I327,'100 Hydrothermal liquifaction'!$D$3:$H$3,0))/100</f>
        <v>0.88307692307692309</v>
      </c>
      <c r="R327" s="36">
        <f>$R$39</f>
        <v>3.1536000000000002E-2</v>
      </c>
      <c r="S327" s="34">
        <f>INDEX('100 Hydrothermal liquifaction'!$D$4:$H$59,MATCH(SUP_Biofuels!S$8,'100 Hydrothermal liquifaction'!$B$4:$B$59,0),MATCH(SUP_Biofuels!$I327,'100 Hydrothermal liquifaction'!$D$3:$H$3,0))</f>
        <v>2</v>
      </c>
      <c r="T327" s="34"/>
      <c r="U327" s="44"/>
      <c r="V327" s="38" t="s">
        <v>74</v>
      </c>
      <c r="W327" s="17" t="str">
        <f>'100 Hydrothermal liquifaction'!$B$9</f>
        <v>Feedstock Consumption, MWh/MWh Total Input</v>
      </c>
      <c r="X327" s="43" t="str">
        <f>'100 Hydrothermal liquifaction'!$B$12</f>
        <v>Bio Oil Output, MWh/MWh Total Input</v>
      </c>
      <c r="Y327" s="17"/>
    </row>
    <row r="328" spans="3:25" s="43" customFormat="1">
      <c r="E328" s="17" t="s">
        <v>71</v>
      </c>
      <c r="F328" s="17"/>
      <c r="G328" s="17"/>
      <c r="H328" s="17"/>
      <c r="I328" s="17"/>
      <c r="J328" s="17"/>
      <c r="K328" s="33">
        <f>(INDEX('100 Hydrothermal liquifaction'!$D$4:$H$59,MATCH(SUP_Biofuels!W328,'100 Hydrothermal liquifaction'!$B$4:$B$59,0),MATCH(SUP_Biofuels!$I327,'100 Hydrothermal liquifaction'!$D$3:$H$3,0)))/INDEX('100 Hydrothermal liquifaction'!$D$4:$H$59,MATCH(SUP_Biofuels!X327,'100 Hydrothermal liquifaction'!$B$4:$B$59,0),MATCH(SUP_Biofuels!$I327,'100 Hydrothermal liquifaction'!$D$3:$H$3,0))</f>
        <v>6.0975609756097567E-2</v>
      </c>
      <c r="L328" s="33"/>
      <c r="M328" s="34"/>
      <c r="N328" s="35"/>
      <c r="O328" s="35"/>
      <c r="P328" s="35"/>
      <c r="Q328" s="33"/>
      <c r="R328" s="36"/>
      <c r="S328" s="34"/>
      <c r="T328" s="34"/>
      <c r="U328" s="44"/>
      <c r="V328" s="45"/>
      <c r="W328" s="17" t="str">
        <f>'100 Hydrothermal liquifaction'!$B$10</f>
        <v>Electricity Consumption, MWh/MWh Total Input</v>
      </c>
      <c r="Y328" s="17"/>
    </row>
    <row r="329" spans="3:25" s="43" customFormat="1" ht="15.6">
      <c r="C329" s="17"/>
      <c r="D329" s="32"/>
      <c r="E329" s="17" t="s">
        <v>68</v>
      </c>
      <c r="F329" s="17" t="str">
        <f>F327</f>
        <v>CRB</v>
      </c>
      <c r="G329" s="17"/>
      <c r="H329" s="17" t="s">
        <v>70</v>
      </c>
      <c r="I329" s="17">
        <v>2030</v>
      </c>
      <c r="J329" s="17"/>
      <c r="K329" s="33">
        <f>(INDEX('100 Hydrothermal liquifaction'!$D$4:$H$59,MATCH(SUP_Biofuels!W329,'100 Hydrothermal liquifaction'!$B$4:$B$59,0),MATCH(SUP_Biofuels!$I329,'100 Hydrothermal liquifaction'!$D$3:$H$3,0)))/INDEX('100 Hydrothermal liquifaction'!$D$4:$H$59,MATCH(SUP_Biofuels!X329,'100 Hydrothermal liquifaction'!$B$4:$B$59,0),MATCH(SUP_Biofuels!$I329,'100 Hydrothermal liquifaction'!$D$3:$H$3,0))</f>
        <v>1.1585365853658536</v>
      </c>
      <c r="L329" s="33"/>
      <c r="M329" s="34">
        <v>20</v>
      </c>
      <c r="N329" s="35">
        <f>INDEX('100 Hydrothermal liquifaction'!$D$4:$H$59,MATCH(SUP_Biofuels!N$8,'100 Hydrothermal liquifaction'!$B$4:$B$59,0),MATCH(SUP_Biofuels!$I329,'100 Hydrothermal liquifaction'!$D$3:$H$3,0))*7.45</f>
        <v>12.277275204359672</v>
      </c>
      <c r="O329" s="35">
        <f>INDEX('100 Hydrothermal liquifaction'!$D$4:$H$59,MATCH(SUP_Biofuels!O$8,'100 Hydrothermal liquifaction'!$B$4:$B$59,0),MATCH(SUP_Biofuels!$I329,'100 Hydrothermal liquifaction'!$D$3:$H$3,0))*7.45</f>
        <v>0.4677057220708446</v>
      </c>
      <c r="P329" s="35">
        <f>INDEX('100 Hydrothermal liquifaction'!$D$4:$H$59,MATCH(SUP_Biofuels!P$8,'100 Hydrothermal liquifaction'!$B$4:$B$59,0),MATCH(SUP_Biofuels!$I329,'100 Hydrothermal liquifaction'!$D$3:$H$3,0))*7.45/3.6</f>
        <v>28.999610743479952</v>
      </c>
      <c r="Q329" s="33">
        <f>1-INDEX('100 Hydrothermal liquifaction'!$D$4:$H$59,MATCH(SUP_Biofuels!Q$7,'100 Hydrothermal liquifaction'!$B$4:$B$59,0),MATCH(SUP_Biofuels!$I329,'100 Hydrothermal liquifaction'!$D$3:$H$3,0))/52-INDEX('100 Hydrothermal liquifaction'!$D$4:$H$59,MATCH(SUP_Biofuels!Q$8,'100 Hydrothermal liquifaction'!$B$4:$B$59,0),MATCH(SUP_Biofuels!$I329,'100 Hydrothermal liquifaction'!$D$3:$H$3,0))/100</f>
        <v>0.92307692307692313</v>
      </c>
      <c r="R329" s="36">
        <f>$R$39</f>
        <v>3.1536000000000002E-2</v>
      </c>
      <c r="S329" s="34">
        <f>INDEX('100 Hydrothermal liquifaction'!$D$4:$H$59,MATCH(SUP_Biofuels!S$8,'100 Hydrothermal liquifaction'!$B$4:$B$59,0),MATCH(SUP_Biofuels!$I329,'100 Hydrothermal liquifaction'!$D$3:$H$3,0))</f>
        <v>2</v>
      </c>
      <c r="T329" s="34"/>
      <c r="U329" s="44"/>
      <c r="V329" s="45"/>
      <c r="W329" s="17" t="str">
        <f>W327</f>
        <v>Feedstock Consumption, MWh/MWh Total Input</v>
      </c>
      <c r="X329" s="17" t="str">
        <f>X327</f>
        <v>Bio Oil Output, MWh/MWh Total Input</v>
      </c>
      <c r="Y329" s="17"/>
    </row>
    <row r="330" spans="3:25" s="43" customFormat="1">
      <c r="C330" s="17"/>
      <c r="D330" s="17"/>
      <c r="E330" s="17" t="s">
        <v>71</v>
      </c>
      <c r="F330" s="17"/>
      <c r="G330" s="17"/>
      <c r="H330" s="17"/>
      <c r="I330" s="17"/>
      <c r="J330" s="17"/>
      <c r="K330" s="33">
        <f>(INDEX('100 Hydrothermal liquifaction'!$D$4:$H$59,MATCH(SUP_Biofuels!W330,'100 Hydrothermal liquifaction'!$B$4:$B$59,0),MATCH(SUP_Biofuels!$I329,'100 Hydrothermal liquifaction'!$D$3:$H$3,0)))/INDEX('100 Hydrothermal liquifaction'!$D$4:$H$59,MATCH(SUP_Biofuels!X329,'100 Hydrothermal liquifaction'!$B$4:$B$59,0),MATCH(SUP_Biofuels!$I329,'100 Hydrothermal liquifaction'!$D$3:$H$3,0))</f>
        <v>6.0975609756097567E-2</v>
      </c>
      <c r="L330" s="33"/>
      <c r="M330" s="34"/>
      <c r="N330" s="35"/>
      <c r="O330" s="35"/>
      <c r="P330" s="35"/>
      <c r="Q330" s="33"/>
      <c r="R330" s="36"/>
      <c r="S330" s="34"/>
      <c r="T330" s="34"/>
      <c r="U330" s="44"/>
      <c r="V330" s="45"/>
      <c r="W330" s="17" t="str">
        <f>W328</f>
        <v>Electricity Consumption, MWh/MWh Total Input</v>
      </c>
      <c r="Y330" s="17"/>
    </row>
    <row r="331" spans="3:25" s="43" customFormat="1" ht="15.6">
      <c r="C331" s="17"/>
      <c r="D331" s="32"/>
      <c r="E331" s="17" t="s">
        <v>68</v>
      </c>
      <c r="F331" s="17" t="str">
        <f>F329</f>
        <v>CRB</v>
      </c>
      <c r="G331" s="17"/>
      <c r="H331" s="17" t="s">
        <v>70</v>
      </c>
      <c r="I331" s="17">
        <v>2040</v>
      </c>
      <c r="J331" s="17"/>
      <c r="K331" s="33">
        <f>(INDEX('100 Hydrothermal liquifaction'!$D$4:$H$59,MATCH(SUP_Biofuels!W331,'100 Hydrothermal liquifaction'!$B$4:$B$59,0),MATCH(SUP_Biofuels!$I331,'100 Hydrothermal liquifaction'!$D$3:$H$3,0)))/INDEX('100 Hydrothermal liquifaction'!$D$4:$H$59,MATCH(SUP_Biofuels!X331,'100 Hydrothermal liquifaction'!$B$4:$B$59,0),MATCH(SUP_Biofuels!$I331,'100 Hydrothermal liquifaction'!$D$3:$H$3,0))</f>
        <v>1.1585365853658536</v>
      </c>
      <c r="L331" s="33"/>
      <c r="M331" s="34">
        <v>20</v>
      </c>
      <c r="N331" s="35">
        <f>INDEX('100 Hydrothermal liquifaction'!$D$4:$H$59,MATCH(SUP_Biofuels!N$8,'100 Hydrothermal liquifaction'!$B$4:$B$59,0),MATCH(SUP_Biofuels!$I331,'100 Hydrothermal liquifaction'!$D$3:$H$3,0))*7.45</f>
        <v>9.2079564032697547</v>
      </c>
      <c r="O331" s="35">
        <f>INDEX('100 Hydrothermal liquifaction'!$D$4:$H$59,MATCH(SUP_Biofuels!O$8,'100 Hydrothermal liquifaction'!$B$4:$B$59,0),MATCH(SUP_Biofuels!$I331,'100 Hydrothermal liquifaction'!$D$3:$H$3,0))*7.45</f>
        <v>0.4677057220708446</v>
      </c>
      <c r="P331" s="35">
        <f>INDEX('100 Hydrothermal liquifaction'!$D$4:$H$59,MATCH(SUP_Biofuels!P$8,'100 Hydrothermal liquifaction'!$B$4:$B$59,0),MATCH(SUP_Biofuels!$I331,'100 Hydrothermal liquifaction'!$D$3:$H$3,0))*7.45/3.6</f>
        <v>28.999610743479952</v>
      </c>
      <c r="Q331" s="33">
        <f>1-INDEX('100 Hydrothermal liquifaction'!$D$4:$H$59,MATCH(SUP_Biofuels!Q$7,'100 Hydrothermal liquifaction'!$B$4:$B$59,0),MATCH(SUP_Biofuels!$I331,'100 Hydrothermal liquifaction'!$D$3:$H$3,0))/52-INDEX('100 Hydrothermal liquifaction'!$D$4:$H$59,MATCH(SUP_Biofuels!Q$8,'100 Hydrothermal liquifaction'!$B$4:$B$59,0),MATCH(SUP_Biofuels!$I331,'100 Hydrothermal liquifaction'!$D$3:$H$3,0))/100</f>
        <v>0.92307692307692313</v>
      </c>
      <c r="R331" s="36">
        <f>$R$39</f>
        <v>3.1536000000000002E-2</v>
      </c>
      <c r="S331" s="34">
        <f>INDEX('100 Hydrothermal liquifaction'!$D$4:$H$59,MATCH(SUP_Biofuels!S$8,'100 Hydrothermal liquifaction'!$B$4:$B$59,0),MATCH(SUP_Biofuels!$I331,'100 Hydrothermal liquifaction'!$D$3:$H$3,0))</f>
        <v>2</v>
      </c>
      <c r="T331" s="34"/>
      <c r="U331" s="44"/>
      <c r="V331" s="45"/>
      <c r="W331" s="17" t="str">
        <f>W329</f>
        <v>Feedstock Consumption, MWh/MWh Total Input</v>
      </c>
      <c r="X331" s="17" t="str">
        <f>X329</f>
        <v>Bio Oil Output, MWh/MWh Total Input</v>
      </c>
      <c r="Y331" s="17"/>
    </row>
    <row r="332" spans="3:25" s="43" customFormat="1">
      <c r="C332" s="17"/>
      <c r="D332" s="17"/>
      <c r="E332" s="17" t="s">
        <v>71</v>
      </c>
      <c r="F332" s="17"/>
      <c r="G332" s="17"/>
      <c r="H332" s="17"/>
      <c r="I332" s="17"/>
      <c r="J332" s="17"/>
      <c r="K332" s="33">
        <f>(INDEX('100 Hydrothermal liquifaction'!$D$4:$H$59,MATCH(SUP_Biofuels!W332,'100 Hydrothermal liquifaction'!$B$4:$B$59,0),MATCH(SUP_Biofuels!$I331,'100 Hydrothermal liquifaction'!$D$3:$H$3,0)))/INDEX('100 Hydrothermal liquifaction'!$D$4:$H$59,MATCH(SUP_Biofuels!X331,'100 Hydrothermal liquifaction'!$B$4:$B$59,0),MATCH(SUP_Biofuels!$I331,'100 Hydrothermal liquifaction'!$D$3:$H$3,0))</f>
        <v>6.0975609756097567E-2</v>
      </c>
      <c r="L332" s="33"/>
      <c r="M332" s="34"/>
      <c r="N332" s="35"/>
      <c r="O332" s="35"/>
      <c r="P332" s="35"/>
      <c r="Q332" s="33"/>
      <c r="R332" s="36"/>
      <c r="S332" s="34"/>
      <c r="T332" s="34"/>
      <c r="U332" s="44"/>
      <c r="V332" s="45"/>
      <c r="W332" s="17" t="str">
        <f>W330</f>
        <v>Electricity Consumption, MWh/MWh Total Input</v>
      </c>
      <c r="Y332" s="17"/>
    </row>
    <row r="333" spans="3:25" s="43" customFormat="1" ht="15.6">
      <c r="C333" s="17"/>
      <c r="D333" s="32"/>
      <c r="E333" s="17" t="s">
        <v>68</v>
      </c>
      <c r="F333" s="17" t="str">
        <f>F331</f>
        <v>CRB</v>
      </c>
      <c r="G333" s="17"/>
      <c r="H333" s="17" t="s">
        <v>70</v>
      </c>
      <c r="I333" s="17">
        <v>2050</v>
      </c>
      <c r="J333" s="17"/>
      <c r="K333" s="33">
        <f>(INDEX('100 Hydrothermal liquifaction'!$D$4:$H$59,MATCH(SUP_Biofuels!W333,'100 Hydrothermal liquifaction'!$B$4:$B$59,0),MATCH(SUP_Biofuels!$I333,'100 Hydrothermal liquifaction'!$D$3:$H$3,0)))/INDEX('100 Hydrothermal liquifaction'!$D$4:$H$59,MATCH(SUP_Biofuels!X333,'100 Hydrothermal liquifaction'!$B$4:$B$59,0),MATCH(SUP_Biofuels!$I333,'100 Hydrothermal liquifaction'!$D$3:$H$3,0))</f>
        <v>1.1585365853658536</v>
      </c>
      <c r="L333" s="33"/>
      <c r="M333" s="34">
        <v>20</v>
      </c>
      <c r="N333" s="35">
        <f>INDEX('100 Hydrothermal liquifaction'!$D$4:$H$59,MATCH(SUP_Biofuels!N$8,'100 Hydrothermal liquifaction'!$B$4:$B$59,0),MATCH(SUP_Biofuels!$I333,'100 Hydrothermal liquifaction'!$D$3:$H$3,0))*7.45</f>
        <v>8.1848501362397812</v>
      </c>
      <c r="O333" s="35">
        <f>INDEX('100 Hydrothermal liquifaction'!$D$4:$H$59,MATCH(SUP_Biofuels!O$8,'100 Hydrothermal liquifaction'!$B$4:$B$59,0),MATCH(SUP_Biofuels!$I333,'100 Hydrothermal liquifaction'!$D$3:$H$3,0))*7.45</f>
        <v>0.4677057220708446</v>
      </c>
      <c r="P333" s="35">
        <f>INDEX('100 Hydrothermal liquifaction'!$D$4:$H$59,MATCH(SUP_Biofuels!P$8,'100 Hydrothermal liquifaction'!$B$4:$B$59,0),MATCH(SUP_Biofuels!$I333,'100 Hydrothermal liquifaction'!$D$3:$H$3,0))*7.45/3.6</f>
        <v>28.999610743479955</v>
      </c>
      <c r="Q333" s="33">
        <f>1-INDEX('100 Hydrothermal liquifaction'!$D$4:$H$59,MATCH(SUP_Biofuels!Q$7,'100 Hydrothermal liquifaction'!$B$4:$B$59,0),MATCH(SUP_Biofuels!$I333,'100 Hydrothermal liquifaction'!$D$3:$H$3,0))/52-INDEX('100 Hydrothermal liquifaction'!$D$4:$H$59,MATCH(SUP_Biofuels!Q$8,'100 Hydrothermal liquifaction'!$B$4:$B$59,0),MATCH(SUP_Biofuels!$I333,'100 Hydrothermal liquifaction'!$D$3:$H$3,0))/100</f>
        <v>0.92307692307692313</v>
      </c>
      <c r="R333" s="36">
        <f>$R$39</f>
        <v>3.1536000000000002E-2</v>
      </c>
      <c r="S333" s="34">
        <f>INDEX('100 Hydrothermal liquifaction'!$D$4:$H$59,MATCH(SUP_Biofuels!S$8,'100 Hydrothermal liquifaction'!$B$4:$B$59,0),MATCH(SUP_Biofuels!$I333,'100 Hydrothermal liquifaction'!$D$3:$H$3,0))</f>
        <v>2</v>
      </c>
      <c r="T333" s="34"/>
      <c r="U333" s="44"/>
      <c r="V333" s="45"/>
      <c r="W333" s="17" t="str">
        <f>W331</f>
        <v>Feedstock Consumption, MWh/MWh Total Input</v>
      </c>
      <c r="X333" s="17" t="str">
        <f>X331</f>
        <v>Bio Oil Output, MWh/MWh Total Input</v>
      </c>
      <c r="Y333" s="17"/>
    </row>
    <row r="334" spans="3:25" s="43" customFormat="1" ht="15" thickBot="1">
      <c r="C334" s="47"/>
      <c r="D334" s="47"/>
      <c r="E334" s="47" t="s">
        <v>71</v>
      </c>
      <c r="F334" s="47"/>
      <c r="G334" s="47"/>
      <c r="H334" s="47"/>
      <c r="I334" s="47"/>
      <c r="J334" s="47"/>
      <c r="K334" s="48">
        <f>(INDEX('100 Hydrothermal liquifaction'!$D$4:$H$59,MATCH(SUP_Biofuels!W334,'100 Hydrothermal liquifaction'!$B$4:$B$59,0),MATCH(SUP_Biofuels!$I333,'100 Hydrothermal liquifaction'!$D$3:$H$3,0)))/INDEX('100 Hydrothermal liquifaction'!$D$4:$H$59,MATCH(SUP_Biofuels!X333,'100 Hydrothermal liquifaction'!$B$4:$B$59,0),MATCH(SUP_Biofuels!$I333,'100 Hydrothermal liquifaction'!$D$3:$H$3,0))</f>
        <v>6.0975609756097567E-2</v>
      </c>
      <c r="L334" s="48"/>
      <c r="M334" s="60"/>
      <c r="N334" s="61"/>
      <c r="O334" s="61"/>
      <c r="P334" s="61"/>
      <c r="Q334" s="48"/>
      <c r="R334" s="62"/>
      <c r="S334" s="60"/>
      <c r="T334" s="60"/>
      <c r="U334" s="63"/>
      <c r="V334" s="64"/>
      <c r="W334" s="47" t="str">
        <f>W332</f>
        <v>Electricity Consumption, MWh/MWh Total Input</v>
      </c>
      <c r="X334" s="46"/>
      <c r="Y334" s="47"/>
    </row>
    <row r="335" spans="3:25" s="43" customFormat="1" ht="15.6">
      <c r="C335" s="17" t="str">
        <f>"SUP"&amp;F335&amp;RIGHT(E335,3)&amp;IF(RIGHT(D335,7)="Central","C2","D2")</f>
        <v>SUPGSB2WCHC2</v>
      </c>
      <c r="D335" s="32" t="str">
        <f>'101 Catalytic Hydropyrolysis 2'!D2&amp;" Central"</f>
        <v>Catalytic Hydropyrolysis conf. 2 Central</v>
      </c>
      <c r="E335" s="17" t="s">
        <v>68</v>
      </c>
      <c r="F335" s="17" t="s">
        <v>85</v>
      </c>
      <c r="G335" s="17"/>
      <c r="H335" s="17" t="s">
        <v>70</v>
      </c>
      <c r="I335" s="17">
        <f>'93 1st generation ethanol'!$E$3</f>
        <v>2020</v>
      </c>
      <c r="J335" s="19">
        <v>2030</v>
      </c>
      <c r="K335" s="33">
        <f>(INDEX('101 Catalytic Hydropyrolysis 2'!$D$4:$H$63,MATCH(SUP_Biofuels!W335,'101 Catalytic Hydropyrolysis 2'!$B$4:$B$61,0),MATCH(SUP_Biofuels!$I335,'101 Catalytic Hydropyrolysis 2'!$D$3:$H$3,0)))/INDEX('101 Catalytic Hydropyrolysis 2'!$D$4:$H$63,MATCH(SUP_Biofuels!X335,'101 Catalytic Hydropyrolysis 2'!$B$4:$B$61,0),MATCH(SUP_Biofuels!$I335,'101 Catalytic Hydropyrolysis 2'!$D$3:$H$3,0))</f>
        <v>2.6052631578947367</v>
      </c>
      <c r="L335" s="33"/>
      <c r="M335" s="34">
        <v>20</v>
      </c>
      <c r="N335" s="35">
        <f>INDEX('101 Catalytic Hydropyrolysis 2'!$D$4:$H$63,MATCH(SUP_Biofuels!N$8,'101 Catalytic Hydropyrolysis 2'!$B$4:$B$61,0),MATCH(SUP_Biofuels!$I335,'101 Catalytic Hydropyrolysis 2'!$D$3:$H$3,0))*7.45/L337</f>
        <v>46.332742407660746</v>
      </c>
      <c r="O335" s="35">
        <f>INDEX('101 Catalytic Hydropyrolysis 2'!$D$4:$H$63,MATCH(SUP_Biofuels!O$8,'101 Catalytic Hydropyrolysis 2'!$B$4:$B$61,0),MATCH(SUP_Biofuels!$I335,'101 Catalytic Hydropyrolysis 2'!$D$3:$H$3,0))*7.45/L337</f>
        <v>1.9241771067028806</v>
      </c>
      <c r="P335" s="35">
        <f>INDEX('101 Catalytic Hydropyrolysis 2'!$D$4:$H$63,MATCH(SUP_Biofuels!P$8,'101 Catalytic Hydropyrolysis 2'!$B$4:$B$61,0),MATCH(SUP_Biofuels!$I335,'101 Catalytic Hydropyrolysis 2'!$D$3:$H$3,0))*7.45/3.6/L337</f>
        <v>27.838210455770835</v>
      </c>
      <c r="Q335" s="33">
        <f>1-INDEX('101 Catalytic Hydropyrolysis 2'!$D$4:$H$63,MATCH(SUP_Biofuels!Q$7,'101 Catalytic Hydropyrolysis 2'!$B$4:$B$61,0),MATCH(SUP_Biofuels!$I335,'101 Catalytic Hydropyrolysis 2'!$D$3:$H$3,0))/52-INDEX('101 Catalytic Hydropyrolysis 2'!$D$4:$H$63,MATCH(SUP_Biofuels!Q$8,'101 Catalytic Hydropyrolysis 2'!$B$4:$B$61,0),MATCH(SUP_Biofuels!$I335,'101 Catalytic Hydropyrolysis 2'!$D$3:$H$3,0))/100</f>
        <v>0.92153846153846153</v>
      </c>
      <c r="R335" s="36">
        <f>$R$39</f>
        <v>3.1536000000000002E-2</v>
      </c>
      <c r="S335" s="34">
        <f>INDEX('101 Catalytic Hydropyrolysis 2'!$D$4:$H$63,MATCH(SUP_Biofuels!S$8,'101 Catalytic Hydropyrolysis 2'!$B$4:$B$61,0),MATCH(SUP_Biofuels!$I335,'101 Catalytic Hydropyrolysis 2'!$D$3:$H$3,0))</f>
        <v>2</v>
      </c>
      <c r="T335" s="34"/>
      <c r="U335" s="44"/>
      <c r="V335" s="45" t="s">
        <v>74</v>
      </c>
      <c r="W335" s="17" t="str">
        <f>'101 Catalytic Hydropyrolysis 2'!B9</f>
        <v>Feedstock Consumption, MWh/MWh Total Input</v>
      </c>
      <c r="X335" s="43" t="str">
        <f>'101 Catalytic Hydropyrolysis 2'!B12</f>
        <v>Gasoline fraction, MWh/MWh Total Input</v>
      </c>
      <c r="Y335" s="17"/>
    </row>
    <row r="336" spans="3:25" s="43" customFormat="1">
      <c r="E336" s="17" t="s">
        <v>71</v>
      </c>
      <c r="F336" s="17"/>
      <c r="G336" s="17"/>
      <c r="H336" s="17"/>
      <c r="I336" s="17"/>
      <c r="J336" s="17"/>
      <c r="K336" s="33">
        <f>(INDEX('101 Catalytic Hydropyrolysis 2'!$D$4:$H$63,MATCH(SUP_Biofuels!W336,'101 Catalytic Hydropyrolysis 2'!$B$4:$B$61,0),MATCH(SUP_Biofuels!$I335,'101 Catalytic Hydropyrolysis 2'!$D$3:$H$3,0)))/INDEX('101 Catalytic Hydropyrolysis 2'!$D$4:$H$63,MATCH(SUP_Biofuels!X335,'101 Catalytic Hydropyrolysis 2'!$B$4:$B$61,0),MATCH(SUP_Biofuels!$I335,'101 Catalytic Hydropyrolysis 2'!$D$3:$H$3,0))</f>
        <v>2.6315789473684209E-2</v>
      </c>
      <c r="L336" s="33"/>
      <c r="M336" s="34"/>
      <c r="N336" s="35"/>
      <c r="O336" s="35"/>
      <c r="P336" s="35"/>
      <c r="Q336" s="33"/>
      <c r="R336" s="36"/>
      <c r="S336" s="34"/>
      <c r="T336" s="34"/>
      <c r="U336" s="44"/>
      <c r="V336" s="45"/>
      <c r="W336" s="17" t="str">
        <f>'101 Catalytic Hydropyrolysis 2'!B10</f>
        <v>Electricity Consumption, MWh/MWh Total Input</v>
      </c>
      <c r="Y336" s="17"/>
    </row>
    <row r="337" spans="3:26" s="43" customFormat="1" ht="15.6">
      <c r="C337" s="17"/>
      <c r="D337" s="32"/>
      <c r="G337" s="43" t="s">
        <v>86</v>
      </c>
      <c r="H337" s="17"/>
      <c r="I337" s="17"/>
      <c r="J337" s="17"/>
      <c r="K337" s="41"/>
      <c r="L337" s="33">
        <f>INDEX('101 Catalytic Hydropyrolysis 2'!$D$4:$H$63,MATCH(SUP_Biofuels!Y337,'101 Catalytic Hydropyrolysis 2'!$B$4:$B$61,0),MATCH(SUP_Biofuels!$I335,'101 Catalytic Hydropyrolysis 2'!$D$3:$H$3,0))*(SUM(K335:K336))</f>
        <v>0.44736842105263158</v>
      </c>
      <c r="M337" s="65"/>
      <c r="N337" s="65"/>
      <c r="O337" s="40"/>
      <c r="P337" s="40"/>
      <c r="Q337" s="41"/>
      <c r="R337" s="42"/>
      <c r="S337" s="39"/>
      <c r="T337" s="39"/>
      <c r="U337" s="17"/>
      <c r="Y337" s="17" t="str">
        <f>'101 Catalytic Hydropyrolysis 2'!B13</f>
        <v>Diesel fraction, MWh/MWh Total Input</v>
      </c>
    </row>
    <row r="338" spans="3:26" s="43" customFormat="1" ht="15.6">
      <c r="C338" s="17"/>
      <c r="D338" s="32"/>
      <c r="E338" s="17" t="s">
        <v>68</v>
      </c>
      <c r="F338" s="17" t="str">
        <f>F335</f>
        <v>GSB2</v>
      </c>
      <c r="G338" s="17"/>
      <c r="H338" s="17" t="s">
        <v>70</v>
      </c>
      <c r="I338" s="17">
        <v>2030</v>
      </c>
      <c r="J338" s="17"/>
      <c r="K338" s="33">
        <f>(INDEX('101 Catalytic Hydropyrolysis 2'!$D$4:$H$63,MATCH(SUP_Biofuels!W338,'101 Catalytic Hydropyrolysis 2'!$B$4:$B$61,0),MATCH(SUP_Biofuels!$I338,'101 Catalytic Hydropyrolysis 2'!$D$3:$H$3,0)))/INDEX('101 Catalytic Hydropyrolysis 2'!$D$4:$H$63,MATCH(SUP_Biofuels!X338,'101 Catalytic Hydropyrolysis 2'!$B$4:$B$61,0),MATCH(SUP_Biofuels!$I338,'101 Catalytic Hydropyrolysis 2'!$D$3:$H$3,0))</f>
        <v>2.5384615384615383</v>
      </c>
      <c r="L338" s="33"/>
      <c r="M338" s="34">
        <v>20</v>
      </c>
      <c r="N338" s="35">
        <f>INDEX('101 Catalytic Hydropyrolysis 2'!$D$4:$H$63,MATCH(SUP_Biofuels!N$8,'101 Catalytic Hydropyrolysis 2'!$B$4:$B$61,0),MATCH(SUP_Biofuels!$I338,'101 Catalytic Hydropyrolysis 2'!$D$3:$H$3,0))*7.45/L340</f>
        <v>34.20663731686048</v>
      </c>
      <c r="O338" s="35">
        <f>INDEX('101 Catalytic Hydropyrolysis 2'!$D$4:$H$63,MATCH(SUP_Biofuels!O$8,'101 Catalytic Hydropyrolysis 2'!$B$4:$B$61,0),MATCH(SUP_Biofuels!$I338,'101 Catalytic Hydropyrolysis 2'!$D$3:$H$3,0))*7.45/L340</f>
        <v>1.8651014937777926</v>
      </c>
      <c r="P338" s="35">
        <f>INDEX('101 Catalytic Hydropyrolysis 2'!$D$4:$H$63,MATCH(SUP_Biofuels!P$8,'101 Catalytic Hydropyrolysis 2'!$B$4:$B$61,0),MATCH(SUP_Biofuels!$I338,'101 Catalytic Hydropyrolysis 2'!$D$3:$H$3,0))*7.45/3.6/L340</f>
        <v>26.983528555812963</v>
      </c>
      <c r="Q338" s="33">
        <f>1-INDEX('101 Catalytic Hydropyrolysis 2'!$D$4:$H$63,MATCH(SUP_Biofuels!Q$7,'101 Catalytic Hydropyrolysis 2'!$B$4:$B$61,0),MATCH(SUP_Biofuels!$I338,'101 Catalytic Hydropyrolysis 2'!$D$3:$H$3,0))/52-INDEX('101 Catalytic Hydropyrolysis 2'!$D$4:$H$63,MATCH(SUP_Biofuels!Q$8,'101 Catalytic Hydropyrolysis 2'!$B$4:$B$61,0),MATCH(SUP_Biofuels!$I338,'101 Catalytic Hydropyrolysis 2'!$D$3:$H$3,0))/100</f>
        <v>0.90230769230769226</v>
      </c>
      <c r="R338" s="36">
        <f>$R$39</f>
        <v>3.1536000000000002E-2</v>
      </c>
      <c r="S338" s="34">
        <f>INDEX('101 Catalytic Hydropyrolysis 2'!$D$4:$H$63,MATCH(SUP_Biofuels!S$8,'101 Catalytic Hydropyrolysis 2'!$B$4:$B$61,0),MATCH(SUP_Biofuels!$I338,'101 Catalytic Hydropyrolysis 2'!$D$3:$H$3,0))</f>
        <v>2</v>
      </c>
      <c r="T338" s="34"/>
      <c r="U338" s="44"/>
      <c r="V338" s="45"/>
      <c r="W338" s="17" t="str">
        <f>W335</f>
        <v>Feedstock Consumption, MWh/MWh Total Input</v>
      </c>
      <c r="X338" s="17" t="str">
        <f>X335</f>
        <v>Gasoline fraction, MWh/MWh Total Input</v>
      </c>
      <c r="Y338" s="17"/>
    </row>
    <row r="339" spans="3:26" s="43" customFormat="1">
      <c r="C339" s="17"/>
      <c r="D339" s="17"/>
      <c r="E339" s="17" t="s">
        <v>71</v>
      </c>
      <c r="F339" s="17"/>
      <c r="G339" s="17"/>
      <c r="H339" s="17"/>
      <c r="I339" s="17"/>
      <c r="J339" s="17"/>
      <c r="K339" s="33">
        <f>(INDEX('101 Catalytic Hydropyrolysis 2'!$D$4:$H$63,MATCH(SUP_Biofuels!W339,'101 Catalytic Hydropyrolysis 2'!$B$4:$B$61,0),MATCH(SUP_Biofuels!$I338,'101 Catalytic Hydropyrolysis 2'!$D$3:$H$3,0)))/INDEX('101 Catalytic Hydropyrolysis 2'!$D$4:$H$63,MATCH(SUP_Biofuels!X338,'101 Catalytic Hydropyrolysis 2'!$B$4:$B$61,0),MATCH(SUP_Biofuels!$I338,'101 Catalytic Hydropyrolysis 2'!$D$3:$H$3,0))</f>
        <v>2.564102564102564E-2</v>
      </c>
      <c r="L339" s="33"/>
      <c r="M339" s="34"/>
      <c r="N339" s="35"/>
      <c r="O339" s="35"/>
      <c r="P339" s="35"/>
      <c r="Q339" s="33"/>
      <c r="R339" s="36"/>
      <c r="S339" s="34"/>
      <c r="T339" s="34"/>
      <c r="U339" s="44"/>
      <c r="V339" s="45"/>
      <c r="W339" s="17" t="str">
        <f>W336</f>
        <v>Electricity Consumption, MWh/MWh Total Input</v>
      </c>
      <c r="Y339" s="17"/>
    </row>
    <row r="340" spans="3:26" s="43" customFormat="1" ht="15.6">
      <c r="C340" s="17"/>
      <c r="D340" s="32"/>
      <c r="G340" s="43" t="s">
        <v>86</v>
      </c>
      <c r="H340" s="17"/>
      <c r="I340" s="17"/>
      <c r="J340" s="17"/>
      <c r="K340" s="41"/>
      <c r="L340" s="33">
        <f>INDEX('101 Catalytic Hydropyrolysis 2'!$D$4:$H$63,MATCH(SUP_Biofuels!Y340,'101 Catalytic Hydropyrolysis 2'!$B$4:$B$61,0),MATCH(SUP_Biofuels!$I338,'101 Catalytic Hydropyrolysis 2'!$D$3:$H$3,0))*(SUM(K338:K339))</f>
        <v>0.46153846153846145</v>
      </c>
      <c r="M340" s="39"/>
      <c r="N340" s="40"/>
      <c r="O340" s="40"/>
      <c r="P340" s="40"/>
      <c r="Q340" s="41"/>
      <c r="R340" s="42"/>
      <c r="S340" s="39"/>
      <c r="T340" s="39"/>
      <c r="U340" s="17"/>
      <c r="Y340" s="17" t="str">
        <f>Y337</f>
        <v>Diesel fraction, MWh/MWh Total Input</v>
      </c>
    </row>
    <row r="341" spans="3:26" s="43" customFormat="1" ht="15.6">
      <c r="C341" s="17"/>
      <c r="D341" s="32"/>
      <c r="E341" s="17" t="s">
        <v>68</v>
      </c>
      <c r="F341" s="17" t="str">
        <f>F338</f>
        <v>GSB2</v>
      </c>
      <c r="G341" s="17"/>
      <c r="H341" s="17" t="s">
        <v>70</v>
      </c>
      <c r="I341" s="17">
        <v>2040</v>
      </c>
      <c r="J341" s="17"/>
      <c r="K341" s="33">
        <f>(INDEX('101 Catalytic Hydropyrolysis 2'!$D$4:$H$63,MATCH(SUP_Biofuels!W341,'101 Catalytic Hydropyrolysis 2'!$B$4:$B$61,0),MATCH(SUP_Biofuels!$I341,'101 Catalytic Hydropyrolysis 2'!$D$3:$H$3,0)))/INDEX('101 Catalytic Hydropyrolysis 2'!$D$4:$H$63,MATCH(SUP_Biofuels!X341,'101 Catalytic Hydropyrolysis 2'!$B$4:$B$61,0),MATCH(SUP_Biofuels!$I341,'101 Catalytic Hydropyrolysis 2'!$D$3:$H$3,0))</f>
        <v>2.4749999999999996</v>
      </c>
      <c r="L341" s="33"/>
      <c r="M341" s="34">
        <v>20</v>
      </c>
      <c r="N341" s="35">
        <f>INDEX('101 Catalytic Hydropyrolysis 2'!$D$4:$H$63,MATCH(SUP_Biofuels!N$8,'101 Catalytic Hydropyrolysis 2'!$B$4:$B$61,0),MATCH(SUP_Biofuels!$I341,'101 Catalytic Hydropyrolysis 2'!$D$3:$H$3,0))*7.45/L343</f>
        <v>31.241409540697692</v>
      </c>
      <c r="O341" s="35">
        <f>INDEX('101 Catalytic Hydropyrolysis 2'!$D$4:$H$63,MATCH(SUP_Biofuels!O$8,'101 Catalytic Hydropyrolysis 2'!$B$4:$B$61,0),MATCH(SUP_Biofuels!$I341,'101 Catalytic Hydropyrolysis 2'!$D$3:$H$3,0))*7.45/L343</f>
        <v>1.9129246090028642</v>
      </c>
      <c r="P341" s="35">
        <f>INDEX('101 Catalytic Hydropyrolysis 2'!$D$4:$H$63,MATCH(SUP_Biofuels!P$8,'101 Catalytic Hydropyrolysis 2'!$B$4:$B$61,0),MATCH(SUP_Biofuels!$I341,'101 Catalytic Hydropyrolysis 2'!$D$3:$H$3,0))*7.45/3.6/L343</f>
        <v>27.675413903397914</v>
      </c>
      <c r="Q341" s="33">
        <f>1-INDEX('101 Catalytic Hydropyrolysis 2'!$D$4:$H$63,MATCH(SUP_Biofuels!Q$7,'101 Catalytic Hydropyrolysis 2'!$B$4:$B$61,0),MATCH(SUP_Biofuels!$I341,'101 Catalytic Hydropyrolysis 2'!$D$3:$H$3,0))/52-INDEX('101 Catalytic Hydropyrolysis 2'!$D$4:$H$63,MATCH(SUP_Biofuels!Q$8,'101 Catalytic Hydropyrolysis 2'!$B$4:$B$61,0),MATCH(SUP_Biofuels!$I341,'101 Catalytic Hydropyrolysis 2'!$D$3:$H$3,0))/100</f>
        <v>0.92307692307692313</v>
      </c>
      <c r="R341" s="36">
        <f>$R$39</f>
        <v>3.1536000000000002E-2</v>
      </c>
      <c r="S341" s="34">
        <f>INDEX('101 Catalytic Hydropyrolysis 2'!$D$4:$H$63,MATCH(SUP_Biofuels!S$8,'101 Catalytic Hydropyrolysis 2'!$B$4:$B$61,0),MATCH(SUP_Biofuels!$I341,'101 Catalytic Hydropyrolysis 2'!$D$3:$H$3,0))</f>
        <v>2</v>
      </c>
      <c r="T341" s="34"/>
      <c r="U341" s="44"/>
      <c r="V341" s="45"/>
      <c r="W341" s="17" t="str">
        <f>W338</f>
        <v>Feedstock Consumption, MWh/MWh Total Input</v>
      </c>
      <c r="X341" s="17" t="str">
        <f>X338</f>
        <v>Gasoline fraction, MWh/MWh Total Input</v>
      </c>
      <c r="Y341" s="17"/>
    </row>
    <row r="342" spans="3:26" s="43" customFormat="1">
      <c r="C342" s="17"/>
      <c r="D342" s="17"/>
      <c r="E342" s="17" t="s">
        <v>71</v>
      </c>
      <c r="F342" s="17"/>
      <c r="G342" s="17"/>
      <c r="H342" s="17"/>
      <c r="I342" s="17"/>
      <c r="J342" s="17"/>
      <c r="K342" s="33">
        <f>(INDEX('101 Catalytic Hydropyrolysis 2'!$D$4:$H$63,MATCH(SUP_Biofuels!W342,'101 Catalytic Hydropyrolysis 2'!$B$4:$B$61,0),MATCH(SUP_Biofuels!$I341,'101 Catalytic Hydropyrolysis 2'!$D$3:$H$3,0)))/INDEX('101 Catalytic Hydropyrolysis 2'!$D$4:$H$63,MATCH(SUP_Biofuels!X341,'101 Catalytic Hydropyrolysis 2'!$B$4:$B$61,0),MATCH(SUP_Biofuels!$I341,'101 Catalytic Hydropyrolysis 2'!$D$3:$H$3,0))</f>
        <v>2.4999999999999998E-2</v>
      </c>
      <c r="L342" s="33"/>
      <c r="M342" s="34"/>
      <c r="N342" s="35"/>
      <c r="O342" s="35"/>
      <c r="P342" s="35"/>
      <c r="Q342" s="33"/>
      <c r="R342" s="36"/>
      <c r="S342" s="34"/>
      <c r="T342" s="34"/>
      <c r="U342" s="44"/>
      <c r="V342" s="45"/>
      <c r="W342" s="17" t="str">
        <f>W339</f>
        <v>Electricity Consumption, MWh/MWh Total Input</v>
      </c>
      <c r="Y342" s="17"/>
    </row>
    <row r="343" spans="3:26" s="43" customFormat="1" ht="15.6">
      <c r="C343" s="17"/>
      <c r="D343" s="32"/>
      <c r="G343" s="43" t="s">
        <v>86</v>
      </c>
      <c r="H343" s="17"/>
      <c r="I343" s="17"/>
      <c r="J343" s="17"/>
      <c r="K343" s="41"/>
      <c r="L343" s="33">
        <f>INDEX('101 Catalytic Hydropyrolysis 2'!$D$4:$H$63,MATCH(SUP_Biofuels!Y343,'101 Catalytic Hydropyrolysis 2'!$B$4:$B$61,0),MATCH(SUP_Biofuels!$I341,'101 Catalytic Hydropyrolysis 2'!$D$3:$H$3,0))*(SUM(K341:K342))</f>
        <v>0.4499999999999999</v>
      </c>
      <c r="M343" s="39"/>
      <c r="N343" s="40"/>
      <c r="O343" s="40"/>
      <c r="P343" s="40"/>
      <c r="Q343" s="41"/>
      <c r="R343" s="42"/>
      <c r="S343" s="39"/>
      <c r="T343" s="39"/>
      <c r="U343" s="17"/>
      <c r="Y343" s="17" t="str">
        <f>Y340</f>
        <v>Diesel fraction, MWh/MWh Total Input</v>
      </c>
    </row>
    <row r="344" spans="3:26" s="43" customFormat="1" ht="15.6">
      <c r="C344" s="17"/>
      <c r="D344" s="32"/>
      <c r="E344" s="17" t="s">
        <v>68</v>
      </c>
      <c r="F344" s="17" t="str">
        <f>F341</f>
        <v>GSB2</v>
      </c>
      <c r="G344" s="17"/>
      <c r="H344" s="17" t="s">
        <v>70</v>
      </c>
      <c r="I344" s="17">
        <v>2050</v>
      </c>
      <c r="J344" s="17"/>
      <c r="K344" s="33">
        <f>(INDEX('101 Catalytic Hydropyrolysis 2'!$D$4:$H$63,MATCH(SUP_Biofuels!W344,'101 Catalytic Hydropyrolysis 2'!$B$4:$B$61,0),MATCH(SUP_Biofuels!$I344,'101 Catalytic Hydropyrolysis 2'!$D$3:$H$3,0)))/INDEX('101 Catalytic Hydropyrolysis 2'!$D$4:$H$63,MATCH(SUP_Biofuels!X344,'101 Catalytic Hydropyrolysis 2'!$B$4:$B$61,0),MATCH(SUP_Biofuels!$I344,'101 Catalytic Hydropyrolysis 2'!$D$3:$H$3,0))</f>
        <v>2.4146341463414633</v>
      </c>
      <c r="L344" s="33"/>
      <c r="M344" s="34">
        <v>20</v>
      </c>
      <c r="N344" s="35">
        <f>INDEX('101 Catalytic Hydropyrolysis 2'!$D$4:$H$63,MATCH(SUP_Biofuels!N$8,'101 Catalytic Hydropyrolysis 2'!$B$4:$B$61,0),MATCH(SUP_Biofuels!$I344,'101 Catalytic Hydropyrolysis 2'!$D$3:$H$3,0))*7.45/L346</f>
        <v>28.328001279069777</v>
      </c>
      <c r="O344" s="35">
        <f>INDEX('101 Catalytic Hydropyrolysis 2'!$D$4:$H$63,MATCH(SUP_Biofuels!O$8,'101 Catalytic Hydropyrolysis 2'!$B$4:$B$61,0),MATCH(SUP_Biofuels!$I344,'101 Catalytic Hydropyrolysis 2'!$D$3:$H$3,0))*7.45/L346</f>
        <v>1.8575504755843599</v>
      </c>
      <c r="P344" s="35">
        <f>INDEX('101 Catalytic Hydropyrolysis 2'!$D$4:$H$63,MATCH(SUP_Biofuels!P$8,'101 Catalytic Hydropyrolysis 2'!$B$4:$B$61,0),MATCH(SUP_Biofuels!$I344,'101 Catalytic Hydropyrolysis 2'!$D$3:$H$3,0))*7.45/3.6/L346</f>
        <v>26.874283500931128</v>
      </c>
      <c r="Q344" s="33">
        <f>1-INDEX('101 Catalytic Hydropyrolysis 2'!$D$4:$H$63,MATCH(SUP_Biofuels!Q$7,'101 Catalytic Hydropyrolysis 2'!$B$4:$B$61,0),MATCH(SUP_Biofuels!$I344,'101 Catalytic Hydropyrolysis 2'!$D$3:$H$3,0))/52-INDEX('101 Catalytic Hydropyrolysis 2'!$D$4:$H$63,MATCH(SUP_Biofuels!Q$8,'101 Catalytic Hydropyrolysis 2'!$B$4:$B$61,0),MATCH(SUP_Biofuels!$I344,'101 Catalytic Hydropyrolysis 2'!$D$3:$H$3,0))/100</f>
        <v>0.90384615384615385</v>
      </c>
      <c r="R344" s="36">
        <f>$R$39</f>
        <v>3.1536000000000002E-2</v>
      </c>
      <c r="S344" s="34">
        <f>INDEX('101 Catalytic Hydropyrolysis 2'!$D$4:$H$63,MATCH(SUP_Biofuels!S$8,'101 Catalytic Hydropyrolysis 2'!$B$4:$B$61,0),MATCH(SUP_Biofuels!$I344,'101 Catalytic Hydropyrolysis 2'!$D$3:$H$3,0))</f>
        <v>2</v>
      </c>
      <c r="T344" s="34"/>
      <c r="U344" s="44"/>
      <c r="V344" s="45"/>
      <c r="W344" s="17" t="str">
        <f>W341</f>
        <v>Feedstock Consumption, MWh/MWh Total Input</v>
      </c>
      <c r="X344" s="17" t="str">
        <f>X341</f>
        <v>Gasoline fraction, MWh/MWh Total Input</v>
      </c>
      <c r="Y344" s="17"/>
    </row>
    <row r="345" spans="3:26" s="43" customFormat="1">
      <c r="C345" s="17"/>
      <c r="D345" s="17"/>
      <c r="E345" s="17" t="s">
        <v>71</v>
      </c>
      <c r="F345" s="17"/>
      <c r="G345" s="17"/>
      <c r="H345" s="17"/>
      <c r="I345" s="17"/>
      <c r="J345" s="17"/>
      <c r="K345" s="33">
        <f>(INDEX('101 Catalytic Hydropyrolysis 2'!$D$4:$H$63,MATCH(SUP_Biofuels!W345,'101 Catalytic Hydropyrolysis 2'!$B$4:$B$61,0),MATCH(SUP_Biofuels!$I344,'101 Catalytic Hydropyrolysis 2'!$D$3:$H$3,0)))/INDEX('101 Catalytic Hydropyrolysis 2'!$D$4:$H$63,MATCH(SUP_Biofuels!X344,'101 Catalytic Hydropyrolysis 2'!$B$4:$B$61,0),MATCH(SUP_Biofuels!$I344,'101 Catalytic Hydropyrolysis 2'!$D$3:$H$3,0))</f>
        <v>2.4390243902439025E-2</v>
      </c>
      <c r="L345" s="33"/>
      <c r="M345" s="34"/>
      <c r="N345" s="35"/>
      <c r="O345" s="35"/>
      <c r="P345" s="35"/>
      <c r="Q345" s="33"/>
      <c r="R345" s="36"/>
      <c r="S345" s="34"/>
      <c r="T345" s="34"/>
      <c r="U345" s="44"/>
      <c r="V345" s="45"/>
      <c r="W345" s="17" t="str">
        <f>W342</f>
        <v>Electricity Consumption, MWh/MWh Total Input</v>
      </c>
      <c r="Y345" s="17"/>
    </row>
    <row r="346" spans="3:26" s="43" customFormat="1" ht="16.2" thickBot="1">
      <c r="C346" s="47"/>
      <c r="D346" s="66"/>
      <c r="E346" s="46"/>
      <c r="F346" s="46"/>
      <c r="G346" s="46" t="s">
        <v>86</v>
      </c>
      <c r="H346" s="47"/>
      <c r="I346" s="47"/>
      <c r="J346" s="47"/>
      <c r="K346" s="59"/>
      <c r="L346" s="48">
        <f>INDEX('101 Catalytic Hydropyrolysis 2'!$D$4:$H$63,MATCH(SUP_Biofuels!Y346,'101 Catalytic Hydropyrolysis 2'!$B$4:$B$61,0),MATCH(SUP_Biofuels!$I344,'101 Catalytic Hydropyrolysis 2'!$D$3:$H$3,0))*(SUM(K344:K345))</f>
        <v>0.46341463414634143</v>
      </c>
      <c r="M346" s="67"/>
      <c r="N346" s="49"/>
      <c r="O346" s="49"/>
      <c r="P346" s="49"/>
      <c r="Q346" s="59"/>
      <c r="R346" s="68"/>
      <c r="S346" s="67"/>
      <c r="T346" s="67"/>
      <c r="U346" s="47"/>
      <c r="V346" s="46"/>
      <c r="W346" s="46"/>
      <c r="X346" s="46"/>
      <c r="Y346" s="47" t="str">
        <f>Y343</f>
        <v>Diesel fraction, MWh/MWh Total Input</v>
      </c>
    </row>
    <row r="347" spans="3:26" s="43" customFormat="1" ht="15.6">
      <c r="C347" s="17" t="str">
        <f>"SUP"&amp;LEFT(F347,3)&amp;RIGHT(E347,3)&amp;IF(RIGHT(D347,7)="Central","C1","D1")</f>
        <v>SUPCRBWCHC1</v>
      </c>
      <c r="D347" s="32" t="str">
        <f>'101 Catalytic Hydropyrolysis 1'!E2&amp;" with biochar production "&amp;" Central"</f>
        <v>Catalytic Hydroprocessing conf. 1 with biochar production  Central</v>
      </c>
      <c r="E347" s="17" t="s">
        <v>68</v>
      </c>
      <c r="F347" s="17" t="s">
        <v>1762</v>
      </c>
      <c r="G347" s="17"/>
      <c r="H347" s="17" t="s">
        <v>70</v>
      </c>
      <c r="I347" s="17">
        <f>'93 1st generation ethanol'!$E$3</f>
        <v>2020</v>
      </c>
      <c r="J347" s="19">
        <v>2030</v>
      </c>
      <c r="K347" s="33">
        <f>(INDEX('101 Catalytic Hydropyrolysis 1'!$D$4:$H$57,MATCH(SUP_Biofuels!W347,'101 Catalytic Hydropyrolysis 1'!$B$4:$B$57,0),MATCH(SUP_Biofuels!$I347,'101 Catalytic Hydropyrolysis 1'!$D$3:$H$3,0)))/INDEX('101 Catalytic Hydropyrolysis 1'!$D$4:$H$57,MATCH(SUP_Biofuels!X347,'101 Catalytic Hydropyrolysis 1'!$B$4:$B$57,0),MATCH(SUP_Biofuels!$I347,'101 Catalytic Hydropyrolysis 1'!$D$3:$H$3,0))/0.77</f>
        <v>2.6315789473684208</v>
      </c>
      <c r="L347" s="33"/>
      <c r="M347" s="34">
        <v>20</v>
      </c>
      <c r="N347" s="35">
        <f>INDEX('101 Catalytic Hydropyrolysis 1'!$D$4:$H$57,MATCH(SUP_Biofuels!N$8,'101 Catalytic Hydropyrolysis 1'!$B$4:$B$57,0),MATCH(SUP_Biofuels!$I347,'101 Catalytic Hydropyrolysis 1'!$D$3:$H$3,0))*7.45</f>
        <v>11.397192982456142</v>
      </c>
      <c r="O347" s="35">
        <f>INDEX('101 Catalytic Hydropyrolysis 1'!$D$4:$H$57,MATCH(SUP_Biofuels!O$8,'101 Catalytic Hydropyrolysis 1'!$B$4:$B$57,0),MATCH(SUP_Biofuels!$I347,'101 Catalytic Hydropyrolysis 1'!$D$3:$H$3,0))*7.45</f>
        <v>1.2459180019163392</v>
      </c>
      <c r="P347" s="33">
        <f>INDEX('101 Catalytic Hydropyrolysis 1'!$D$4:$H$57,MATCH(SUP_Biofuels!P$8,'101 Catalytic Hydropyrolysis 1'!$B$4:$B$57,0),MATCH(SUP_Biofuels!$I347,'101 Catalytic Hydropyrolysis 1'!$D$3:$H$3,0))*7.45/3.6*SUM(K347:K348)</f>
        <v>61.604354256673233</v>
      </c>
      <c r="Q347" s="33">
        <f>Q335</f>
        <v>0.92153846153846153</v>
      </c>
      <c r="R347" s="36">
        <f>$R$39</f>
        <v>3.1536000000000002E-2</v>
      </c>
      <c r="S347" s="34">
        <f>S335</f>
        <v>2</v>
      </c>
      <c r="T347" s="34">
        <f>-L349</f>
        <v>-32.84210526315789</v>
      </c>
      <c r="U347" s="44"/>
      <c r="V347" s="45" t="s">
        <v>74</v>
      </c>
      <c r="W347" s="17" t="str">
        <f>'101 Catalytic Hydropyrolysis 1'!B9</f>
        <v>Feedstock Consumption, MWh/MWh Total Input</v>
      </c>
      <c r="X347" s="43" t="str">
        <f>'101 Catalytic Hydropyrolysis 1'!B12</f>
        <v>Liquid Fuel Output, MWh/MWh Total Input</v>
      </c>
      <c r="Y347" s="17"/>
    </row>
    <row r="348" spans="3:26" s="43" customFormat="1">
      <c r="E348" s="17" t="s">
        <v>1386</v>
      </c>
      <c r="F348" s="17"/>
      <c r="G348" s="17"/>
      <c r="H348" s="17"/>
      <c r="I348" s="17"/>
      <c r="J348" s="17"/>
      <c r="K348" s="33">
        <f>(INDEX('101 Catalytic Hydropyrolysis 1'!$D$4:$H$57,MATCH(SUP_Biofuels!W348,'101 Catalytic Hydropyrolysis 1'!$B$4:$B$57,0),MATCH(SUP_Biofuels!$I347,'101 Catalytic Hydropyrolysis 1'!$D$3:$H$3,0)))/INDEX('101 Catalytic Hydropyrolysis 1'!$D$4:$H$57,MATCH(SUP_Biofuels!X347,'101 Catalytic Hydropyrolysis 1'!$B$4:$B$57,0),MATCH(SUP_Biofuels!$I347,'101 Catalytic Hydropyrolysis 1'!$D$3:$H$3,0))/0.77</f>
        <v>0.7860560492139439</v>
      </c>
      <c r="L348" s="33"/>
      <c r="M348" s="34"/>
      <c r="N348" s="35"/>
      <c r="O348" s="35"/>
      <c r="P348" s="33"/>
      <c r="Q348" s="33"/>
      <c r="R348" s="36"/>
      <c r="S348" s="34"/>
      <c r="T348" s="34"/>
      <c r="U348" s="44"/>
      <c r="V348" s="45"/>
      <c r="W348" s="17" t="str">
        <f>'101 Catalytic Hydropyrolysis 1'!B10</f>
        <v>Hydrogen Consumption, MWh/MWh Total Input</v>
      </c>
      <c r="Y348" s="17"/>
    </row>
    <row r="349" spans="3:26" s="43" customFormat="1" ht="15.6">
      <c r="C349" s="17"/>
      <c r="D349" s="32"/>
      <c r="G349" s="43" t="s">
        <v>1420</v>
      </c>
      <c r="H349" s="17"/>
      <c r="I349" s="17"/>
      <c r="J349" s="17"/>
      <c r="K349" s="41"/>
      <c r="L349" s="33">
        <f>'101 Catalytic Hydropyrolysis 1'!$E$13*96*(K347)</f>
        <v>32.84210526315789</v>
      </c>
      <c r="M349" s="65"/>
      <c r="N349" s="40"/>
      <c r="O349" s="40"/>
      <c r="P349" s="41"/>
      <c r="Q349" s="41"/>
      <c r="R349" s="42"/>
      <c r="S349" s="39"/>
      <c r="T349" s="39"/>
      <c r="U349" s="17"/>
      <c r="Y349" s="17" t="str">
        <f>'101 Catalytic Hydropyrolysis 1'!B13</f>
        <v>Biochar, Output, MWh/MWh Total Input</v>
      </c>
      <c r="Z349" s="43" t="s">
        <v>87</v>
      </c>
    </row>
    <row r="350" spans="3:26" s="43" customFormat="1" ht="15.6">
      <c r="C350" s="17"/>
      <c r="D350" s="32"/>
      <c r="G350" s="43" t="s">
        <v>1764</v>
      </c>
      <c r="H350" s="17"/>
      <c r="I350" s="17"/>
      <c r="J350" s="17"/>
      <c r="K350" s="41"/>
      <c r="L350" s="33">
        <f>'101 Catalytic Hydropyrolysis 1'!$E$14/'101 Catalytic Hydropyrolysis 1'!$E$12</f>
        <v>0.81578947368421051</v>
      </c>
      <c r="M350" s="39"/>
      <c r="N350" s="40"/>
      <c r="O350" s="40"/>
      <c r="P350" s="41"/>
      <c r="Q350" s="41"/>
      <c r="R350" s="42"/>
      <c r="S350" s="39"/>
      <c r="T350" s="39"/>
      <c r="U350" s="17"/>
      <c r="Y350" s="17" t="str">
        <f>'101 Catalytic Hydropyrolysis 1'!B14</f>
        <v>Gas Output, MWh/MWh Total Input</v>
      </c>
      <c r="Z350" s="43" t="s">
        <v>89</v>
      </c>
    </row>
    <row r="351" spans="3:26" s="43" customFormat="1" ht="15.6">
      <c r="C351" s="17"/>
      <c r="D351" s="32"/>
      <c r="G351" s="7" t="s">
        <v>216</v>
      </c>
      <c r="H351" s="17"/>
      <c r="I351" s="17"/>
      <c r="J351" s="17"/>
      <c r="K351" s="41"/>
      <c r="L351" s="33">
        <f>'101 Catalytic Hydropyrolysis 1'!$E$15/'101 Catalytic Hydropyrolysis 1'!$E$12</f>
        <v>0.47368421052631576</v>
      </c>
      <c r="M351" s="39"/>
      <c r="N351" s="40"/>
      <c r="O351" s="40"/>
      <c r="P351" s="41"/>
      <c r="Q351" s="41"/>
      <c r="R351" s="42"/>
      <c r="S351" s="39"/>
      <c r="T351" s="39"/>
      <c r="U351" s="17"/>
      <c r="Y351" s="17" t="str">
        <f>'101 Catalytic Hydropyrolysis 1'!B15</f>
        <v>District Heat MWh/MWh Total Input</v>
      </c>
      <c r="Z351" s="43" t="s">
        <v>90</v>
      </c>
    </row>
    <row r="352" spans="3:26" s="43" customFormat="1" ht="15.6">
      <c r="C352" s="17"/>
      <c r="D352" s="32"/>
      <c r="E352" s="43" t="str">
        <f>E347</f>
        <v>SUPWCH</v>
      </c>
      <c r="F352" s="17" t="str">
        <f>F347</f>
        <v>CRB</v>
      </c>
      <c r="G352" s="17"/>
      <c r="H352" s="17" t="s">
        <v>70</v>
      </c>
      <c r="I352" s="17">
        <v>2030</v>
      </c>
      <c r="J352" s="17"/>
      <c r="K352" s="33">
        <f>(INDEX('101 Catalytic Hydropyrolysis 1'!$D$4:$H$57,MATCH(SUP_Biofuels!W352,'101 Catalytic Hydropyrolysis 1'!$B$4:$B$57,0),MATCH(SUP_Biofuels!$I352,'101 Catalytic Hydropyrolysis 1'!$D$3:$H$3,0)))/INDEX('101 Catalytic Hydropyrolysis 1'!$D$4:$H$57,MATCH(SUP_Biofuels!X352,'101 Catalytic Hydropyrolysis 1'!$B$4:$B$57,0),MATCH(SUP_Biofuels!$I352,'101 Catalytic Hydropyrolysis 1'!$D$3:$H$3,0))/0.77</f>
        <v>2.6315789473684208</v>
      </c>
      <c r="L352" s="33"/>
      <c r="M352" s="34">
        <v>20</v>
      </c>
      <c r="N352" s="35">
        <f>INDEX('101 Catalytic Hydropyrolysis 1'!$D$4:$H$57,MATCH(SUP_Biofuels!N$8,'101 Catalytic Hydropyrolysis 1'!$B$4:$B$57,0),MATCH(SUP_Biofuels!$I352,'101 Catalytic Hydropyrolysis 1'!$D$3:$H$3,0))*7.45</f>
        <v>6.4305263157894732</v>
      </c>
      <c r="O352" s="35">
        <f>INDEX('101 Catalytic Hydropyrolysis 1'!$D$4:$H$57,MATCH(SUP_Biofuels!O$8,'101 Catalytic Hydropyrolysis 1'!$B$4:$B$57,0),MATCH(SUP_Biofuels!$I352,'101 Catalytic Hydropyrolysis 1'!$D$3:$H$3,0))*7.45</f>
        <v>1.2459180019163392</v>
      </c>
      <c r="P352" s="33">
        <f>INDEX('101 Catalytic Hydropyrolysis 1'!$D$4:$H$57,MATCH(SUP_Biofuels!P$8,'101 Catalytic Hydropyrolysis 1'!$B$4:$B$57,0),MATCH(SUP_Biofuels!$I352,'101 Catalytic Hydropyrolysis 1'!$D$3:$H$3,0))*7.45/3.6*SUM(K352:K353)</f>
        <v>61.604354256673233</v>
      </c>
      <c r="Q352" s="33">
        <f>Q338</f>
        <v>0.90230769230769226</v>
      </c>
      <c r="R352" s="36">
        <f>$R$39</f>
        <v>3.1536000000000002E-2</v>
      </c>
      <c r="S352" s="33">
        <f>S338</f>
        <v>2</v>
      </c>
      <c r="T352" s="34">
        <f>-L354</f>
        <v>-32.84210526315789</v>
      </c>
      <c r="U352" s="44"/>
      <c r="V352" s="45"/>
      <c r="W352" s="17" t="str">
        <f>W347</f>
        <v>Feedstock Consumption, MWh/MWh Total Input</v>
      </c>
      <c r="X352" s="43" t="str">
        <f>X347</f>
        <v>Liquid Fuel Output, MWh/MWh Total Input</v>
      </c>
      <c r="Y352" s="17"/>
      <c r="Z352" s="43" t="s">
        <v>91</v>
      </c>
    </row>
    <row r="353" spans="3:25" s="43" customFormat="1">
      <c r="C353" s="17"/>
      <c r="D353" s="17"/>
      <c r="E353" s="43" t="str">
        <f>E348</f>
        <v>SUPH2</v>
      </c>
      <c r="F353" s="17"/>
      <c r="G353" s="17"/>
      <c r="H353" s="17"/>
      <c r="I353" s="17"/>
      <c r="J353" s="17"/>
      <c r="K353" s="33">
        <f>(INDEX('101 Catalytic Hydropyrolysis 1'!$D$4:$H$57,MATCH(SUP_Biofuels!W353,'101 Catalytic Hydropyrolysis 1'!$B$4:$B$57,0),MATCH(SUP_Biofuels!$I352,'101 Catalytic Hydropyrolysis 1'!$D$3:$H$3,0)))/INDEX('101 Catalytic Hydropyrolysis 1'!$D$4:$H$57,MATCH(SUP_Biofuels!X352,'101 Catalytic Hydropyrolysis 1'!$B$4:$B$57,0),MATCH(SUP_Biofuels!$I352,'101 Catalytic Hydropyrolysis 1'!$D$3:$H$3,0))/0.77</f>
        <v>0.7860560492139439</v>
      </c>
      <c r="L353" s="33"/>
      <c r="M353" s="34"/>
      <c r="N353" s="35"/>
      <c r="O353" s="35"/>
      <c r="P353" s="33"/>
      <c r="Q353" s="33"/>
      <c r="R353" s="36"/>
      <c r="S353" s="33"/>
      <c r="T353" s="33"/>
      <c r="U353" s="44"/>
      <c r="V353" s="45"/>
      <c r="W353" s="17" t="str">
        <f>W348</f>
        <v>Hydrogen Consumption, MWh/MWh Total Input</v>
      </c>
      <c r="Y353" s="17"/>
    </row>
    <row r="354" spans="3:25" s="43" customFormat="1" ht="15.6">
      <c r="C354" s="17"/>
      <c r="D354" s="32"/>
      <c r="G354" s="43" t="str">
        <f>G349</f>
        <v>CO2SINK</v>
      </c>
      <c r="H354" s="17"/>
      <c r="I354" s="17"/>
      <c r="J354" s="17"/>
      <c r="K354" s="41"/>
      <c r="L354" s="33">
        <f>'101 Catalytic Hydropyrolysis 1'!$E$13*96*(K352)</f>
        <v>32.84210526315789</v>
      </c>
      <c r="M354" s="65"/>
      <c r="N354" s="40"/>
      <c r="O354" s="40"/>
      <c r="P354" s="41"/>
      <c r="Q354" s="41"/>
      <c r="R354" s="42"/>
      <c r="S354" s="41"/>
      <c r="T354" s="41"/>
      <c r="U354" s="17"/>
      <c r="Y354" s="17" t="str">
        <f>Y349</f>
        <v>Biochar, Output, MWh/MWh Total Input</v>
      </c>
    </row>
    <row r="355" spans="3:25" s="43" customFormat="1" ht="15.6">
      <c r="C355" s="17"/>
      <c r="D355" s="32"/>
      <c r="G355" s="43" t="str">
        <f>G350</f>
        <v>SYN</v>
      </c>
      <c r="H355" s="17"/>
      <c r="I355" s="17"/>
      <c r="J355" s="17"/>
      <c r="K355" s="41"/>
      <c r="L355" s="33">
        <f>L350</f>
        <v>0.81578947368421051</v>
      </c>
      <c r="M355" s="39"/>
      <c r="N355" s="40"/>
      <c r="O355" s="40"/>
      <c r="P355" s="41"/>
      <c r="Q355" s="41"/>
      <c r="R355" s="42"/>
      <c r="S355" s="41"/>
      <c r="T355" s="41"/>
      <c r="U355" s="17"/>
      <c r="Y355" s="17" t="str">
        <f>Y350</f>
        <v>Gas Output, MWh/MWh Total Input</v>
      </c>
    </row>
    <row r="356" spans="3:25" s="43" customFormat="1" ht="15.6">
      <c r="C356" s="17"/>
      <c r="D356" s="32"/>
      <c r="G356" s="43" t="str">
        <f>G351</f>
        <v>HETC</v>
      </c>
      <c r="H356" s="17"/>
      <c r="I356" s="17"/>
      <c r="J356" s="17"/>
      <c r="K356" s="41"/>
      <c r="L356" s="33">
        <f>L351</f>
        <v>0.47368421052631576</v>
      </c>
      <c r="M356" s="39"/>
      <c r="N356" s="40"/>
      <c r="O356" s="40"/>
      <c r="P356" s="41"/>
      <c r="Q356" s="41"/>
      <c r="R356" s="42"/>
      <c r="S356" s="41"/>
      <c r="T356" s="41"/>
      <c r="U356" s="17"/>
      <c r="V356" s="45"/>
      <c r="Y356" s="17" t="str">
        <f>Y351</f>
        <v>District Heat MWh/MWh Total Input</v>
      </c>
    </row>
    <row r="357" spans="3:25" s="43" customFormat="1">
      <c r="C357" s="17"/>
      <c r="D357" s="17"/>
      <c r="E357" s="43" t="str">
        <f>E352</f>
        <v>SUPWCH</v>
      </c>
      <c r="F357" s="17" t="str">
        <f>F352</f>
        <v>CRB</v>
      </c>
      <c r="G357" s="17"/>
      <c r="H357" s="17" t="s">
        <v>70</v>
      </c>
      <c r="I357" s="17">
        <v>2040</v>
      </c>
      <c r="J357" s="17"/>
      <c r="K357" s="33">
        <f>(INDEX('101 Catalytic Hydropyrolysis 1'!$D$4:$H$57,MATCH(SUP_Biofuels!W357,'101 Catalytic Hydropyrolysis 1'!$B$4:$B$57,0),MATCH(SUP_Biofuels!$I357,'101 Catalytic Hydropyrolysis 1'!$D$3:$H$3,0)))/INDEX('101 Catalytic Hydropyrolysis 1'!$D$4:$H$57,MATCH(SUP_Biofuels!X357,'101 Catalytic Hydropyrolysis 1'!$B$4:$B$57,0),MATCH(SUP_Biofuels!$I357,'101 Catalytic Hydropyrolysis 1'!$D$3:$H$3,0))/0.77</f>
        <v>2.6315789473684208</v>
      </c>
      <c r="L357" s="33"/>
      <c r="M357" s="34">
        <v>20</v>
      </c>
      <c r="N357" s="35">
        <f>INDEX('101 Catalytic Hydropyrolysis 1'!$D$4:$H$57,MATCH(SUP_Biofuels!N$8,'101 Catalytic Hydropyrolysis 1'!$B$4:$B$57,0),MATCH(SUP_Biofuels!$I357,'101 Catalytic Hydropyrolysis 1'!$D$3:$H$3,0))*7.45</f>
        <v>4.7052631578947368</v>
      </c>
      <c r="O357" s="35">
        <f>INDEX('101 Catalytic Hydropyrolysis 1'!$D$4:$H$57,MATCH(SUP_Biofuels!O$8,'101 Catalytic Hydropyrolysis 1'!$B$4:$B$57,0),MATCH(SUP_Biofuels!$I357,'101 Catalytic Hydropyrolysis 1'!$D$3:$H$3,0))*7.45</f>
        <v>1.2459180019163392</v>
      </c>
      <c r="P357" s="33">
        <f>INDEX('101 Catalytic Hydropyrolysis 1'!$D$4:$H$57,MATCH(SUP_Biofuels!P$8,'101 Catalytic Hydropyrolysis 1'!$B$4:$B$57,0),MATCH(SUP_Biofuels!$I357,'101 Catalytic Hydropyrolysis 1'!$D$3:$H$3,0))*7.45/3.6*SUM(K357:K358)</f>
        <v>61.604354256673233</v>
      </c>
      <c r="Q357" s="33">
        <f>Q341</f>
        <v>0.92307692307692313</v>
      </c>
      <c r="R357" s="36">
        <f>$R$39</f>
        <v>3.1536000000000002E-2</v>
      </c>
      <c r="S357" s="33">
        <f>S341</f>
        <v>2</v>
      </c>
      <c r="T357" s="34">
        <f>-L359</f>
        <v>-32.84210526315789</v>
      </c>
      <c r="U357" s="44"/>
      <c r="V357" s="45"/>
      <c r="W357" s="17" t="str">
        <f>W352</f>
        <v>Feedstock Consumption, MWh/MWh Total Input</v>
      </c>
      <c r="X357" s="43" t="str">
        <f>X352</f>
        <v>Liquid Fuel Output, MWh/MWh Total Input</v>
      </c>
      <c r="Y357" s="17"/>
    </row>
    <row r="358" spans="3:25" s="43" customFormat="1" ht="15.6">
      <c r="C358" s="17"/>
      <c r="D358" s="32"/>
      <c r="E358" s="43" t="str">
        <f>E353</f>
        <v>SUPH2</v>
      </c>
      <c r="F358" s="17"/>
      <c r="G358" s="17"/>
      <c r="H358" s="17"/>
      <c r="I358" s="17"/>
      <c r="J358" s="17"/>
      <c r="K358" s="33">
        <f>(INDEX('101 Catalytic Hydropyrolysis 1'!$D$4:$H$57,MATCH(SUP_Biofuels!W358,'101 Catalytic Hydropyrolysis 1'!$B$4:$B$57,0),MATCH(SUP_Biofuels!$I357,'101 Catalytic Hydropyrolysis 1'!$D$3:$H$3,0)))/INDEX('101 Catalytic Hydropyrolysis 1'!$D$4:$H$57,MATCH(SUP_Biofuels!X357,'101 Catalytic Hydropyrolysis 1'!$B$4:$B$57,0),MATCH(SUP_Biofuels!$I357,'101 Catalytic Hydropyrolysis 1'!$D$3:$H$3,0))/0.77</f>
        <v>0.7860560492139439</v>
      </c>
      <c r="L358" s="33"/>
      <c r="M358" s="34"/>
      <c r="N358" s="35"/>
      <c r="O358" s="35"/>
      <c r="P358" s="33"/>
      <c r="Q358" s="33"/>
      <c r="R358" s="36"/>
      <c r="S358" s="33"/>
      <c r="T358" s="33"/>
      <c r="U358" s="44"/>
      <c r="W358" s="17" t="str">
        <f>W353</f>
        <v>Hydrogen Consumption, MWh/MWh Total Input</v>
      </c>
      <c r="Y358" s="17"/>
    </row>
    <row r="359" spans="3:25" s="43" customFormat="1" ht="15.6">
      <c r="C359" s="17"/>
      <c r="D359" s="32"/>
      <c r="G359" s="43" t="str">
        <f>G354</f>
        <v>CO2SINK</v>
      </c>
      <c r="H359" s="17"/>
      <c r="I359" s="17"/>
      <c r="J359" s="17"/>
      <c r="K359" s="41"/>
      <c r="L359" s="33">
        <f>'101 Catalytic Hydropyrolysis 1'!$E$13*96*(K357)</f>
        <v>32.84210526315789</v>
      </c>
      <c r="M359" s="65"/>
      <c r="N359" s="40"/>
      <c r="O359" s="40"/>
      <c r="P359" s="41"/>
      <c r="Q359" s="41"/>
      <c r="R359" s="42"/>
      <c r="S359" s="41"/>
      <c r="T359" s="41"/>
      <c r="U359" s="17"/>
      <c r="Y359" s="17" t="str">
        <f>Y354</f>
        <v>Biochar, Output, MWh/MWh Total Input</v>
      </c>
    </row>
    <row r="360" spans="3:25" s="43" customFormat="1" ht="15.6">
      <c r="C360" s="17"/>
      <c r="D360" s="32"/>
      <c r="G360" s="43" t="str">
        <f>G355</f>
        <v>SYN</v>
      </c>
      <c r="H360" s="17"/>
      <c r="I360" s="17"/>
      <c r="J360" s="17"/>
      <c r="K360" s="41"/>
      <c r="L360" s="33">
        <f>L355</f>
        <v>0.81578947368421051</v>
      </c>
      <c r="M360" s="39"/>
      <c r="N360" s="40"/>
      <c r="O360" s="40"/>
      <c r="P360" s="41"/>
      <c r="Q360" s="41"/>
      <c r="R360" s="42"/>
      <c r="S360" s="41"/>
      <c r="T360" s="41"/>
      <c r="U360" s="17"/>
      <c r="V360" s="45"/>
      <c r="Y360" s="17" t="str">
        <f>Y355</f>
        <v>Gas Output, MWh/MWh Total Input</v>
      </c>
    </row>
    <row r="361" spans="3:25" s="43" customFormat="1">
      <c r="C361" s="17"/>
      <c r="D361" s="17"/>
      <c r="G361" s="43" t="str">
        <f>G356</f>
        <v>HETC</v>
      </c>
      <c r="H361" s="17"/>
      <c r="I361" s="17"/>
      <c r="J361" s="17"/>
      <c r="K361" s="41"/>
      <c r="L361" s="33">
        <f>L356</f>
        <v>0.47368421052631576</v>
      </c>
      <c r="M361" s="39"/>
      <c r="N361" s="40"/>
      <c r="O361" s="40"/>
      <c r="P361" s="41"/>
      <c r="Q361" s="41"/>
      <c r="R361" s="42"/>
      <c r="S361" s="41"/>
      <c r="T361" s="41"/>
      <c r="U361" s="17"/>
      <c r="V361" s="45"/>
      <c r="Y361" s="17" t="str">
        <f>Y356</f>
        <v>District Heat MWh/MWh Total Input</v>
      </c>
    </row>
    <row r="362" spans="3:25" s="43" customFormat="1" ht="15.6">
      <c r="C362" s="17"/>
      <c r="D362" s="32"/>
      <c r="E362" s="43" t="str">
        <f>E357</f>
        <v>SUPWCH</v>
      </c>
      <c r="F362" s="17" t="str">
        <f>F357</f>
        <v>CRB</v>
      </c>
      <c r="G362" s="17"/>
      <c r="H362" s="17" t="s">
        <v>70</v>
      </c>
      <c r="I362" s="17">
        <v>2050</v>
      </c>
      <c r="J362" s="17"/>
      <c r="K362" s="33">
        <f>(INDEX('101 Catalytic Hydropyrolysis 1'!$D$4:$H$57,MATCH(SUP_Biofuels!W362,'101 Catalytic Hydropyrolysis 1'!$B$4:$B$57,0),MATCH(SUP_Biofuels!$I362,'101 Catalytic Hydropyrolysis 1'!$D$3:$H$3,0)))/INDEX('101 Catalytic Hydropyrolysis 1'!$D$4:$H$57,MATCH(SUP_Biofuels!X362,'101 Catalytic Hydropyrolysis 1'!$B$4:$B$57,0),MATCH(SUP_Biofuels!$I362,'101 Catalytic Hydropyrolysis 1'!$D$3:$H$3,0))/0.77</f>
        <v>2.6315789473684208</v>
      </c>
      <c r="L362" s="33"/>
      <c r="M362" s="34">
        <v>20</v>
      </c>
      <c r="N362" s="35">
        <f>INDEX('101 Catalytic Hydropyrolysis 1'!$D$4:$H$57,MATCH(SUP_Biofuels!N$8,'101 Catalytic Hydropyrolysis 1'!$B$4:$B$57,0),MATCH(SUP_Biofuels!$I362,'101 Catalytic Hydropyrolysis 1'!$D$3:$H$3,0))*7.45</f>
        <v>3.8164912280701748</v>
      </c>
      <c r="O362" s="35">
        <f>INDEX('101 Catalytic Hydropyrolysis 1'!$D$4:$H$57,MATCH(SUP_Biofuels!O$8,'101 Catalytic Hydropyrolysis 1'!$B$4:$B$57,0),MATCH(SUP_Biofuels!$I362,'101 Catalytic Hydropyrolysis 1'!$D$3:$H$3,0))*7.45</f>
        <v>1.2459180019163392</v>
      </c>
      <c r="P362" s="33">
        <f>INDEX('101 Catalytic Hydropyrolysis 1'!$D$4:$H$57,MATCH(SUP_Biofuels!P$8,'101 Catalytic Hydropyrolysis 1'!$B$4:$B$57,0),MATCH(SUP_Biofuels!$I362,'101 Catalytic Hydropyrolysis 1'!$D$3:$H$3,0))*7.45/3.6*SUM(K362:K363)</f>
        <v>61.604354256673233</v>
      </c>
      <c r="Q362" s="33">
        <f>Q344</f>
        <v>0.90384615384615385</v>
      </c>
      <c r="R362" s="36">
        <f>$R$39</f>
        <v>3.1536000000000002E-2</v>
      </c>
      <c r="S362" s="33">
        <f>S344</f>
        <v>2</v>
      </c>
      <c r="T362" s="34">
        <f>-L364</f>
        <v>-32.84210526315789</v>
      </c>
      <c r="U362" s="44"/>
      <c r="W362" s="17" t="str">
        <f>W357</f>
        <v>Feedstock Consumption, MWh/MWh Total Input</v>
      </c>
      <c r="X362" s="43" t="str">
        <f>X357</f>
        <v>Liquid Fuel Output, MWh/MWh Total Input</v>
      </c>
      <c r="Y362" s="17"/>
    </row>
    <row r="363" spans="3:25" s="43" customFormat="1" ht="15.6">
      <c r="C363" s="17"/>
      <c r="D363" s="32"/>
      <c r="E363" s="43" t="str">
        <f>E358</f>
        <v>SUPH2</v>
      </c>
      <c r="F363" s="17"/>
      <c r="G363" s="17"/>
      <c r="H363" s="17"/>
      <c r="I363" s="17"/>
      <c r="J363" s="17"/>
      <c r="K363" s="33">
        <f>(INDEX('101 Catalytic Hydropyrolysis 1'!$D$4:$H$57,MATCH(SUP_Biofuels!W363,'101 Catalytic Hydropyrolysis 1'!$B$4:$B$57,0),MATCH(SUP_Biofuels!$I362,'101 Catalytic Hydropyrolysis 1'!$D$3:$H$3,0)))/INDEX('101 Catalytic Hydropyrolysis 1'!$D$4:$H$57,MATCH(SUP_Biofuels!X362,'101 Catalytic Hydropyrolysis 1'!$B$4:$B$57,0),MATCH(SUP_Biofuels!$I362,'101 Catalytic Hydropyrolysis 1'!$D$3:$H$3,0))/0.77</f>
        <v>0.7860560492139439</v>
      </c>
      <c r="L363" s="33"/>
      <c r="M363" s="34"/>
      <c r="N363" s="35"/>
      <c r="O363" s="35"/>
      <c r="P363" s="35"/>
      <c r="Q363" s="33"/>
      <c r="R363" s="36"/>
      <c r="S363" s="34"/>
      <c r="T363" s="34"/>
      <c r="U363" s="44"/>
      <c r="W363" s="17" t="str">
        <f>W358</f>
        <v>Hydrogen Consumption, MWh/MWh Total Input</v>
      </c>
      <c r="Y363" s="17"/>
    </row>
    <row r="364" spans="3:25">
      <c r="E364" s="43"/>
      <c r="F364" s="43"/>
      <c r="G364" s="43" t="str">
        <f>G359</f>
        <v>CO2SINK</v>
      </c>
      <c r="H364" s="17"/>
      <c r="I364" s="17"/>
      <c r="J364" s="17"/>
      <c r="K364" s="41"/>
      <c r="L364" s="33">
        <f>'101 Catalytic Hydropyrolysis 1'!$E$13*96*(K362)</f>
        <v>32.84210526315789</v>
      </c>
      <c r="M364" s="65"/>
      <c r="N364" s="40"/>
      <c r="O364" s="40"/>
      <c r="P364" s="40"/>
      <c r="Q364" s="41"/>
      <c r="R364" s="42"/>
      <c r="S364" s="39"/>
      <c r="T364" s="39"/>
      <c r="U364" s="17"/>
      <c r="W364" s="43"/>
      <c r="X364" s="43"/>
      <c r="Y364" s="17" t="str">
        <f>Y359</f>
        <v>Biochar, Output, MWh/MWh Total Input</v>
      </c>
    </row>
    <row r="365" spans="3:25">
      <c r="E365" s="43"/>
      <c r="F365" s="43"/>
      <c r="G365" s="43" t="str">
        <f>G360</f>
        <v>SYN</v>
      </c>
      <c r="H365" s="17"/>
      <c r="I365" s="17"/>
      <c r="J365" s="17"/>
      <c r="K365" s="41"/>
      <c r="L365" s="33">
        <f>L360</f>
        <v>0.81578947368421051</v>
      </c>
      <c r="M365" s="39"/>
      <c r="N365" s="40"/>
      <c r="O365" s="40"/>
      <c r="P365" s="40"/>
      <c r="Q365" s="41"/>
      <c r="R365" s="42"/>
      <c r="S365" s="39"/>
      <c r="T365" s="39"/>
      <c r="U365" s="17"/>
      <c r="W365" s="43"/>
      <c r="X365" s="43"/>
      <c r="Y365" s="17" t="str">
        <f>Y360</f>
        <v>Gas Output, MWh/MWh Total Input</v>
      </c>
    </row>
    <row r="366" spans="3:25" ht="15" thickBot="1">
      <c r="C366" s="55"/>
      <c r="D366" s="55"/>
      <c r="E366" s="46"/>
      <c r="F366" s="46"/>
      <c r="G366" s="46" t="str">
        <f>G361</f>
        <v>HETC</v>
      </c>
      <c r="H366" s="47"/>
      <c r="I366" s="47"/>
      <c r="J366" s="47"/>
      <c r="K366" s="59"/>
      <c r="L366" s="33">
        <f>L361</f>
        <v>0.47368421052631576</v>
      </c>
      <c r="M366" s="67"/>
      <c r="N366" s="49"/>
      <c r="O366" s="49"/>
      <c r="P366" s="49"/>
      <c r="Q366" s="59"/>
      <c r="R366" s="68"/>
      <c r="S366" s="67"/>
      <c r="T366" s="67"/>
      <c r="U366" s="47"/>
      <c r="V366" s="55"/>
      <c r="W366" s="46"/>
      <c r="X366" s="46"/>
      <c r="Y366" s="47" t="str">
        <f>Y361</f>
        <v>District Heat MWh/MWh Total Input</v>
      </c>
    </row>
    <row r="367" spans="3:25" ht="15.6">
      <c r="C367" s="17"/>
      <c r="D367" s="32"/>
      <c r="E367" s="17"/>
      <c r="F367" s="17"/>
      <c r="G367" s="17"/>
      <c r="H367" s="17"/>
      <c r="I367" s="17"/>
      <c r="J367" s="19"/>
      <c r="K367" s="33"/>
      <c r="L367" s="33"/>
      <c r="M367" s="33"/>
      <c r="N367" s="33"/>
      <c r="O367" s="33"/>
      <c r="P367" s="33"/>
      <c r="Q367" s="33"/>
      <c r="R367" s="33"/>
      <c r="S367" s="33"/>
      <c r="T367" s="33"/>
      <c r="U367" s="44"/>
      <c r="V367" s="45"/>
      <c r="W367" s="17"/>
      <c r="X367" s="43"/>
      <c r="Y367" s="17"/>
    </row>
    <row r="368" spans="3:25">
      <c r="C368" s="43"/>
      <c r="D368" s="43"/>
      <c r="E368" s="17"/>
      <c r="F368" s="17"/>
      <c r="G368" s="17"/>
      <c r="H368" s="17"/>
      <c r="I368" s="17"/>
      <c r="J368" s="17"/>
      <c r="K368" s="33"/>
      <c r="L368" s="33"/>
      <c r="M368" s="34"/>
      <c r="N368" s="35"/>
      <c r="O368" s="35"/>
      <c r="P368" s="33"/>
      <c r="Q368" s="33"/>
      <c r="R368" s="36"/>
      <c r="S368" s="34"/>
      <c r="T368" s="34"/>
      <c r="U368" s="44"/>
      <c r="V368" s="45"/>
      <c r="W368" s="17"/>
      <c r="X368" s="43"/>
      <c r="Y368" s="17"/>
    </row>
    <row r="369" spans="3:26" ht="15.6">
      <c r="C369" s="17"/>
      <c r="D369" s="32"/>
      <c r="E369" s="43"/>
      <c r="F369" s="43"/>
      <c r="G369" s="43"/>
      <c r="H369" s="17"/>
      <c r="I369" s="17"/>
      <c r="J369" s="17"/>
      <c r="K369" s="41"/>
      <c r="L369" s="33"/>
      <c r="M369" s="65"/>
      <c r="N369" s="40"/>
      <c r="O369" s="40"/>
      <c r="P369" s="41"/>
      <c r="Q369" s="41"/>
      <c r="R369" s="42"/>
      <c r="S369" s="39"/>
      <c r="T369" s="39"/>
      <c r="U369" s="17"/>
      <c r="V369" s="43"/>
      <c r="W369" s="43"/>
      <c r="X369" s="43"/>
      <c r="Y369" s="17"/>
    </row>
    <row r="370" spans="3:26" ht="15.6">
      <c r="C370" s="17"/>
      <c r="D370" s="32"/>
      <c r="E370" s="43"/>
      <c r="F370" s="43"/>
      <c r="G370" s="43"/>
      <c r="H370" s="17"/>
      <c r="I370" s="17"/>
      <c r="J370" s="17"/>
      <c r="K370" s="41"/>
      <c r="L370" s="33"/>
      <c r="M370" s="39"/>
      <c r="N370" s="40"/>
      <c r="O370" s="40"/>
      <c r="P370" s="41"/>
      <c r="Q370" s="41"/>
      <c r="R370" s="42"/>
      <c r="S370" s="39"/>
      <c r="T370" s="39"/>
      <c r="U370" s="17"/>
      <c r="V370" s="43"/>
      <c r="W370" s="43"/>
      <c r="X370" s="43"/>
      <c r="Y370" s="17"/>
    </row>
    <row r="371" spans="3:26" ht="15.6">
      <c r="C371" s="1254" t="s">
        <v>1765</v>
      </c>
      <c r="D371" s="32"/>
      <c r="E371" s="43"/>
      <c r="F371" s="43"/>
      <c r="G371" s="7"/>
      <c r="H371" s="17"/>
      <c r="I371" s="17"/>
      <c r="J371" s="17"/>
      <c r="K371" s="41"/>
      <c r="L371" s="33"/>
      <c r="M371" s="39"/>
      <c r="N371" s="40"/>
      <c r="O371" s="40"/>
      <c r="P371" s="41"/>
      <c r="Q371" s="41"/>
      <c r="R371" s="42"/>
      <c r="S371" s="39"/>
      <c r="T371" s="39"/>
      <c r="U371" s="17"/>
      <c r="V371" s="43"/>
      <c r="W371" s="43"/>
      <c r="X371" s="43"/>
      <c r="Y371" s="17"/>
    </row>
    <row r="372" spans="3:26" ht="15.6">
      <c r="C372" s="17"/>
      <c r="D372" s="32"/>
      <c r="E372" s="43"/>
      <c r="F372" s="17"/>
      <c r="G372" s="17"/>
      <c r="H372" s="17"/>
      <c r="I372" s="17"/>
      <c r="J372" s="17"/>
      <c r="K372" s="33"/>
      <c r="L372" s="33"/>
      <c r="M372" s="33"/>
      <c r="N372" s="33"/>
      <c r="O372" s="33"/>
      <c r="P372" s="33"/>
      <c r="Q372" s="33"/>
      <c r="R372" s="33"/>
      <c r="S372" s="33"/>
      <c r="T372" s="33"/>
      <c r="U372" s="44"/>
      <c r="V372" s="45"/>
      <c r="W372" s="17"/>
      <c r="X372" s="43"/>
      <c r="Y372" s="17"/>
    </row>
    <row r="373" spans="3:26">
      <c r="C373" s="17"/>
      <c r="D373" s="17"/>
      <c r="E373" s="43"/>
      <c r="F373" s="17"/>
      <c r="G373" s="17"/>
      <c r="H373" s="17"/>
      <c r="I373" s="17"/>
      <c r="J373" s="17"/>
      <c r="K373" s="33"/>
      <c r="L373" s="33"/>
      <c r="M373" s="34"/>
      <c r="N373" s="35"/>
      <c r="O373" s="35"/>
      <c r="P373" s="33"/>
      <c r="Q373" s="33"/>
      <c r="R373" s="36"/>
      <c r="S373" s="34"/>
      <c r="T373" s="34"/>
      <c r="U373" s="44"/>
      <c r="V373" s="45"/>
      <c r="W373" s="17"/>
      <c r="X373" s="43"/>
      <c r="Y373" s="17"/>
    </row>
    <row r="374" spans="3:26" ht="15.6">
      <c r="C374" s="17"/>
      <c r="D374" s="32"/>
      <c r="E374" s="43"/>
      <c r="F374" s="43"/>
      <c r="G374" s="43"/>
      <c r="H374" s="17"/>
      <c r="I374" s="17"/>
      <c r="J374" s="17"/>
      <c r="K374" s="41"/>
      <c r="L374" s="33"/>
      <c r="M374" s="65"/>
      <c r="N374" s="40"/>
      <c r="O374" s="40"/>
      <c r="P374" s="41"/>
      <c r="Q374" s="41"/>
      <c r="R374" s="42"/>
      <c r="S374" s="39"/>
      <c r="T374" s="39"/>
      <c r="U374" s="17"/>
      <c r="V374" s="43"/>
      <c r="W374" s="43"/>
      <c r="X374" s="43"/>
      <c r="Y374" s="17"/>
    </row>
    <row r="375" spans="3:26" ht="15.6">
      <c r="C375" s="17"/>
      <c r="D375" s="32"/>
      <c r="E375" s="43"/>
      <c r="F375" s="43"/>
      <c r="G375" s="43"/>
      <c r="H375" s="17"/>
      <c r="I375" s="17"/>
      <c r="J375" s="17"/>
      <c r="K375" s="41"/>
      <c r="L375" s="33"/>
      <c r="M375" s="39"/>
      <c r="N375" s="40"/>
      <c r="O375" s="40"/>
      <c r="P375" s="41"/>
      <c r="Q375" s="41"/>
      <c r="R375" s="42"/>
      <c r="S375" s="39"/>
      <c r="T375" s="39"/>
      <c r="U375" s="17"/>
      <c r="V375" s="43"/>
      <c r="W375" s="43"/>
      <c r="X375" s="43"/>
      <c r="Y375" s="17"/>
    </row>
    <row r="376" spans="3:26" ht="15.6">
      <c r="C376" s="17"/>
      <c r="D376" s="32"/>
      <c r="E376" s="43"/>
      <c r="F376" s="43"/>
      <c r="G376" s="43"/>
      <c r="H376" s="17"/>
      <c r="I376" s="17"/>
      <c r="J376" s="17"/>
      <c r="K376" s="41"/>
      <c r="L376" s="33"/>
      <c r="M376" s="39"/>
      <c r="N376" s="40"/>
      <c r="O376" s="40"/>
      <c r="P376" s="41"/>
      <c r="Q376" s="41"/>
      <c r="R376" s="42"/>
      <c r="S376" s="39"/>
      <c r="T376" s="39"/>
      <c r="U376" s="17"/>
      <c r="V376" s="45"/>
      <c r="W376" s="43"/>
      <c r="X376" s="43"/>
      <c r="Y376" s="17"/>
    </row>
    <row r="377" spans="3:26">
      <c r="C377" s="17"/>
      <c r="D377" s="17"/>
      <c r="E377" s="43"/>
      <c r="F377" s="17"/>
      <c r="G377" s="17"/>
      <c r="H377" s="17"/>
      <c r="I377" s="17"/>
      <c r="J377" s="17"/>
      <c r="K377" s="33"/>
      <c r="L377" s="33"/>
      <c r="M377" s="33"/>
      <c r="N377" s="33"/>
      <c r="O377" s="33"/>
      <c r="P377" s="33"/>
      <c r="Q377" s="33"/>
      <c r="R377" s="33"/>
      <c r="S377" s="33"/>
      <c r="T377" s="33"/>
      <c r="U377" s="44"/>
      <c r="V377" s="45"/>
      <c r="W377" s="17"/>
      <c r="X377" s="43"/>
      <c r="Y377" s="17"/>
    </row>
    <row r="378" spans="3:26" ht="15.6">
      <c r="C378" s="17"/>
      <c r="D378" s="32"/>
      <c r="E378" s="43"/>
      <c r="F378" s="17"/>
      <c r="G378" s="17"/>
      <c r="H378" s="17"/>
      <c r="I378" s="17"/>
      <c r="J378" s="17"/>
      <c r="K378" s="33"/>
      <c r="L378" s="33"/>
      <c r="M378" s="34"/>
      <c r="N378" s="35"/>
      <c r="O378" s="35"/>
      <c r="P378" s="33"/>
      <c r="Q378" s="33"/>
      <c r="R378" s="36"/>
      <c r="S378" s="34"/>
      <c r="T378" s="34"/>
      <c r="U378" s="44"/>
      <c r="V378" s="43"/>
      <c r="W378" s="17"/>
      <c r="X378" s="43"/>
      <c r="Y378" s="17"/>
    </row>
    <row r="379" spans="3:26" ht="15.6">
      <c r="C379" s="17"/>
      <c r="D379" s="32"/>
      <c r="E379" s="43"/>
      <c r="F379" s="43"/>
      <c r="G379" s="43"/>
      <c r="H379" s="17"/>
      <c r="I379" s="17"/>
      <c r="J379" s="17"/>
      <c r="K379" s="41"/>
      <c r="L379" s="33"/>
      <c r="M379" s="65"/>
      <c r="N379" s="40"/>
      <c r="O379" s="40"/>
      <c r="P379" s="41"/>
      <c r="Q379" s="41"/>
      <c r="R379" s="42"/>
      <c r="S379" s="39"/>
      <c r="T379" s="39"/>
      <c r="U379" s="17"/>
      <c r="V379" s="43"/>
      <c r="W379" s="43"/>
      <c r="X379" s="43"/>
      <c r="Y379" s="17"/>
    </row>
    <row r="380" spans="3:26" ht="15.6">
      <c r="C380" s="17"/>
      <c r="D380" s="32"/>
      <c r="E380" s="43"/>
      <c r="F380" s="43"/>
      <c r="G380" s="43"/>
      <c r="H380" s="17"/>
      <c r="I380" s="17"/>
      <c r="J380" s="17"/>
      <c r="K380" s="41"/>
      <c r="L380" s="33"/>
      <c r="M380" s="39"/>
      <c r="N380" s="40"/>
      <c r="O380" s="40"/>
      <c r="P380" s="41"/>
      <c r="Q380" s="41"/>
      <c r="R380" s="42"/>
      <c r="S380" s="39"/>
      <c r="T380" s="39"/>
      <c r="U380" s="17"/>
      <c r="V380" s="45"/>
      <c r="W380" s="43"/>
      <c r="X380" s="43"/>
      <c r="Y380" s="17"/>
    </row>
    <row r="381" spans="3:26">
      <c r="C381" s="17"/>
      <c r="D381" s="17"/>
      <c r="E381" s="43"/>
      <c r="F381" s="43"/>
      <c r="G381" s="43"/>
      <c r="H381" s="17"/>
      <c r="I381" s="17"/>
      <c r="J381" s="17"/>
      <c r="K381" s="41"/>
      <c r="L381" s="33"/>
      <c r="M381" s="39"/>
      <c r="N381" s="40"/>
      <c r="O381" s="40"/>
      <c r="P381" s="41"/>
      <c r="Q381" s="41"/>
      <c r="R381" s="42"/>
      <c r="S381" s="39"/>
      <c r="T381" s="39"/>
      <c r="U381" s="17"/>
      <c r="V381" s="45"/>
      <c r="W381" s="43"/>
      <c r="X381" s="43"/>
      <c r="Y381" s="17"/>
    </row>
    <row r="382" spans="3:26" ht="16.2" thickBot="1">
      <c r="C382" s="17"/>
      <c r="D382" s="32"/>
      <c r="E382" s="43"/>
      <c r="F382" s="17"/>
      <c r="G382" s="17"/>
      <c r="H382" s="17"/>
      <c r="I382" s="17"/>
      <c r="J382" s="17"/>
      <c r="K382" s="33"/>
      <c r="L382" s="33"/>
      <c r="M382" s="33"/>
      <c r="N382" s="33"/>
      <c r="O382" s="33"/>
      <c r="P382" s="33"/>
      <c r="Q382" s="33"/>
      <c r="R382" s="33"/>
      <c r="S382" s="33"/>
      <c r="T382" s="33"/>
      <c r="U382" s="44"/>
      <c r="V382" s="43"/>
      <c r="W382" s="17"/>
      <c r="X382" s="43"/>
      <c r="Y382" s="17"/>
      <c r="Z382" s="55"/>
    </row>
    <row r="383" spans="3:26" ht="15.6">
      <c r="C383" s="17"/>
      <c r="D383" s="32"/>
      <c r="E383" s="43"/>
      <c r="F383" s="17"/>
      <c r="G383" s="17"/>
      <c r="H383" s="17"/>
      <c r="I383" s="17"/>
      <c r="J383" s="17"/>
      <c r="K383" s="33"/>
      <c r="L383" s="33"/>
      <c r="M383" s="34"/>
      <c r="N383" s="35"/>
      <c r="O383" s="35"/>
      <c r="P383" s="33"/>
      <c r="Q383" s="33"/>
      <c r="R383" s="36"/>
      <c r="S383" s="34"/>
      <c r="T383" s="34"/>
      <c r="U383" s="44"/>
      <c r="V383" s="43"/>
      <c r="W383" s="17"/>
      <c r="X383" s="43"/>
      <c r="Y383" s="17"/>
    </row>
    <row r="384" spans="3:26">
      <c r="E384" s="43"/>
      <c r="F384" s="43"/>
      <c r="G384" s="43"/>
      <c r="H384" s="17"/>
      <c r="I384" s="17"/>
      <c r="J384" s="17"/>
      <c r="K384" s="41"/>
      <c r="L384" s="33"/>
      <c r="M384" s="65"/>
      <c r="N384" s="40"/>
      <c r="O384" s="40"/>
      <c r="P384" s="41"/>
      <c r="Q384" s="41"/>
      <c r="R384" s="42"/>
      <c r="S384" s="39"/>
      <c r="T384" s="39"/>
      <c r="U384" s="17"/>
      <c r="W384" s="43"/>
      <c r="X384" s="43"/>
      <c r="Y384" s="17"/>
    </row>
    <row r="385" spans="1:25">
      <c r="C385" s="1007"/>
      <c r="D385" s="1007"/>
      <c r="E385" s="1244"/>
      <c r="F385" s="1244"/>
      <c r="G385" s="1244"/>
      <c r="H385" s="1249"/>
      <c r="I385" s="1249"/>
      <c r="J385" s="1249"/>
      <c r="K385" s="1255"/>
      <c r="L385" s="1250"/>
      <c r="M385" s="39"/>
      <c r="N385" s="40"/>
      <c r="O385" s="40"/>
      <c r="P385" s="41"/>
      <c r="Q385" s="41"/>
      <c r="R385" s="42"/>
      <c r="S385" s="39"/>
      <c r="T385" s="39"/>
      <c r="U385" s="17"/>
      <c r="W385" s="43"/>
      <c r="X385" s="43"/>
      <c r="Y385" s="17"/>
    </row>
    <row r="386" spans="1:25" ht="15" thickBot="1">
      <c r="C386" s="1007"/>
      <c r="D386" s="1007"/>
      <c r="E386" s="1244"/>
      <c r="F386" s="1244"/>
      <c r="G386" s="1244"/>
      <c r="H386" s="1249"/>
      <c r="I386" s="1249"/>
      <c r="J386" s="1249"/>
      <c r="K386" s="1255"/>
      <c r="L386" s="1250"/>
      <c r="M386" s="39"/>
      <c r="N386" s="40"/>
      <c r="O386" s="40"/>
      <c r="P386" s="41"/>
      <c r="Q386" s="41"/>
      <c r="R386" s="42"/>
      <c r="S386" s="39"/>
      <c r="T386" s="39"/>
      <c r="U386" s="47"/>
      <c r="V386" s="55"/>
      <c r="W386" s="46"/>
      <c r="X386" s="46"/>
      <c r="Y386" s="47"/>
    </row>
    <row r="387" spans="1:25">
      <c r="C387" s="1007"/>
      <c r="D387" s="1007"/>
      <c r="E387" s="1007"/>
      <c r="F387" s="1007"/>
      <c r="G387" s="1007"/>
      <c r="H387" s="1007"/>
      <c r="I387" s="1007"/>
      <c r="J387" s="1007"/>
      <c r="K387" s="1007"/>
      <c r="L387" s="1007"/>
    </row>
    <row r="388" spans="1:25">
      <c r="C388" s="1007"/>
      <c r="D388" s="1007"/>
      <c r="E388" s="1007"/>
      <c r="F388" s="1007"/>
      <c r="G388" s="1007"/>
      <c r="H388" s="1007"/>
      <c r="I388" s="1007"/>
      <c r="J388" s="1007"/>
      <c r="K388" s="1007"/>
      <c r="L388" s="1007"/>
    </row>
    <row r="389" spans="1:25">
      <c r="C389" s="1007"/>
      <c r="D389" s="1007"/>
      <c r="E389" s="1007"/>
      <c r="F389" s="1007"/>
      <c r="G389" s="1007"/>
      <c r="H389" s="1007"/>
      <c r="I389" s="1007"/>
      <c r="J389" s="1007"/>
      <c r="K389" s="1007"/>
      <c r="L389" s="1007"/>
    </row>
    <row r="390" spans="1:25">
      <c r="C390" s="1007"/>
      <c r="D390" s="1007"/>
      <c r="E390" s="1007"/>
      <c r="F390" s="1007"/>
      <c r="G390" s="1007"/>
      <c r="H390" s="1007"/>
      <c r="I390" s="1007"/>
      <c r="J390" s="1007"/>
      <c r="K390" s="1007"/>
      <c r="L390" s="1007"/>
    </row>
    <row r="391" spans="1:25">
      <c r="C391" s="1007"/>
      <c r="D391" s="1007"/>
      <c r="E391" s="1007"/>
      <c r="F391" s="1007"/>
      <c r="G391" s="1007"/>
      <c r="H391" s="1007"/>
      <c r="I391" s="1007"/>
      <c r="J391" s="1007"/>
      <c r="K391" s="1007"/>
      <c r="L391" s="1007"/>
    </row>
    <row r="392" spans="1:25">
      <c r="C392" s="1007"/>
      <c r="D392" s="1007"/>
      <c r="E392" s="1007"/>
      <c r="F392" s="1007"/>
      <c r="G392" s="1007"/>
      <c r="H392" s="1007"/>
      <c r="I392" s="1007"/>
      <c r="J392" s="1007"/>
      <c r="K392" s="1007"/>
      <c r="L392" s="1007"/>
    </row>
    <row r="393" spans="1:25">
      <c r="C393" s="1007"/>
      <c r="D393" s="1007"/>
      <c r="E393" s="1007"/>
      <c r="F393" s="1007"/>
      <c r="G393" s="1007"/>
      <c r="H393" s="1007"/>
      <c r="I393" s="1007"/>
      <c r="J393" s="1007"/>
      <c r="K393" s="1007"/>
      <c r="L393" s="1007"/>
    </row>
    <row r="395" spans="1:25" ht="25.8">
      <c r="A395" s="1057"/>
    </row>
  </sheetData>
  <hyperlinks>
    <hyperlink ref="V298" r:id="rId1" xr:uid="{BDCDAC86-0398-44E8-9C2F-6926F79FE161}"/>
  </hyperlinks>
  <pageMargins left="0.7" right="0.7" top="0.75" bottom="0.75" header="0.3" footer="0.3"/>
  <pageSetup paperSize="0" orientation="portrait" horizontalDpi="0" verticalDpi="0" copie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B31F0-DD1D-45EE-A7B1-C9A8B3EDA9D5}">
  <sheetPr>
    <tabColor theme="6" tint="0.39997558519241921"/>
  </sheetPr>
  <dimension ref="B1:AJ84"/>
  <sheetViews>
    <sheetView zoomScale="70" zoomScaleNormal="70" workbookViewId="0">
      <selection activeCell="L79" sqref="L79"/>
    </sheetView>
  </sheetViews>
  <sheetFormatPr defaultColWidth="9.109375" defaultRowHeight="13.2"/>
  <cols>
    <col min="1" max="1" width="9.109375" style="69"/>
    <col min="2" max="2" width="27.33203125" style="69" bestFit="1" customWidth="1"/>
    <col min="3" max="3" width="40.33203125" style="69" bestFit="1" customWidth="1"/>
    <col min="4" max="4" width="11.44140625" style="69" bestFit="1" customWidth="1"/>
    <col min="5" max="5" width="13.88671875" style="69" bestFit="1" customWidth="1"/>
    <col min="6" max="6" width="12.6640625" style="69" bestFit="1" customWidth="1"/>
    <col min="7" max="7" width="16.33203125" style="69" bestFit="1" customWidth="1"/>
    <col min="8" max="8" width="9.109375" style="69"/>
    <col min="9" max="9" width="11.6640625" style="69" bestFit="1" customWidth="1"/>
    <col min="10" max="11" width="11.33203125" style="69" customWidth="1"/>
    <col min="12" max="12" width="13" style="69" customWidth="1"/>
    <col min="13" max="13" width="11.6640625" style="69" customWidth="1"/>
    <col min="14" max="14" width="12.6640625" style="69" bestFit="1" customWidth="1"/>
    <col min="15" max="15" width="24.44140625" style="69" bestFit="1" customWidth="1"/>
    <col min="16" max="16" width="18.5546875" style="69" bestFit="1" customWidth="1"/>
    <col min="17" max="17" width="15.5546875" style="69" bestFit="1" customWidth="1"/>
    <col min="18" max="18" width="40.44140625" style="69" bestFit="1" customWidth="1"/>
    <col min="19" max="24" width="9.109375" style="69"/>
    <col min="25" max="25" width="30.6640625" style="69" bestFit="1" customWidth="1"/>
    <col min="26" max="16384" width="9.109375" style="69"/>
  </cols>
  <sheetData>
    <row r="1" spans="2:36">
      <c r="B1" s="69" t="s">
        <v>370</v>
      </c>
      <c r="I1" s="258" t="s">
        <v>190</v>
      </c>
      <c r="J1" s="258">
        <v>7.45</v>
      </c>
    </row>
    <row r="2" spans="2:36" ht="14.4">
      <c r="B2" s="259"/>
      <c r="C2" s="259"/>
      <c r="D2" s="259"/>
      <c r="E2" s="259"/>
      <c r="F2" s="259"/>
      <c r="G2" s="259"/>
      <c r="I2" s="9" t="s">
        <v>0</v>
      </c>
      <c r="J2" s="259"/>
      <c r="K2" s="259"/>
      <c r="L2" s="259"/>
      <c r="M2" s="259"/>
      <c r="N2" s="259"/>
      <c r="O2" s="259"/>
      <c r="P2" s="259"/>
      <c r="Q2" s="259"/>
      <c r="R2" s="259"/>
      <c r="Y2" s="260" t="s">
        <v>296</v>
      </c>
      <c r="Z2" s="1291" t="s">
        <v>371</v>
      </c>
      <c r="AA2" s="1291"/>
      <c r="AB2" s="1291"/>
      <c r="AC2" s="1291"/>
      <c r="AD2" s="1291"/>
      <c r="AE2" s="1291"/>
      <c r="AF2" s="1291"/>
      <c r="AG2" s="1291"/>
      <c r="AH2" s="1291"/>
      <c r="AI2" s="1291"/>
      <c r="AJ2" s="1291"/>
    </row>
    <row r="3" spans="2:36" ht="14.4">
      <c r="B3" s="10" t="s">
        <v>2</v>
      </c>
      <c r="C3" s="11" t="s">
        <v>31</v>
      </c>
      <c r="D3" s="11" t="s">
        <v>32</v>
      </c>
      <c r="E3" s="11" t="s">
        <v>189</v>
      </c>
      <c r="F3" s="11" t="s">
        <v>3</v>
      </c>
      <c r="G3" s="11" t="s">
        <v>33</v>
      </c>
      <c r="H3" s="11" t="s">
        <v>35</v>
      </c>
      <c r="I3" s="11" t="s">
        <v>34</v>
      </c>
      <c r="J3" s="11" t="s">
        <v>4</v>
      </c>
      <c r="K3" s="11" t="s">
        <v>187</v>
      </c>
      <c r="L3" s="11" t="s">
        <v>36</v>
      </c>
      <c r="M3" s="11" t="s">
        <v>37</v>
      </c>
      <c r="N3" s="11" t="s">
        <v>5</v>
      </c>
      <c r="O3" s="11" t="s">
        <v>6</v>
      </c>
      <c r="P3" s="11" t="s">
        <v>7</v>
      </c>
      <c r="Q3" s="11" t="s">
        <v>8</v>
      </c>
      <c r="R3" s="11" t="s">
        <v>38</v>
      </c>
      <c r="S3" s="11" t="s">
        <v>9</v>
      </c>
      <c r="T3" s="220" t="s">
        <v>1442</v>
      </c>
      <c r="U3" s="11" t="s">
        <v>40</v>
      </c>
      <c r="V3" s="11" t="s">
        <v>41</v>
      </c>
      <c r="Y3" s="162"/>
      <c r="Z3" s="162">
        <v>2015</v>
      </c>
      <c r="AA3" s="162">
        <v>2020</v>
      </c>
      <c r="AB3" s="162">
        <v>2030</v>
      </c>
      <c r="AC3" s="162">
        <v>2040</v>
      </c>
      <c r="AD3" s="162">
        <v>2050</v>
      </c>
      <c r="AE3" s="1292" t="s">
        <v>290</v>
      </c>
      <c r="AF3" s="1292"/>
      <c r="AG3" s="1292" t="s">
        <v>289</v>
      </c>
      <c r="AH3" s="1292"/>
      <c r="AI3" s="161" t="s">
        <v>288</v>
      </c>
      <c r="AJ3" s="161" t="s">
        <v>287</v>
      </c>
    </row>
    <row r="4" spans="2:36" ht="30" customHeight="1" thickBot="1">
      <c r="B4" s="13" t="s">
        <v>42</v>
      </c>
      <c r="C4" s="13"/>
      <c r="D4" s="13" t="s">
        <v>43</v>
      </c>
      <c r="E4" s="13" t="s">
        <v>372</v>
      </c>
      <c r="F4" s="13" t="s">
        <v>44</v>
      </c>
      <c r="G4" s="13" t="s">
        <v>45</v>
      </c>
      <c r="H4" s="13"/>
      <c r="I4" s="13" t="s">
        <v>46</v>
      </c>
      <c r="J4" s="13"/>
      <c r="K4" s="13"/>
      <c r="L4" s="13" t="s">
        <v>47</v>
      </c>
      <c r="M4" s="13" t="s">
        <v>48</v>
      </c>
      <c r="N4" s="13" t="s">
        <v>49</v>
      </c>
      <c r="O4" s="13" t="s">
        <v>50</v>
      </c>
      <c r="P4" s="13" t="s">
        <v>299</v>
      </c>
      <c r="Q4" s="13" t="s">
        <v>298</v>
      </c>
      <c r="R4" s="13" t="s">
        <v>52</v>
      </c>
      <c r="S4" s="13" t="s">
        <v>297</v>
      </c>
      <c r="T4" s="14" t="s">
        <v>54</v>
      </c>
      <c r="U4" s="13" t="s">
        <v>55</v>
      </c>
      <c r="V4" s="13" t="s">
        <v>56</v>
      </c>
      <c r="Y4" s="190"/>
      <c r="Z4" s="190"/>
      <c r="AA4" s="190"/>
      <c r="AB4" s="190"/>
      <c r="AC4" s="190"/>
      <c r="AD4" s="190"/>
      <c r="AE4" s="188" t="s">
        <v>284</v>
      </c>
      <c r="AF4" s="188" t="s">
        <v>283</v>
      </c>
      <c r="AG4" s="188" t="s">
        <v>284</v>
      </c>
      <c r="AH4" s="188" t="s">
        <v>283</v>
      </c>
      <c r="AI4" s="188"/>
      <c r="AJ4" s="188"/>
    </row>
    <row r="5" spans="2:36" ht="15" thickBot="1">
      <c r="B5" s="15" t="s">
        <v>42</v>
      </c>
      <c r="C5" s="15"/>
      <c r="D5" s="15"/>
      <c r="E5" s="15"/>
      <c r="F5" s="15"/>
      <c r="G5" s="15"/>
      <c r="H5" s="15"/>
      <c r="I5" s="15"/>
      <c r="J5" s="15"/>
      <c r="K5" s="15"/>
      <c r="L5" s="15" t="s">
        <v>373</v>
      </c>
      <c r="M5" s="15" t="s">
        <v>373</v>
      </c>
      <c r="N5" s="15" t="s">
        <v>62</v>
      </c>
      <c r="O5" s="15" t="s">
        <v>374</v>
      </c>
      <c r="P5" s="15" t="s">
        <v>375</v>
      </c>
      <c r="Q5" s="15" t="s">
        <v>376</v>
      </c>
      <c r="R5" s="15" t="s">
        <v>66</v>
      </c>
      <c r="S5" s="15"/>
      <c r="T5" s="16" t="s">
        <v>67</v>
      </c>
      <c r="U5" s="15"/>
      <c r="V5" s="15"/>
      <c r="Y5" s="186" t="s">
        <v>282</v>
      </c>
      <c r="Z5" s="185"/>
      <c r="AA5" s="185"/>
      <c r="AB5" s="185"/>
      <c r="AC5" s="185"/>
      <c r="AD5" s="185"/>
      <c r="AE5" s="185"/>
      <c r="AF5" s="185"/>
      <c r="AG5" s="185"/>
      <c r="AH5" s="185"/>
      <c r="AI5" s="183"/>
      <c r="AJ5" s="225"/>
    </row>
    <row r="6" spans="2:36" ht="15.6">
      <c r="B6" s="19" t="s">
        <v>377</v>
      </c>
      <c r="C6" s="18" t="s">
        <v>378</v>
      </c>
      <c r="D6" s="19" t="s">
        <v>379</v>
      </c>
      <c r="E6" s="211"/>
      <c r="F6" s="211" t="s">
        <v>380</v>
      </c>
      <c r="G6" s="7"/>
      <c r="H6" s="7">
        <v>2015</v>
      </c>
      <c r="I6" s="19" t="s">
        <v>70</v>
      </c>
      <c r="J6" s="7">
        <v>2015</v>
      </c>
      <c r="K6" s="50">
        <f>Z15/Z10</f>
        <v>1.6792452830188678</v>
      </c>
      <c r="L6" s="22"/>
      <c r="M6" s="7"/>
      <c r="N6" s="19">
        <v>25</v>
      </c>
      <c r="O6" s="22">
        <f>Z26*J1</f>
        <v>8.1103680000000011</v>
      </c>
      <c r="P6" s="22">
        <f>Z29*J1</f>
        <v>0.32441471999999999</v>
      </c>
      <c r="Q6" s="22">
        <f>Z38*J1</f>
        <v>1.0728</v>
      </c>
      <c r="R6" s="20">
        <f>1-(2/52)-Z20/100</f>
        <v>0.92153846153846153</v>
      </c>
      <c r="S6" s="104">
        <v>3.1536000000000002E-2</v>
      </c>
      <c r="T6" s="210">
        <v>1</v>
      </c>
      <c r="U6" s="7"/>
      <c r="V6" s="7" t="s">
        <v>267</v>
      </c>
      <c r="Y6" s="180" t="s">
        <v>381</v>
      </c>
      <c r="Z6" s="180">
        <v>70</v>
      </c>
      <c r="AA6" s="180">
        <v>100</v>
      </c>
      <c r="AB6" s="180">
        <v>250</v>
      </c>
      <c r="AC6" s="180">
        <v>500</v>
      </c>
      <c r="AD6" s="180">
        <v>700</v>
      </c>
      <c r="AE6" s="179">
        <v>0.75</v>
      </c>
      <c r="AF6" s="179">
        <v>1.25</v>
      </c>
      <c r="AG6" s="179">
        <v>0.75</v>
      </c>
      <c r="AH6" s="179">
        <v>1.25</v>
      </c>
      <c r="AI6" s="178" t="s">
        <v>280</v>
      </c>
      <c r="AJ6" s="178" t="s">
        <v>382</v>
      </c>
    </row>
    <row r="7" spans="2:36" ht="13.8">
      <c r="B7" s="7"/>
      <c r="C7" s="7"/>
      <c r="E7" s="7" t="s">
        <v>1314</v>
      </c>
      <c r="F7" s="7"/>
      <c r="G7" s="7"/>
      <c r="H7" s="7"/>
      <c r="I7" s="7"/>
      <c r="J7" s="7"/>
      <c r="K7" s="50"/>
      <c r="L7" s="22">
        <f>Z11/Z15</f>
        <v>0.5168539325842697</v>
      </c>
      <c r="M7" s="7"/>
      <c r="N7" s="7"/>
      <c r="O7" s="7"/>
      <c r="P7" s="7"/>
      <c r="Q7" s="7"/>
      <c r="R7" s="203"/>
      <c r="S7" s="7"/>
      <c r="T7" s="7"/>
      <c r="U7" s="7"/>
      <c r="V7" s="7"/>
      <c r="Y7" s="190" t="s">
        <v>278</v>
      </c>
      <c r="Z7" s="261">
        <v>2.3148148148148149</v>
      </c>
      <c r="AA7" s="261">
        <v>3.306878306878307</v>
      </c>
      <c r="AB7" s="261">
        <v>8.2671957671957657</v>
      </c>
      <c r="AC7" s="261">
        <v>16.534391534391531</v>
      </c>
      <c r="AD7" s="261">
        <v>23.148148148148149</v>
      </c>
      <c r="AE7" s="189">
        <v>0.75</v>
      </c>
      <c r="AF7" s="189">
        <v>1.25</v>
      </c>
      <c r="AG7" s="189">
        <v>0.75</v>
      </c>
      <c r="AH7" s="189">
        <v>1.25</v>
      </c>
      <c r="AI7" s="188" t="s">
        <v>383</v>
      </c>
      <c r="AJ7" s="188" t="s">
        <v>382</v>
      </c>
    </row>
    <row r="8" spans="2:36" ht="13.8">
      <c r="B8" s="7"/>
      <c r="C8" s="7"/>
      <c r="D8" s="7"/>
      <c r="E8" s="7" t="s">
        <v>71</v>
      </c>
      <c r="F8" s="7"/>
      <c r="H8" s="7"/>
      <c r="I8" s="7"/>
      <c r="J8" s="7"/>
      <c r="K8" s="50"/>
      <c r="L8" s="22">
        <f>0.01/0.89</f>
        <v>1.1235955056179775E-2</v>
      </c>
      <c r="M8" s="22"/>
      <c r="N8" s="7"/>
      <c r="O8" s="7"/>
      <c r="P8" s="7"/>
      <c r="Q8" s="7"/>
      <c r="R8" s="203"/>
      <c r="S8" s="7"/>
      <c r="T8" s="7"/>
      <c r="U8" s="7"/>
      <c r="V8" s="7"/>
      <c r="Y8" s="186" t="s">
        <v>384</v>
      </c>
      <c r="Z8" s="185"/>
      <c r="AA8" s="185"/>
      <c r="AB8" s="185"/>
      <c r="AC8" s="185"/>
      <c r="AD8" s="185"/>
      <c r="AE8" s="185"/>
      <c r="AF8" s="185"/>
      <c r="AG8" s="185"/>
      <c r="AH8" s="185"/>
      <c r="AI8" s="183"/>
      <c r="AJ8" s="225"/>
    </row>
    <row r="9" spans="2:36" ht="13.8">
      <c r="B9" s="7"/>
      <c r="C9" s="7"/>
      <c r="D9" s="7"/>
      <c r="E9" s="7"/>
      <c r="F9" s="7"/>
      <c r="G9" s="7" t="s">
        <v>216</v>
      </c>
      <c r="H9" s="7"/>
      <c r="I9" s="7"/>
      <c r="J9" s="7"/>
      <c r="K9" s="50"/>
      <c r="L9" s="22"/>
      <c r="M9" s="50">
        <f>0.1/0.89</f>
        <v>0.11235955056179776</v>
      </c>
      <c r="N9" s="7"/>
      <c r="O9" s="7"/>
      <c r="P9" s="7"/>
      <c r="Q9" s="7"/>
      <c r="R9" s="203"/>
      <c r="S9" s="7"/>
      <c r="T9" s="7"/>
      <c r="U9" s="7"/>
      <c r="V9" s="7"/>
      <c r="Y9" s="262"/>
      <c r="Z9" s="263"/>
      <c r="AA9" s="263"/>
      <c r="AB9" s="263"/>
      <c r="AC9" s="263"/>
      <c r="AD9" s="263"/>
      <c r="AE9" s="263"/>
      <c r="AF9" s="263"/>
      <c r="AG9" s="263"/>
      <c r="AH9" s="263"/>
      <c r="AI9" s="264"/>
      <c r="AJ9" s="265"/>
    </row>
    <row r="10" spans="2:36" ht="15.6">
      <c r="B10" s="7"/>
      <c r="C10" s="215"/>
      <c r="D10" s="177" t="str">
        <f>D6</f>
        <v>SUPBGA</v>
      </c>
      <c r="E10" s="196"/>
      <c r="F10" s="196" t="str">
        <f>F6</f>
        <v>SNE</v>
      </c>
      <c r="G10" s="177"/>
      <c r="H10" s="177">
        <v>2020</v>
      </c>
      <c r="I10" s="177" t="str">
        <f>I6</f>
        <v>MKr15</v>
      </c>
      <c r="J10" s="177"/>
      <c r="K10" s="266">
        <f>K6</f>
        <v>1.6792452830188678</v>
      </c>
      <c r="L10" s="195"/>
      <c r="M10" s="177"/>
      <c r="N10" s="177">
        <v>25</v>
      </c>
      <c r="O10" s="195">
        <f>AA26*J1</f>
        <v>6.7586400000000006</v>
      </c>
      <c r="P10" s="195">
        <f>AA29*J1</f>
        <v>0.27034560000000002</v>
      </c>
      <c r="Q10" s="195">
        <f>AA38*J1</f>
        <v>0.89400000000000002</v>
      </c>
      <c r="R10" s="194">
        <f>R6</f>
        <v>0.92153846153846153</v>
      </c>
      <c r="S10" s="142">
        <v>3.1536000000000002E-2</v>
      </c>
      <c r="T10" s="193">
        <f>T6</f>
        <v>1</v>
      </c>
      <c r="U10" s="177"/>
      <c r="V10" s="177"/>
      <c r="Y10" s="180" t="s">
        <v>385</v>
      </c>
      <c r="Z10" s="180">
        <v>0.53</v>
      </c>
      <c r="AA10" s="180">
        <v>0.53</v>
      </c>
      <c r="AB10" s="180">
        <v>0.53</v>
      </c>
      <c r="AC10" s="180">
        <v>0.53</v>
      </c>
      <c r="AD10" s="180">
        <v>0.53</v>
      </c>
      <c r="AE10" s="206">
        <v>0.8</v>
      </c>
      <c r="AF10" s="206">
        <v>1.2</v>
      </c>
      <c r="AG10" s="206">
        <v>0.8</v>
      </c>
      <c r="AH10" s="206">
        <v>1.2</v>
      </c>
      <c r="AI10" s="178" t="s">
        <v>386</v>
      </c>
      <c r="AJ10" s="178">
        <v>2</v>
      </c>
    </row>
    <row r="11" spans="2:36" ht="13.8">
      <c r="B11" s="7"/>
      <c r="C11" s="7"/>
      <c r="D11" s="7"/>
      <c r="E11" s="7" t="str">
        <f>E7</f>
        <v>H2GC</v>
      </c>
      <c r="F11" s="7"/>
      <c r="G11" s="7"/>
      <c r="H11" s="7"/>
      <c r="I11" s="7"/>
      <c r="J11" s="7"/>
      <c r="K11" s="50"/>
      <c r="L11" s="22">
        <f>L7</f>
        <v>0.5168539325842697</v>
      </c>
      <c r="M11" s="7"/>
      <c r="N11" s="7"/>
      <c r="O11" s="7"/>
      <c r="P11" s="7"/>
      <c r="Q11" s="7"/>
      <c r="R11" s="203"/>
      <c r="S11" s="7"/>
      <c r="T11" s="7"/>
      <c r="U11" s="7"/>
      <c r="V11" s="7"/>
      <c r="Y11" s="162" t="s">
        <v>119</v>
      </c>
      <c r="Z11" s="162">
        <v>0.46</v>
      </c>
      <c r="AA11" s="162">
        <v>0.46</v>
      </c>
      <c r="AB11" s="162">
        <v>0.46</v>
      </c>
      <c r="AC11" s="162">
        <v>0.46</v>
      </c>
      <c r="AD11" s="162">
        <v>0.46</v>
      </c>
      <c r="AE11" s="205">
        <v>0.8</v>
      </c>
      <c r="AF11" s="205">
        <v>1.2</v>
      </c>
      <c r="AG11" s="205">
        <v>0.8</v>
      </c>
      <c r="AH11" s="205">
        <v>1.2</v>
      </c>
      <c r="AI11" s="161" t="s">
        <v>387</v>
      </c>
      <c r="AJ11" s="161">
        <v>2</v>
      </c>
    </row>
    <row r="12" spans="2:36" ht="13.8">
      <c r="B12" s="7"/>
      <c r="C12" s="7"/>
      <c r="D12" s="7"/>
      <c r="E12" s="7" t="str">
        <f>E8</f>
        <v>SUPELC</v>
      </c>
      <c r="F12" s="7"/>
      <c r="G12" s="7"/>
      <c r="H12" s="7"/>
      <c r="I12" s="7"/>
      <c r="J12" s="7"/>
      <c r="K12" s="50"/>
      <c r="L12" s="22">
        <f>0.01/0.89</f>
        <v>1.1235955056179775E-2</v>
      </c>
      <c r="M12" s="7"/>
      <c r="N12" s="7"/>
      <c r="O12" s="7"/>
      <c r="P12" s="7"/>
      <c r="Q12" s="7"/>
      <c r="R12" s="203"/>
      <c r="S12" s="7"/>
      <c r="T12" s="7"/>
      <c r="U12" s="7"/>
      <c r="V12" s="7"/>
      <c r="Y12" s="190"/>
      <c r="Z12" s="190"/>
      <c r="AA12" s="190"/>
      <c r="AB12" s="190"/>
      <c r="AC12" s="190"/>
      <c r="AD12" s="190"/>
      <c r="AE12" s="208"/>
      <c r="AF12" s="208"/>
      <c r="AG12" s="208"/>
      <c r="AH12" s="208"/>
      <c r="AI12" s="188"/>
      <c r="AJ12" s="188"/>
    </row>
    <row r="13" spans="2:36" ht="13.8">
      <c r="B13" s="7"/>
      <c r="C13" s="7"/>
      <c r="D13" s="7"/>
      <c r="E13" s="7"/>
      <c r="F13" s="7"/>
      <c r="G13" s="7" t="str">
        <f>G9</f>
        <v>HETC</v>
      </c>
      <c r="H13" s="7"/>
      <c r="I13" s="7"/>
      <c r="J13" s="7"/>
      <c r="K13" s="50"/>
      <c r="L13" s="22"/>
      <c r="M13" s="22">
        <f>M9</f>
        <v>0.11235955056179776</v>
      </c>
      <c r="N13" s="7"/>
      <c r="O13" s="7"/>
      <c r="P13" s="7"/>
      <c r="Q13" s="7"/>
      <c r="R13" s="203"/>
      <c r="S13" s="7"/>
      <c r="T13" s="7"/>
      <c r="U13" s="7"/>
      <c r="V13" s="7"/>
      <c r="Y13" s="190" t="s">
        <v>96</v>
      </c>
      <c r="Z13" s="190">
        <v>0.01</v>
      </c>
      <c r="AA13" s="190">
        <v>0.01</v>
      </c>
      <c r="AB13" s="190">
        <v>0.01</v>
      </c>
      <c r="AC13" s="190">
        <v>0.01</v>
      </c>
      <c r="AD13" s="190">
        <v>0.01</v>
      </c>
      <c r="AE13" s="208">
        <v>0.5</v>
      </c>
      <c r="AF13" s="208">
        <v>1.5</v>
      </c>
      <c r="AG13" s="208">
        <v>0.5</v>
      </c>
      <c r="AH13" s="208">
        <v>1.5</v>
      </c>
      <c r="AI13" s="188" t="s">
        <v>269</v>
      </c>
      <c r="AJ13" s="188">
        <v>2</v>
      </c>
    </row>
    <row r="14" spans="2:36" ht="15.6">
      <c r="B14" s="7"/>
      <c r="C14" s="215"/>
      <c r="D14" s="177" t="str">
        <f>D10</f>
        <v>SUPBGA</v>
      </c>
      <c r="E14" s="196"/>
      <c r="F14" s="196" t="str">
        <f>F10</f>
        <v>SNE</v>
      </c>
      <c r="G14" s="177"/>
      <c r="H14" s="177">
        <v>2030</v>
      </c>
      <c r="I14" s="177" t="str">
        <f>I10</f>
        <v>MKr15</v>
      </c>
      <c r="J14" s="177"/>
      <c r="K14" s="266">
        <f>K10</f>
        <v>1.6792452830188678</v>
      </c>
      <c r="L14" s="195"/>
      <c r="M14" s="177"/>
      <c r="N14" s="177">
        <v>25</v>
      </c>
      <c r="O14" s="195">
        <f>AB26*J1</f>
        <v>5.632200000000001</v>
      </c>
      <c r="P14" s="195">
        <f>AB29*J1</f>
        <v>0.22528800000000004</v>
      </c>
      <c r="Q14" s="195">
        <f>AB38*J1</f>
        <v>0.74500000000000011</v>
      </c>
      <c r="R14" s="194">
        <f>0.9615</f>
        <v>0.96150000000000002</v>
      </c>
      <c r="S14" s="142">
        <v>3.1536000000000002E-2</v>
      </c>
      <c r="T14" s="193">
        <f>T10</f>
        <v>1</v>
      </c>
      <c r="U14" s="177"/>
      <c r="V14" s="177"/>
      <c r="Y14" s="186" t="s">
        <v>271</v>
      </c>
      <c r="Z14" s="185"/>
      <c r="AA14" s="185"/>
      <c r="AB14" s="185"/>
      <c r="AC14" s="185"/>
      <c r="AD14" s="185"/>
      <c r="AE14" s="213"/>
      <c r="AF14" s="213"/>
      <c r="AG14" s="213"/>
      <c r="AH14" s="213"/>
      <c r="AI14" s="183"/>
      <c r="AJ14" s="225"/>
    </row>
    <row r="15" spans="2:36" ht="15.6">
      <c r="B15" s="7"/>
      <c r="C15" s="21"/>
      <c r="D15" s="21"/>
      <c r="E15" s="7" t="str">
        <f>E11</f>
        <v>H2GC</v>
      </c>
      <c r="F15" s="21"/>
      <c r="G15" s="21"/>
      <c r="H15" s="21"/>
      <c r="I15" s="21"/>
      <c r="J15" s="21"/>
      <c r="K15" s="267"/>
      <c r="L15" s="187">
        <f>L7</f>
        <v>0.5168539325842697</v>
      </c>
      <c r="M15" s="21"/>
      <c r="N15" s="21"/>
      <c r="O15" s="21"/>
      <c r="P15" s="21"/>
      <c r="Q15" s="21"/>
      <c r="R15" s="21"/>
      <c r="S15" s="21"/>
      <c r="T15" s="21"/>
      <c r="U15" s="21"/>
      <c r="V15" s="7"/>
      <c r="Y15" s="180" t="s">
        <v>388</v>
      </c>
      <c r="Z15" s="180">
        <v>0.89</v>
      </c>
      <c r="AA15" s="180">
        <v>0.89</v>
      </c>
      <c r="AB15" s="180">
        <v>0.89</v>
      </c>
      <c r="AC15" s="180">
        <v>0.89</v>
      </c>
      <c r="AD15" s="180">
        <v>0.89</v>
      </c>
      <c r="AE15" s="179">
        <v>0.9</v>
      </c>
      <c r="AF15" s="179">
        <v>1.1000000000000001</v>
      </c>
      <c r="AG15" s="179">
        <v>0.95</v>
      </c>
      <c r="AH15" s="179">
        <v>1.05</v>
      </c>
      <c r="AI15" s="178" t="s">
        <v>389</v>
      </c>
      <c r="AJ15" s="178">
        <v>2</v>
      </c>
    </row>
    <row r="16" spans="2:36" ht="15.6">
      <c r="B16" s="7"/>
      <c r="C16" s="21"/>
      <c r="D16" s="21"/>
      <c r="E16" s="7" t="str">
        <f>E12</f>
        <v>SUPELC</v>
      </c>
      <c r="F16" s="21"/>
      <c r="G16" s="21"/>
      <c r="H16" s="21"/>
      <c r="I16" s="21"/>
      <c r="J16" s="21"/>
      <c r="K16" s="267"/>
      <c r="L16" s="22">
        <f>0.01/0.89</f>
        <v>1.1235955056179775E-2</v>
      </c>
      <c r="M16" s="21"/>
      <c r="N16" s="21"/>
      <c r="O16" s="21"/>
      <c r="P16" s="21"/>
      <c r="Q16" s="21"/>
      <c r="R16" s="21"/>
      <c r="S16" s="21"/>
      <c r="T16" s="21"/>
      <c r="U16" s="21"/>
      <c r="V16" s="7"/>
      <c r="Y16" s="268"/>
      <c r="Z16" s="268"/>
      <c r="AA16" s="268"/>
      <c r="AB16" s="268"/>
      <c r="AC16" s="268"/>
      <c r="AD16" s="268"/>
      <c r="AE16" s="269"/>
      <c r="AF16" s="269"/>
      <c r="AG16" s="269"/>
      <c r="AH16" s="269"/>
      <c r="AI16" s="270"/>
      <c r="AJ16" s="270"/>
    </row>
    <row r="17" spans="2:36" ht="13.8">
      <c r="B17" s="7"/>
      <c r="C17" s="31"/>
      <c r="D17" s="31"/>
      <c r="E17" s="31"/>
      <c r="F17" s="31"/>
      <c r="G17" s="31" t="str">
        <f>G13</f>
        <v>HETC</v>
      </c>
      <c r="H17" s="31"/>
      <c r="I17" s="31"/>
      <c r="J17" s="31"/>
      <c r="K17" s="271"/>
      <c r="L17" s="199"/>
      <c r="M17" s="199">
        <f>M13</f>
        <v>0.11235955056179776</v>
      </c>
      <c r="N17" s="31"/>
      <c r="O17" s="31"/>
      <c r="P17" s="31"/>
      <c r="Q17" s="31"/>
      <c r="R17" s="31"/>
      <c r="S17" s="31"/>
      <c r="T17" s="31"/>
      <c r="U17" s="31"/>
      <c r="V17" s="7"/>
      <c r="Y17" s="190" t="s">
        <v>109</v>
      </c>
      <c r="Z17" s="272">
        <v>0.1</v>
      </c>
      <c r="AA17" s="272">
        <v>0.1</v>
      </c>
      <c r="AB17" s="272">
        <v>0.1</v>
      </c>
      <c r="AC17" s="272">
        <v>0.1</v>
      </c>
      <c r="AD17" s="272">
        <v>0.1</v>
      </c>
      <c r="AE17" s="208">
        <v>0.5</v>
      </c>
      <c r="AF17" s="208">
        <v>1.5</v>
      </c>
      <c r="AG17" s="208">
        <v>0.5</v>
      </c>
      <c r="AH17" s="208">
        <v>1.5</v>
      </c>
      <c r="AI17" s="188" t="s">
        <v>389</v>
      </c>
      <c r="AJ17" s="188">
        <v>2</v>
      </c>
    </row>
    <row r="18" spans="2:36" ht="15.6">
      <c r="B18" s="7"/>
      <c r="C18" s="215"/>
      <c r="D18" s="177" t="str">
        <f>D14</f>
        <v>SUPBGA</v>
      </c>
      <c r="E18" s="196"/>
      <c r="F18" s="196" t="str">
        <f>F14</f>
        <v>SNE</v>
      </c>
      <c r="G18" s="177"/>
      <c r="H18" s="177">
        <v>2040</v>
      </c>
      <c r="I18" s="177" t="str">
        <f>I14</f>
        <v>MKr15</v>
      </c>
      <c r="J18" s="177"/>
      <c r="K18" s="266">
        <f>K14</f>
        <v>1.6792452830188678</v>
      </c>
      <c r="L18" s="195"/>
      <c r="M18" s="177"/>
      <c r="N18" s="177">
        <v>25</v>
      </c>
      <c r="O18" s="195">
        <f>AC26*J1</f>
        <v>4.5057600000000013</v>
      </c>
      <c r="P18" s="195">
        <f>AC29*J1</f>
        <v>0.18023040000000004</v>
      </c>
      <c r="Q18" s="195">
        <f>AC38*J1</f>
        <v>0.59599999999999997</v>
      </c>
      <c r="R18" s="194">
        <f>0.9615</f>
        <v>0.96150000000000002</v>
      </c>
      <c r="S18" s="142">
        <v>3.1536000000000002E-2</v>
      </c>
      <c r="T18" s="193">
        <f>T14</f>
        <v>1</v>
      </c>
      <c r="U18" s="177"/>
      <c r="V18" s="177"/>
      <c r="Y18" s="207"/>
      <c r="Z18" s="185"/>
      <c r="AA18" s="185"/>
      <c r="AB18" s="185"/>
      <c r="AC18" s="185"/>
      <c r="AD18" s="185"/>
      <c r="AE18" s="213"/>
      <c r="AF18" s="213"/>
      <c r="AG18" s="213"/>
      <c r="AH18" s="213"/>
      <c r="AI18" s="183"/>
      <c r="AJ18" s="225"/>
    </row>
    <row r="19" spans="2:36" ht="15.6">
      <c r="B19" s="7"/>
      <c r="C19" s="21"/>
      <c r="D19" s="7"/>
      <c r="E19" s="7" t="str">
        <f>E15</f>
        <v>H2GC</v>
      </c>
      <c r="F19" s="273"/>
      <c r="G19" s="7"/>
      <c r="H19" s="7"/>
      <c r="I19" s="7"/>
      <c r="J19" s="7"/>
      <c r="K19" s="50"/>
      <c r="L19" s="22">
        <f>L15</f>
        <v>0.5168539325842697</v>
      </c>
      <c r="M19" s="7"/>
      <c r="N19" s="7"/>
      <c r="O19" s="22"/>
      <c r="P19" s="22"/>
      <c r="Q19" s="22"/>
      <c r="R19" s="203"/>
      <c r="T19" s="210"/>
      <c r="U19" s="7"/>
      <c r="V19" s="7"/>
      <c r="Y19" s="274"/>
      <c r="Z19" s="263"/>
      <c r="AA19" s="263"/>
      <c r="AB19" s="263"/>
      <c r="AC19" s="263"/>
      <c r="AD19" s="263"/>
      <c r="AE19" s="275"/>
      <c r="AF19" s="275"/>
      <c r="AG19" s="275"/>
      <c r="AH19" s="275"/>
      <c r="AI19" s="264"/>
      <c r="AJ19" s="265"/>
    </row>
    <row r="20" spans="2:36" ht="15.6">
      <c r="B20" s="7"/>
      <c r="C20" s="21"/>
      <c r="D20" s="21"/>
      <c r="E20" s="7" t="str">
        <f>E16</f>
        <v>SUPELC</v>
      </c>
      <c r="F20" s="21"/>
      <c r="G20" s="21"/>
      <c r="H20" s="21"/>
      <c r="I20" s="21"/>
      <c r="J20" s="21"/>
      <c r="K20" s="267"/>
      <c r="L20" s="22">
        <f>0.01/0.89</f>
        <v>1.1235955056179775E-2</v>
      </c>
      <c r="M20" s="21"/>
      <c r="N20" s="21"/>
      <c r="O20" s="21"/>
      <c r="P20" s="21"/>
      <c r="Q20" s="21"/>
      <c r="R20" s="21"/>
      <c r="S20" s="21"/>
      <c r="T20" s="21"/>
      <c r="U20" s="21"/>
      <c r="V20" s="7"/>
      <c r="Y20" s="180" t="s">
        <v>59</v>
      </c>
      <c r="Z20" s="180">
        <v>4</v>
      </c>
      <c r="AA20" s="180">
        <v>4</v>
      </c>
      <c r="AB20" s="180">
        <v>0</v>
      </c>
      <c r="AC20" s="180">
        <v>0</v>
      </c>
      <c r="AD20" s="180">
        <v>0</v>
      </c>
      <c r="AE20" s="180"/>
      <c r="AF20" s="180"/>
      <c r="AG20" s="180"/>
      <c r="AH20" s="180"/>
      <c r="AI20" s="178" t="s">
        <v>255</v>
      </c>
      <c r="AJ20" s="178"/>
    </row>
    <row r="21" spans="2:36" ht="13.8">
      <c r="B21" s="7"/>
      <c r="C21" s="31"/>
      <c r="D21" s="31"/>
      <c r="E21" s="31"/>
      <c r="F21" s="31"/>
      <c r="G21" s="31" t="str">
        <f>G17</f>
        <v>HETC</v>
      </c>
      <c r="H21" s="31"/>
      <c r="I21" s="31"/>
      <c r="J21" s="31"/>
      <c r="K21" s="271"/>
      <c r="L21" s="199"/>
      <c r="M21" s="199">
        <f>M17</f>
        <v>0.11235955056179776</v>
      </c>
      <c r="N21" s="31"/>
      <c r="O21" s="31"/>
      <c r="P21" s="31"/>
      <c r="Q21" s="31"/>
      <c r="R21" s="31"/>
      <c r="S21" s="31"/>
      <c r="T21" s="31"/>
      <c r="U21" s="31"/>
      <c r="V21" s="7"/>
      <c r="Y21" s="162" t="s">
        <v>92</v>
      </c>
      <c r="Z21" s="162">
        <v>2</v>
      </c>
      <c r="AA21" s="162">
        <v>2</v>
      </c>
      <c r="AB21" s="162">
        <v>2</v>
      </c>
      <c r="AC21" s="162">
        <v>2</v>
      </c>
      <c r="AD21" s="162">
        <v>2</v>
      </c>
      <c r="AE21" s="162"/>
      <c r="AF21" s="162"/>
      <c r="AG21" s="162"/>
      <c r="AH21" s="162"/>
      <c r="AI21" s="161"/>
      <c r="AJ21" s="161"/>
    </row>
    <row r="22" spans="2:36" ht="15.6">
      <c r="B22" s="7"/>
      <c r="C22" s="215"/>
      <c r="D22" s="177" t="str">
        <f>D18</f>
        <v>SUPBGA</v>
      </c>
      <c r="E22" s="196"/>
      <c r="F22" s="196" t="str">
        <f>F18</f>
        <v>SNE</v>
      </c>
      <c r="G22" s="177"/>
      <c r="H22" s="177">
        <v>2050</v>
      </c>
      <c r="I22" s="177" t="str">
        <f>I18</f>
        <v>MKr15</v>
      </c>
      <c r="J22" s="177"/>
      <c r="K22" s="266">
        <f>K18</f>
        <v>1.6792452830188678</v>
      </c>
      <c r="L22" s="195"/>
      <c r="M22" s="177"/>
      <c r="N22" s="177">
        <v>25</v>
      </c>
      <c r="O22" s="195">
        <f>AD26*J1</f>
        <v>3.3793200000000003</v>
      </c>
      <c r="P22" s="195">
        <f>AD29*J1</f>
        <v>0.13517280000000001</v>
      </c>
      <c r="Q22" s="195">
        <f>AD38*J1</f>
        <v>0.44700000000000001</v>
      </c>
      <c r="R22" s="194">
        <f>0.9615</f>
        <v>0.96150000000000002</v>
      </c>
      <c r="S22" s="142">
        <v>3.1536000000000002E-2</v>
      </c>
      <c r="T22" s="193">
        <f>T18</f>
        <v>1</v>
      </c>
      <c r="U22" s="177"/>
      <c r="V22" s="177"/>
      <c r="Y22" s="162" t="s">
        <v>58</v>
      </c>
      <c r="Z22" s="162">
        <v>25</v>
      </c>
      <c r="AA22" s="162">
        <v>25</v>
      </c>
      <c r="AB22" s="162">
        <v>25</v>
      </c>
      <c r="AC22" s="162">
        <v>25</v>
      </c>
      <c r="AD22" s="162">
        <v>25</v>
      </c>
      <c r="AE22" s="162"/>
      <c r="AF22" s="162"/>
      <c r="AG22" s="162"/>
      <c r="AH22" s="162"/>
      <c r="AI22" s="161"/>
      <c r="AJ22" s="161"/>
    </row>
    <row r="23" spans="2:36" ht="15.6">
      <c r="B23" s="7"/>
      <c r="C23" s="21"/>
      <c r="D23" s="21"/>
      <c r="E23" s="7" t="str">
        <f>E19</f>
        <v>H2GC</v>
      </c>
      <c r="F23" s="21"/>
      <c r="G23" s="21"/>
      <c r="H23" s="21"/>
      <c r="I23" s="21"/>
      <c r="J23" s="21"/>
      <c r="K23" s="267"/>
      <c r="L23" s="187">
        <f>L15</f>
        <v>0.5168539325842697</v>
      </c>
      <c r="M23" s="21"/>
      <c r="N23" s="21"/>
      <c r="O23" s="21"/>
      <c r="P23" s="21"/>
      <c r="Q23" s="21"/>
      <c r="R23" s="21"/>
      <c r="S23" s="21"/>
      <c r="T23" s="21"/>
      <c r="U23" s="21"/>
      <c r="V23" s="7"/>
      <c r="Y23" s="190" t="s">
        <v>60</v>
      </c>
      <c r="Z23" s="190">
        <v>1</v>
      </c>
      <c r="AA23" s="190">
        <v>1</v>
      </c>
      <c r="AB23" s="190">
        <v>1</v>
      </c>
      <c r="AC23" s="190">
        <v>1</v>
      </c>
      <c r="AD23" s="190">
        <v>1</v>
      </c>
      <c r="AE23" s="190"/>
      <c r="AF23" s="190"/>
      <c r="AG23" s="190"/>
      <c r="AH23" s="190"/>
      <c r="AI23" s="188"/>
      <c r="AJ23" s="188"/>
    </row>
    <row r="24" spans="2:36" ht="15.6">
      <c r="B24" s="7"/>
      <c r="C24" s="21"/>
      <c r="D24" s="21"/>
      <c r="E24" s="7" t="str">
        <f>E20</f>
        <v>SUPELC</v>
      </c>
      <c r="F24" s="21"/>
      <c r="G24" s="21"/>
      <c r="H24" s="21"/>
      <c r="I24" s="21"/>
      <c r="J24" s="21"/>
      <c r="K24" s="267"/>
      <c r="L24" s="22">
        <f>0.01/0.89</f>
        <v>1.1235955056179775E-2</v>
      </c>
      <c r="M24" s="21"/>
      <c r="N24" s="21"/>
      <c r="O24" s="21"/>
      <c r="P24" s="21"/>
      <c r="Q24" s="21"/>
      <c r="R24" s="21"/>
      <c r="S24" s="21"/>
      <c r="T24" s="21"/>
      <c r="U24" s="21"/>
      <c r="V24" s="7"/>
      <c r="Y24" s="276"/>
      <c r="Z24" s="277"/>
      <c r="AA24" s="277"/>
      <c r="AB24" s="277"/>
      <c r="AC24" s="277"/>
      <c r="AD24" s="277"/>
      <c r="AE24" s="277"/>
      <c r="AF24" s="277"/>
      <c r="AG24" s="277"/>
      <c r="AH24" s="277"/>
      <c r="AI24" s="278"/>
      <c r="AJ24" s="279"/>
    </row>
    <row r="25" spans="2:36" ht="14.4" thickBot="1">
      <c r="B25" s="28"/>
      <c r="C25" s="28"/>
      <c r="D25" s="28"/>
      <c r="E25" s="28"/>
      <c r="F25" s="28"/>
      <c r="G25" s="28" t="str">
        <f>G21</f>
        <v>HETC</v>
      </c>
      <c r="H25" s="28"/>
      <c r="I25" s="28"/>
      <c r="J25" s="28"/>
      <c r="K25" s="280"/>
      <c r="L25" s="29"/>
      <c r="M25" s="29">
        <f>M21</f>
        <v>0.11235955056179776</v>
      </c>
      <c r="N25" s="28"/>
      <c r="O25" s="28"/>
      <c r="P25" s="28"/>
      <c r="Q25" s="28"/>
      <c r="R25" s="28"/>
      <c r="S25" s="28"/>
      <c r="T25" s="28"/>
      <c r="U25" s="28"/>
      <c r="V25" s="28"/>
      <c r="Y25" s="186" t="s">
        <v>264</v>
      </c>
      <c r="Z25" s="185"/>
      <c r="AA25" s="185"/>
      <c r="AB25" s="185"/>
      <c r="AC25" s="185"/>
      <c r="AD25" s="185"/>
      <c r="AE25" s="185"/>
      <c r="AF25" s="185"/>
      <c r="AG25" s="185"/>
      <c r="AH25" s="185"/>
      <c r="AI25" s="183"/>
      <c r="AJ25" s="225"/>
    </row>
    <row r="26" spans="2:36">
      <c r="B26" s="69" t="s">
        <v>390</v>
      </c>
      <c r="C26" s="69" t="s">
        <v>391</v>
      </c>
      <c r="D26" s="69" t="s">
        <v>379</v>
      </c>
      <c r="F26" s="211" t="s">
        <v>380</v>
      </c>
      <c r="H26" s="69">
        <v>2015</v>
      </c>
      <c r="I26" s="69" t="s">
        <v>70</v>
      </c>
      <c r="J26" s="69">
        <v>2015</v>
      </c>
      <c r="K26" s="242">
        <f>K22</f>
        <v>1.6792452830188678</v>
      </c>
      <c r="L26" s="141"/>
      <c r="M26" s="141"/>
      <c r="N26" s="281">
        <v>25</v>
      </c>
      <c r="O26" s="141">
        <v>8.1103680000000011</v>
      </c>
      <c r="P26" s="141">
        <v>0.32441471999999999</v>
      </c>
      <c r="Q26" s="141">
        <v>1.0728</v>
      </c>
      <c r="R26" s="141">
        <v>0.92153846153846153</v>
      </c>
      <c r="S26" s="69">
        <v>3.1536000000000002E-2</v>
      </c>
      <c r="T26" s="282">
        <v>1</v>
      </c>
      <c r="V26" s="69" t="s">
        <v>267</v>
      </c>
      <c r="Y26" s="180" t="s">
        <v>392</v>
      </c>
      <c r="Z26" s="201">
        <v>1.0886400000000001</v>
      </c>
      <c r="AA26" s="201">
        <v>0.90720000000000001</v>
      </c>
      <c r="AB26" s="201">
        <v>0.75600000000000012</v>
      </c>
      <c r="AC26" s="201">
        <v>0.60480000000000012</v>
      </c>
      <c r="AD26" s="201">
        <v>0.4536</v>
      </c>
      <c r="AE26" s="179">
        <v>0.5</v>
      </c>
      <c r="AF26" s="179">
        <v>1.5</v>
      </c>
      <c r="AG26" s="179">
        <v>0.5</v>
      </c>
      <c r="AH26" s="179">
        <v>1.5</v>
      </c>
      <c r="AI26" s="178" t="s">
        <v>393</v>
      </c>
      <c r="AJ26" s="178">
        <v>1</v>
      </c>
    </row>
    <row r="27" spans="2:36" ht="14.4">
      <c r="B27" s="259"/>
      <c r="C27" s="259"/>
      <c r="D27" s="259"/>
      <c r="E27" s="259" t="s">
        <v>348</v>
      </c>
      <c r="F27" s="259"/>
      <c r="G27" s="259"/>
      <c r="H27" s="259"/>
      <c r="I27" s="259"/>
      <c r="J27" s="259"/>
      <c r="K27" s="283"/>
      <c r="L27" s="284">
        <v>0.5168539325842697</v>
      </c>
      <c r="M27" s="284"/>
      <c r="N27" s="285"/>
      <c r="O27" s="284"/>
      <c r="P27" s="284"/>
      <c r="Q27" s="284"/>
      <c r="R27" s="284"/>
      <c r="T27" s="282"/>
      <c r="Y27" s="162" t="s">
        <v>394</v>
      </c>
      <c r="Z27" s="162">
        <v>75</v>
      </c>
      <c r="AA27" s="162">
        <v>75</v>
      </c>
      <c r="AB27" s="162">
        <v>75</v>
      </c>
      <c r="AC27" s="162">
        <v>75</v>
      </c>
      <c r="AD27" s="162">
        <v>75</v>
      </c>
      <c r="AE27" s="167"/>
      <c r="AF27" s="167"/>
      <c r="AG27" s="167"/>
      <c r="AH27" s="167"/>
      <c r="AI27" s="161"/>
      <c r="AJ27" s="161"/>
    </row>
    <row r="28" spans="2:36" ht="14.4">
      <c r="B28" s="259"/>
      <c r="C28" s="259"/>
      <c r="D28" s="259"/>
      <c r="E28" s="259" t="s">
        <v>71</v>
      </c>
      <c r="F28" s="259"/>
      <c r="G28" s="259"/>
      <c r="H28" s="259"/>
      <c r="I28" s="259"/>
      <c r="J28" s="259"/>
      <c r="K28" s="283"/>
      <c r="L28" s="284">
        <v>1.1235955056179775E-2</v>
      </c>
      <c r="M28" s="284"/>
      <c r="N28" s="285"/>
      <c r="O28" s="284"/>
      <c r="P28" s="284"/>
      <c r="Q28" s="284"/>
      <c r="R28" s="284"/>
      <c r="T28" s="282"/>
      <c r="Y28" s="162" t="s">
        <v>251</v>
      </c>
      <c r="Z28" s="163">
        <v>25</v>
      </c>
      <c r="AA28" s="162">
        <v>25</v>
      </c>
      <c r="AB28" s="162">
        <v>25</v>
      </c>
      <c r="AC28" s="162">
        <v>25</v>
      </c>
      <c r="AD28" s="162">
        <v>25</v>
      </c>
      <c r="AE28" s="167"/>
      <c r="AF28" s="167"/>
      <c r="AG28" s="167"/>
      <c r="AH28" s="167"/>
      <c r="AI28" s="161"/>
      <c r="AJ28" s="161"/>
    </row>
    <row r="29" spans="2:36">
      <c r="G29" s="69" t="s">
        <v>259</v>
      </c>
      <c r="K29" s="242"/>
      <c r="L29" s="141"/>
      <c r="M29" s="141">
        <v>0.11235955056179776</v>
      </c>
      <c r="N29" s="281"/>
      <c r="O29" s="141"/>
      <c r="P29" s="141"/>
      <c r="Q29" s="141"/>
      <c r="R29" s="141"/>
      <c r="T29" s="282"/>
      <c r="Y29" s="162" t="s">
        <v>395</v>
      </c>
      <c r="Z29" s="286">
        <v>4.3545599999999997E-2</v>
      </c>
      <c r="AA29" s="168">
        <v>3.6288000000000001E-2</v>
      </c>
      <c r="AB29" s="168">
        <v>3.0240000000000006E-2</v>
      </c>
      <c r="AC29" s="168">
        <v>2.4192000000000005E-2</v>
      </c>
      <c r="AD29" s="168">
        <v>1.8144E-2</v>
      </c>
      <c r="AE29" s="167">
        <v>0.9</v>
      </c>
      <c r="AF29" s="167">
        <v>1.1000000000000001</v>
      </c>
      <c r="AG29" s="167">
        <v>0.9</v>
      </c>
      <c r="AH29" s="167">
        <v>1.1000000000000001</v>
      </c>
      <c r="AI29" s="161"/>
      <c r="AJ29" s="161">
        <v>1</v>
      </c>
    </row>
    <row r="30" spans="2:36">
      <c r="C30" s="142"/>
      <c r="D30" s="142" t="s">
        <v>379</v>
      </c>
      <c r="E30" s="142"/>
      <c r="F30" s="287" t="str">
        <f>F26</f>
        <v>SNE</v>
      </c>
      <c r="G30" s="142"/>
      <c r="H30" s="142">
        <v>2020</v>
      </c>
      <c r="I30" s="142" t="s">
        <v>70</v>
      </c>
      <c r="J30" s="142"/>
      <c r="K30" s="255">
        <f>K26</f>
        <v>1.6792452830188678</v>
      </c>
      <c r="L30" s="254"/>
      <c r="M30" s="254"/>
      <c r="N30" s="288">
        <v>25</v>
      </c>
      <c r="O30" s="254">
        <v>6.7586400000000006</v>
      </c>
      <c r="P30" s="254">
        <v>0.27034560000000002</v>
      </c>
      <c r="Q30" s="254">
        <v>0.89400000000000002</v>
      </c>
      <c r="R30" s="254">
        <v>0.92153846153846153</v>
      </c>
      <c r="S30" s="142">
        <v>3.1536000000000002E-2</v>
      </c>
      <c r="T30" s="289">
        <v>1</v>
      </c>
      <c r="U30" s="142"/>
      <c r="V30" s="142"/>
      <c r="Y30" s="162" t="s">
        <v>396</v>
      </c>
      <c r="Z30" s="197">
        <v>5.1840000000000002</v>
      </c>
      <c r="AA30" s="197">
        <v>4.32</v>
      </c>
      <c r="AB30" s="197">
        <v>3.6000000000000005</v>
      </c>
      <c r="AC30" s="197">
        <v>2.8800000000000003</v>
      </c>
      <c r="AD30" s="197">
        <v>2.16</v>
      </c>
      <c r="AE30" s="167">
        <v>0.9</v>
      </c>
      <c r="AF30" s="167">
        <v>1.1000000000000001</v>
      </c>
      <c r="AG30" s="167">
        <v>0.9</v>
      </c>
      <c r="AH30" s="167">
        <v>1.1000000000000001</v>
      </c>
      <c r="AI30" s="161"/>
      <c r="AJ30" s="161">
        <v>1</v>
      </c>
    </row>
    <row r="31" spans="2:36">
      <c r="E31" s="69" t="str">
        <f>E27</f>
        <v>H2GD</v>
      </c>
      <c r="K31" s="242"/>
      <c r="L31" s="141">
        <v>0.5168539325842697</v>
      </c>
      <c r="M31" s="141"/>
      <c r="N31" s="281"/>
      <c r="O31" s="141"/>
      <c r="P31" s="141"/>
      <c r="Q31" s="141"/>
      <c r="R31" s="141"/>
      <c r="T31" s="282"/>
      <c r="Y31" s="190" t="s">
        <v>397</v>
      </c>
      <c r="Z31" s="190">
        <v>0</v>
      </c>
      <c r="AA31" s="190">
        <v>0</v>
      </c>
      <c r="AB31" s="190">
        <v>0</v>
      </c>
      <c r="AC31" s="190">
        <v>0</v>
      </c>
      <c r="AD31" s="190">
        <v>0</v>
      </c>
      <c r="AE31" s="189"/>
      <c r="AF31" s="189"/>
      <c r="AG31" s="189"/>
      <c r="AH31" s="189"/>
      <c r="AI31" s="188"/>
      <c r="AJ31" s="188"/>
    </row>
    <row r="32" spans="2:36">
      <c r="E32" s="69" t="s">
        <v>71</v>
      </c>
      <c r="K32" s="242"/>
      <c r="L32" s="141">
        <v>1.1235955056179775E-2</v>
      </c>
      <c r="M32" s="141"/>
      <c r="N32" s="281"/>
      <c r="O32" s="141"/>
      <c r="P32" s="141"/>
      <c r="Q32" s="141"/>
      <c r="R32" s="141"/>
      <c r="T32" s="282"/>
      <c r="Y32" s="186" t="s">
        <v>260</v>
      </c>
      <c r="Z32" s="185"/>
      <c r="AA32" s="185"/>
      <c r="AB32" s="185"/>
      <c r="AC32" s="185"/>
      <c r="AD32" s="185"/>
      <c r="AE32" s="184"/>
      <c r="AF32" s="184"/>
      <c r="AG32" s="184"/>
      <c r="AH32" s="184"/>
      <c r="AI32" s="183"/>
      <c r="AJ32" s="225"/>
    </row>
    <row r="33" spans="2:36">
      <c r="G33" s="69" t="str">
        <f>G29</f>
        <v>HETD</v>
      </c>
      <c r="K33" s="242"/>
      <c r="L33" s="141"/>
      <c r="M33" s="141">
        <v>0.11235955056179776</v>
      </c>
      <c r="N33" s="281"/>
      <c r="O33" s="141"/>
      <c r="P33" s="141"/>
      <c r="Q33" s="141"/>
      <c r="R33" s="141"/>
      <c r="T33" s="282"/>
      <c r="Y33" s="180" t="s">
        <v>398</v>
      </c>
      <c r="Z33" s="180">
        <v>50.7</v>
      </c>
      <c r="AA33" s="180">
        <v>50.7</v>
      </c>
      <c r="AB33" s="180">
        <v>50.7</v>
      </c>
      <c r="AC33" s="180">
        <v>50.7</v>
      </c>
      <c r="AD33" s="180">
        <v>50.7</v>
      </c>
      <c r="AE33" s="179"/>
      <c r="AF33" s="179"/>
      <c r="AG33" s="179"/>
      <c r="AH33" s="179"/>
      <c r="AI33" s="178"/>
      <c r="AJ33" s="178"/>
    </row>
    <row r="34" spans="2:36">
      <c r="C34" s="142"/>
      <c r="D34" s="142" t="s">
        <v>379</v>
      </c>
      <c r="E34" s="142"/>
      <c r="F34" s="287" t="str">
        <f>F30</f>
        <v>SNE</v>
      </c>
      <c r="G34" s="142"/>
      <c r="H34" s="142">
        <v>2030</v>
      </c>
      <c r="I34" s="142" t="s">
        <v>70</v>
      </c>
      <c r="J34" s="142"/>
      <c r="K34" s="255">
        <f>K30</f>
        <v>1.6792452830188678</v>
      </c>
      <c r="L34" s="254"/>
      <c r="M34" s="254"/>
      <c r="N34" s="288">
        <v>25</v>
      </c>
      <c r="O34" s="254">
        <v>5.632200000000001</v>
      </c>
      <c r="P34" s="254">
        <v>0.22528800000000004</v>
      </c>
      <c r="Q34" s="254">
        <v>0.74500000000000011</v>
      </c>
      <c r="R34" s="254">
        <v>0.96150000000000002</v>
      </c>
      <c r="S34" s="142">
        <v>3.1536000000000002E-2</v>
      </c>
      <c r="T34" s="289">
        <v>1</v>
      </c>
      <c r="U34" s="142"/>
      <c r="V34" s="142"/>
      <c r="Y34" s="162" t="s">
        <v>399</v>
      </c>
      <c r="Z34" s="162">
        <v>3.5999999999999997E-2</v>
      </c>
      <c r="AA34" s="162">
        <v>0.03</v>
      </c>
      <c r="AB34" s="162">
        <v>2.5000000000000001E-2</v>
      </c>
      <c r="AC34" s="162">
        <v>0.02</v>
      </c>
      <c r="AD34" s="162">
        <v>1.4999999999999999E-2</v>
      </c>
      <c r="AE34" s="167">
        <v>0.5</v>
      </c>
      <c r="AF34" s="167">
        <v>1.5</v>
      </c>
      <c r="AG34" s="167">
        <v>0.5</v>
      </c>
      <c r="AH34" s="167">
        <v>1.5</v>
      </c>
      <c r="AI34" s="161" t="s">
        <v>393</v>
      </c>
      <c r="AJ34" s="161">
        <v>1</v>
      </c>
    </row>
    <row r="35" spans="2:36">
      <c r="E35" s="69" t="str">
        <f>E31</f>
        <v>H2GD</v>
      </c>
      <c r="K35" s="242"/>
      <c r="L35" s="141">
        <v>0.5168539325842697</v>
      </c>
      <c r="M35" s="141"/>
      <c r="N35" s="281"/>
      <c r="O35" s="141"/>
      <c r="P35" s="141"/>
      <c r="Q35" s="141"/>
      <c r="R35" s="141"/>
      <c r="T35" s="282"/>
      <c r="Y35" s="162" t="s">
        <v>394</v>
      </c>
      <c r="Z35" s="162">
        <v>75</v>
      </c>
      <c r="AA35" s="162">
        <v>75</v>
      </c>
      <c r="AB35" s="162">
        <v>75</v>
      </c>
      <c r="AC35" s="162">
        <v>75</v>
      </c>
      <c r="AD35" s="162">
        <v>75</v>
      </c>
      <c r="AE35" s="167"/>
      <c r="AF35" s="167"/>
      <c r="AG35" s="167"/>
      <c r="AH35" s="167"/>
      <c r="AI35" s="161"/>
      <c r="AJ35" s="161"/>
    </row>
    <row r="36" spans="2:36">
      <c r="E36" s="69" t="s">
        <v>71</v>
      </c>
      <c r="K36" s="242"/>
      <c r="L36" s="141">
        <v>1.1235955056179775E-2</v>
      </c>
      <c r="M36" s="141"/>
      <c r="N36" s="281"/>
      <c r="O36" s="141"/>
      <c r="P36" s="141"/>
      <c r="Q36" s="141"/>
      <c r="R36" s="141"/>
      <c r="T36" s="282"/>
      <c r="Y36" s="162" t="s">
        <v>251</v>
      </c>
      <c r="Z36" s="163">
        <v>25</v>
      </c>
      <c r="AA36" s="162">
        <v>25</v>
      </c>
      <c r="AB36" s="162">
        <v>25</v>
      </c>
      <c r="AC36" s="162">
        <v>25</v>
      </c>
      <c r="AD36" s="162">
        <v>25</v>
      </c>
      <c r="AE36" s="167"/>
      <c r="AF36" s="167"/>
      <c r="AG36" s="167"/>
      <c r="AH36" s="167"/>
      <c r="AI36" s="161"/>
      <c r="AJ36" s="161"/>
    </row>
    <row r="37" spans="2:36">
      <c r="G37" s="69" t="str">
        <f>G33</f>
        <v>HETD</v>
      </c>
      <c r="K37" s="242"/>
      <c r="L37" s="141"/>
      <c r="M37" s="141">
        <v>0.11235955056179776</v>
      </c>
      <c r="N37" s="281"/>
      <c r="O37" s="141"/>
      <c r="P37" s="141"/>
      <c r="Q37" s="141"/>
      <c r="R37" s="141"/>
      <c r="T37" s="282"/>
      <c r="Y37" s="162" t="s">
        <v>400</v>
      </c>
      <c r="Z37" s="290">
        <v>0.14399999999999999</v>
      </c>
      <c r="AA37" s="197">
        <v>0.12</v>
      </c>
      <c r="AB37" s="197">
        <v>0.1</v>
      </c>
      <c r="AC37" s="197">
        <v>0.08</v>
      </c>
      <c r="AD37" s="197">
        <v>0.06</v>
      </c>
      <c r="AE37" s="167">
        <v>0.9</v>
      </c>
      <c r="AF37" s="167">
        <v>1.1000000000000001</v>
      </c>
      <c r="AG37" s="167">
        <v>0.9</v>
      </c>
      <c r="AH37" s="167">
        <v>1.1000000000000001</v>
      </c>
      <c r="AI37" s="161"/>
      <c r="AJ37" s="161">
        <v>1</v>
      </c>
    </row>
    <row r="38" spans="2:36">
      <c r="C38" s="142"/>
      <c r="D38" s="142" t="s">
        <v>379</v>
      </c>
      <c r="E38" s="142"/>
      <c r="F38" s="287" t="str">
        <f>F34</f>
        <v>SNE</v>
      </c>
      <c r="G38" s="142"/>
      <c r="H38" s="142">
        <v>2040</v>
      </c>
      <c r="I38" s="142" t="s">
        <v>70</v>
      </c>
      <c r="J38" s="142"/>
      <c r="K38" s="255">
        <f>K34</f>
        <v>1.6792452830188678</v>
      </c>
      <c r="L38" s="254"/>
      <c r="M38" s="254"/>
      <c r="N38" s="288">
        <v>25</v>
      </c>
      <c r="O38" s="254">
        <v>4.5057600000000013</v>
      </c>
      <c r="P38" s="254">
        <v>0.18023040000000004</v>
      </c>
      <c r="Q38" s="254">
        <v>0.59599999999999997</v>
      </c>
      <c r="R38" s="254">
        <v>0.96150000000000002</v>
      </c>
      <c r="S38" s="142">
        <v>3.1536000000000002E-2</v>
      </c>
      <c r="T38" s="289">
        <v>1</v>
      </c>
      <c r="U38" s="142"/>
      <c r="V38" s="142"/>
      <c r="Y38" s="162" t="s">
        <v>401</v>
      </c>
      <c r="Z38" s="197">
        <v>0.14399999999999999</v>
      </c>
      <c r="AA38" s="197">
        <v>0.12</v>
      </c>
      <c r="AB38" s="197">
        <v>0.1</v>
      </c>
      <c r="AC38" s="197">
        <v>0.08</v>
      </c>
      <c r="AD38" s="197">
        <v>0.06</v>
      </c>
      <c r="AE38" s="167">
        <v>0.9</v>
      </c>
      <c r="AF38" s="167">
        <v>1.1000000000000001</v>
      </c>
      <c r="AG38" s="167">
        <v>0.9</v>
      </c>
      <c r="AH38" s="167">
        <v>1.1000000000000001</v>
      </c>
      <c r="AI38" s="161"/>
      <c r="AJ38" s="161">
        <v>1</v>
      </c>
    </row>
    <row r="39" spans="2:36">
      <c r="E39" s="69" t="str">
        <f>E35</f>
        <v>H2GD</v>
      </c>
      <c r="K39" s="242"/>
      <c r="L39" s="141">
        <v>0.5168539325842697</v>
      </c>
      <c r="M39" s="141"/>
      <c r="N39" s="281"/>
      <c r="O39" s="141"/>
      <c r="P39" s="141"/>
      <c r="Q39" s="141"/>
      <c r="R39" s="141"/>
      <c r="T39" s="282"/>
      <c r="Y39" s="162" t="s">
        <v>397</v>
      </c>
      <c r="Z39" s="162">
        <v>0</v>
      </c>
      <c r="AA39" s="162">
        <v>0</v>
      </c>
      <c r="AB39" s="162">
        <v>0</v>
      </c>
      <c r="AC39" s="162">
        <v>0</v>
      </c>
      <c r="AD39" s="162">
        <v>0</v>
      </c>
      <c r="AE39" s="205"/>
      <c r="AF39" s="205"/>
      <c r="AG39" s="205"/>
      <c r="AH39" s="205"/>
      <c r="AI39" s="161"/>
      <c r="AJ39" s="161"/>
    </row>
    <row r="40" spans="2:36">
      <c r="E40" s="69" t="s">
        <v>71</v>
      </c>
      <c r="K40" s="242"/>
      <c r="L40" s="141">
        <v>1.1235955056179775E-2</v>
      </c>
      <c r="M40" s="141"/>
      <c r="N40" s="281"/>
      <c r="O40" s="141"/>
      <c r="P40" s="141"/>
      <c r="Q40" s="141"/>
      <c r="R40" s="141"/>
      <c r="T40" s="282"/>
    </row>
    <row r="41" spans="2:36">
      <c r="G41" s="69" t="str">
        <f>G37</f>
        <v>HETD</v>
      </c>
      <c r="K41" s="242"/>
      <c r="L41" s="141"/>
      <c r="M41" s="141">
        <v>0.11235955056179776</v>
      </c>
      <c r="N41" s="281"/>
      <c r="O41" s="141"/>
      <c r="P41" s="141"/>
      <c r="Q41" s="141"/>
      <c r="R41" s="141"/>
      <c r="T41" s="282"/>
    </row>
    <row r="42" spans="2:36">
      <c r="C42" s="142"/>
      <c r="D42" s="142" t="s">
        <v>379</v>
      </c>
      <c r="E42" s="142"/>
      <c r="F42" s="287" t="str">
        <f>F38</f>
        <v>SNE</v>
      </c>
      <c r="G42" s="142"/>
      <c r="H42" s="142">
        <v>2050</v>
      </c>
      <c r="I42" s="142" t="s">
        <v>70</v>
      </c>
      <c r="J42" s="142"/>
      <c r="K42" s="255">
        <f>K38</f>
        <v>1.6792452830188678</v>
      </c>
      <c r="L42" s="254"/>
      <c r="M42" s="254"/>
      <c r="N42" s="288">
        <v>25</v>
      </c>
      <c r="O42" s="254">
        <v>3.3793200000000003</v>
      </c>
      <c r="P42" s="254">
        <v>0.13517280000000001</v>
      </c>
      <c r="Q42" s="254">
        <v>0.44700000000000001</v>
      </c>
      <c r="R42" s="254">
        <v>0.96150000000000002</v>
      </c>
      <c r="S42" s="142">
        <v>3.1536000000000002E-2</v>
      </c>
      <c r="T42" s="289">
        <v>1</v>
      </c>
      <c r="U42" s="142"/>
      <c r="V42" s="142"/>
    </row>
    <row r="43" spans="2:36">
      <c r="E43" s="69" t="str">
        <f>E39</f>
        <v>H2GD</v>
      </c>
      <c r="K43" s="242"/>
      <c r="L43" s="141">
        <v>0.5168539325842697</v>
      </c>
      <c r="M43" s="141"/>
      <c r="N43" s="141"/>
      <c r="O43" s="141"/>
      <c r="P43" s="141"/>
      <c r="Q43" s="141"/>
      <c r="R43" s="141"/>
    </row>
    <row r="44" spans="2:36">
      <c r="E44" s="69" t="s">
        <v>71</v>
      </c>
      <c r="K44" s="242"/>
      <c r="L44" s="141">
        <v>1.1235955056179775E-2</v>
      </c>
      <c r="M44" s="141"/>
      <c r="N44" s="141"/>
      <c r="O44" s="141"/>
      <c r="P44" s="141"/>
      <c r="Q44" s="141"/>
      <c r="R44" s="141"/>
    </row>
    <row r="45" spans="2:36">
      <c r="B45" s="70"/>
      <c r="C45" s="70"/>
      <c r="D45" s="70"/>
      <c r="E45" s="70"/>
      <c r="F45" s="70"/>
      <c r="G45" s="70" t="str">
        <f>G41</f>
        <v>HETD</v>
      </c>
      <c r="H45" s="70"/>
      <c r="I45" s="70"/>
      <c r="J45" s="70"/>
      <c r="K45" s="253"/>
      <c r="L45" s="150"/>
      <c r="M45" s="150">
        <v>0.11235955056179776</v>
      </c>
      <c r="N45" s="150"/>
      <c r="O45" s="150"/>
      <c r="P45" s="150"/>
      <c r="Q45" s="150"/>
      <c r="R45" s="150"/>
      <c r="S45" s="70"/>
      <c r="T45" s="70"/>
      <c r="U45" s="70"/>
      <c r="V45" s="70"/>
      <c r="W45" s="70"/>
      <c r="X45" s="70"/>
    </row>
    <row r="46" spans="2:36">
      <c r="K46" s="242"/>
      <c r="L46" s="141"/>
      <c r="M46" s="141"/>
      <c r="N46" s="141"/>
      <c r="O46" s="141"/>
      <c r="P46" s="141"/>
      <c r="Q46" s="141"/>
      <c r="R46" s="141"/>
    </row>
    <row r="47" spans="2:36">
      <c r="K47" s="242"/>
      <c r="L47" s="141"/>
      <c r="M47" s="141"/>
      <c r="N47" s="141"/>
      <c r="O47" s="141"/>
      <c r="P47" s="141"/>
      <c r="Q47" s="141"/>
      <c r="R47" s="141"/>
    </row>
    <row r="48" spans="2:36">
      <c r="K48" s="242"/>
      <c r="L48" s="141"/>
      <c r="M48" s="141"/>
      <c r="N48" s="141"/>
      <c r="O48" s="141"/>
      <c r="P48" s="141"/>
      <c r="Q48" s="141"/>
      <c r="R48" s="141"/>
    </row>
    <row r="49" spans="2:23">
      <c r="K49" s="242"/>
      <c r="L49" s="141"/>
      <c r="M49" s="141"/>
      <c r="N49" s="141"/>
      <c r="O49" s="141"/>
      <c r="P49" s="141"/>
      <c r="Q49" s="141"/>
      <c r="R49" s="141"/>
    </row>
    <row r="50" spans="2:23">
      <c r="K50" s="242"/>
      <c r="L50" s="141"/>
      <c r="M50" s="141"/>
      <c r="N50" s="141"/>
      <c r="O50" s="141"/>
      <c r="P50" s="141"/>
      <c r="Q50" s="141"/>
      <c r="R50" s="141"/>
    </row>
    <row r="51" spans="2:23">
      <c r="K51" s="242"/>
      <c r="L51" s="141"/>
      <c r="M51" s="141"/>
      <c r="N51" s="141"/>
      <c r="O51" s="141"/>
      <c r="P51" s="141"/>
      <c r="Q51" s="141"/>
      <c r="R51" s="141"/>
    </row>
    <row r="52" spans="2:23">
      <c r="K52" s="242"/>
      <c r="L52" s="141"/>
      <c r="M52" s="141"/>
      <c r="N52" s="141"/>
      <c r="O52" s="141"/>
      <c r="P52" s="141"/>
      <c r="Q52" s="141"/>
      <c r="R52" s="141"/>
    </row>
    <row r="53" spans="2:23">
      <c r="I53" s="291" t="s">
        <v>0</v>
      </c>
    </row>
    <row r="54" spans="2:23" ht="14.4">
      <c r="B54" s="73" t="s">
        <v>2</v>
      </c>
      <c r="C54" s="73" t="s">
        <v>11</v>
      </c>
      <c r="D54" s="73" t="s">
        <v>189</v>
      </c>
      <c r="E54" s="73" t="s">
        <v>32</v>
      </c>
      <c r="F54" s="73" t="s">
        <v>33</v>
      </c>
      <c r="G54" s="73" t="s">
        <v>3</v>
      </c>
      <c r="H54" s="73" t="s">
        <v>34</v>
      </c>
      <c r="I54" s="73" t="s">
        <v>35</v>
      </c>
      <c r="J54" s="73" t="s">
        <v>402</v>
      </c>
      <c r="K54" s="73" t="s">
        <v>188</v>
      </c>
      <c r="L54" s="73" t="s">
        <v>239</v>
      </c>
      <c r="M54" s="73" t="s">
        <v>5</v>
      </c>
      <c r="N54" s="73" t="s">
        <v>403</v>
      </c>
      <c r="O54" s="73" t="s">
        <v>404</v>
      </c>
      <c r="P54" s="73" t="s">
        <v>405</v>
      </c>
      <c r="Q54" s="73" t="s">
        <v>186</v>
      </c>
      <c r="R54" s="73" t="s">
        <v>6</v>
      </c>
      <c r="S54" s="73" t="s">
        <v>7</v>
      </c>
      <c r="T54" s="73" t="s">
        <v>8</v>
      </c>
      <c r="U54" s="292" t="s">
        <v>9</v>
      </c>
      <c r="V54" s="73" t="s">
        <v>1442</v>
      </c>
      <c r="W54" s="11" t="s">
        <v>41</v>
      </c>
    </row>
    <row r="55" spans="2:23" ht="58.2" thickBot="1">
      <c r="B55" s="293" t="s">
        <v>184</v>
      </c>
      <c r="C55" s="293" t="s">
        <v>19</v>
      </c>
      <c r="D55" s="293" t="s">
        <v>182</v>
      </c>
      <c r="E55" s="293" t="s">
        <v>183</v>
      </c>
      <c r="F55" s="293" t="s">
        <v>234</v>
      </c>
      <c r="G55" s="293" t="s">
        <v>181</v>
      </c>
      <c r="H55" s="293" t="s">
        <v>46</v>
      </c>
      <c r="I55" s="293" t="s">
        <v>406</v>
      </c>
      <c r="J55" s="293" t="s">
        <v>233</v>
      </c>
      <c r="K55" s="293" t="s">
        <v>180</v>
      </c>
      <c r="L55" s="293" t="s">
        <v>232</v>
      </c>
      <c r="M55" s="293" t="s">
        <v>407</v>
      </c>
      <c r="N55" s="293" t="s">
        <v>408</v>
      </c>
      <c r="O55" s="293" t="s">
        <v>408</v>
      </c>
      <c r="P55" s="293" t="s">
        <v>408</v>
      </c>
      <c r="Q55" s="293" t="s">
        <v>178</v>
      </c>
      <c r="R55" s="293" t="s">
        <v>175</v>
      </c>
      <c r="S55" s="293" t="s">
        <v>174</v>
      </c>
      <c r="T55" s="293" t="s">
        <v>173</v>
      </c>
      <c r="U55" s="294" t="s">
        <v>409</v>
      </c>
      <c r="V55" s="293" t="s">
        <v>67</v>
      </c>
      <c r="W55" s="13" t="s">
        <v>56</v>
      </c>
    </row>
    <row r="56" spans="2:23" ht="15" thickBot="1">
      <c r="B56" s="295" t="s">
        <v>410</v>
      </c>
      <c r="C56" s="295"/>
      <c r="D56" s="295"/>
      <c r="E56" s="295"/>
      <c r="F56" s="295"/>
      <c r="G56" s="295"/>
      <c r="H56" s="295"/>
      <c r="I56" s="295" t="s">
        <v>158</v>
      </c>
      <c r="J56" s="295" t="s">
        <v>411</v>
      </c>
      <c r="K56" s="295" t="s">
        <v>412</v>
      </c>
      <c r="L56" s="295" t="s">
        <v>413</v>
      </c>
      <c r="M56" s="295" t="s">
        <v>158</v>
      </c>
      <c r="N56" s="295"/>
      <c r="O56" s="295"/>
      <c r="P56" s="295"/>
      <c r="Q56" s="295"/>
      <c r="R56" s="295" t="s">
        <v>414</v>
      </c>
      <c r="S56" s="295" t="s">
        <v>414</v>
      </c>
      <c r="T56" s="295"/>
      <c r="U56" s="296" t="s">
        <v>330</v>
      </c>
      <c r="V56" s="295" t="s">
        <v>165</v>
      </c>
      <c r="W56" s="15"/>
    </row>
    <row r="57" spans="2:23" ht="14.4">
      <c r="B57" s="69" t="s">
        <v>415</v>
      </c>
      <c r="C57" s="69" t="s">
        <v>416</v>
      </c>
      <c r="E57" s="69" t="s">
        <v>379</v>
      </c>
      <c r="G57" s="69" t="s">
        <v>88</v>
      </c>
      <c r="H57" s="297" t="s">
        <v>70</v>
      </c>
      <c r="I57" s="69">
        <f>'82 Biogas, upgrading'!$C$4</f>
        <v>2015</v>
      </c>
      <c r="J57" s="69">
        <f>'82 Biogas, upgrading'!$C$17</f>
        <v>0.99</v>
      </c>
      <c r="M57" s="69">
        <f>'82 Biogas, upgrading'!$C$23</f>
        <v>15</v>
      </c>
      <c r="Q57" s="141">
        <f>(8760-('82 Biogas, upgrading'!$C$21+'82 Biogas, upgrading'!$C$22)*7*24)/8760</f>
        <v>0.9616438356164384</v>
      </c>
      <c r="R57" s="69">
        <f>SUM('82 Biogas, upgrading'!$C$27:$C$28)/1000000*7.45</f>
        <v>3.4940499999999997</v>
      </c>
      <c r="S57" s="141">
        <f>'82 Biogas, upgrading'!$C$30/1000000*7.45</f>
        <v>8.7910000000000002E-2</v>
      </c>
      <c r="U57" s="298">
        <f>SUP_Biogas!U31</f>
        <v>3.1536000000000002E-2</v>
      </c>
      <c r="V57" s="69">
        <v>0.5</v>
      </c>
      <c r="W57" s="69" t="s">
        <v>267</v>
      </c>
    </row>
    <row r="58" spans="2:23">
      <c r="D58" s="69" t="s">
        <v>71</v>
      </c>
      <c r="K58" s="69">
        <f>SUM('82 Biogas, upgrading'!$C$12:$C$13)*'82 Biogas, upgrading'!$C$17</f>
        <v>5.2627883650952868E-2</v>
      </c>
      <c r="S58" s="141"/>
    </row>
    <row r="59" spans="2:23">
      <c r="F59" s="69" t="s">
        <v>216</v>
      </c>
      <c r="L59" s="69">
        <f>'82 Biogas, upgrading'!$C$19</f>
        <v>5.2999999999999999E-2</v>
      </c>
      <c r="S59" s="141"/>
    </row>
    <row r="60" spans="2:23" ht="13.8">
      <c r="F60" s="7" t="s">
        <v>163</v>
      </c>
      <c r="L60" s="141">
        <f>'Data_CO2 sources DK'!I26</f>
        <v>23.545553197813064</v>
      </c>
      <c r="S60" s="141"/>
    </row>
    <row r="61" spans="2:23" ht="14.4">
      <c r="E61" s="69" t="str">
        <f>E57</f>
        <v>SUPBGA</v>
      </c>
      <c r="G61" s="69" t="s">
        <v>88</v>
      </c>
      <c r="H61" s="297" t="s">
        <v>70</v>
      </c>
      <c r="I61" s="69">
        <f>'82 Biogas, upgrading'!$D$4</f>
        <v>2020</v>
      </c>
      <c r="J61" s="69">
        <f>'82 Biogas, upgrading'!$D$17</f>
        <v>0.99</v>
      </c>
      <c r="M61" s="69">
        <f>'82 Biogas, upgrading'!$D$23</f>
        <v>15</v>
      </c>
      <c r="Q61" s="141">
        <f>(8760-('82 Biogas, upgrading'!$D$21+'82 Biogas, upgrading'!$D$22)*7*24)/8760</f>
        <v>0.9616438356164384</v>
      </c>
      <c r="R61" s="69">
        <f>SUM('82 Biogas, upgrading'!$D$27:$D$28)/1000000*7.45</f>
        <v>3.1513499999999999</v>
      </c>
      <c r="S61" s="141">
        <f>'82 Biogas, upgrading'!$D$30/1000000*7.45</f>
        <v>7.8969999999999999E-2</v>
      </c>
      <c r="U61" s="298">
        <f>U57</f>
        <v>3.1536000000000002E-2</v>
      </c>
      <c r="V61" s="69">
        <v>0.5</v>
      </c>
    </row>
    <row r="62" spans="2:23">
      <c r="D62" s="69" t="s">
        <v>71</v>
      </c>
      <c r="K62" s="69">
        <f>SUM('82 Biogas, upgrading'!$D$12:$D$13)*'82 Biogas, upgrading'!$D$17</f>
        <v>5.2627883650952868E-2</v>
      </c>
      <c r="S62" s="141"/>
    </row>
    <row r="63" spans="2:23">
      <c r="F63" s="69" t="s">
        <v>216</v>
      </c>
      <c r="L63" s="69">
        <f>'82 Biogas, upgrading'!$D$19</f>
        <v>5.2999999999999999E-2</v>
      </c>
      <c r="S63" s="141"/>
    </row>
    <row r="64" spans="2:23">
      <c r="F64" s="69" t="str">
        <f>F60</f>
        <v>BGACO2</v>
      </c>
      <c r="L64" s="141">
        <f>L60</f>
        <v>23.545553197813064</v>
      </c>
      <c r="S64" s="141"/>
    </row>
    <row r="65" spans="2:23" ht="14.4">
      <c r="E65" s="69" t="str">
        <f>E61</f>
        <v>SUPBGA</v>
      </c>
      <c r="G65" s="69" t="s">
        <v>88</v>
      </c>
      <c r="H65" s="297" t="s">
        <v>70</v>
      </c>
      <c r="I65" s="69">
        <f>'82 Biogas, upgrading'!$E$4</f>
        <v>2030</v>
      </c>
      <c r="J65" s="299">
        <f>'82 Biogas, upgrading'!$E$17</f>
        <v>1</v>
      </c>
      <c r="M65" s="69">
        <f>'82 Biogas, upgrading'!$E$23</f>
        <v>15</v>
      </c>
      <c r="Q65" s="141">
        <f>(8760-('82 Biogas, upgrading'!$E$21+'82 Biogas, upgrading'!$E$22)*7*24)/8760</f>
        <v>0.9616438356164384</v>
      </c>
      <c r="R65" s="69">
        <f>SUM('82 Biogas, upgrading'!$E$27:$E$28)/1000000*7.45</f>
        <v>2.8384499999999999</v>
      </c>
      <c r="S65" s="141">
        <f>'82 Biogas, upgrading'!$E$30/1000000*7.45</f>
        <v>7.0775000000000005E-2</v>
      </c>
      <c r="U65" s="298">
        <f>U61</f>
        <v>3.1536000000000002E-2</v>
      </c>
      <c r="V65" s="69">
        <v>0.5</v>
      </c>
    </row>
    <row r="66" spans="2:23">
      <c r="D66" s="69" t="s">
        <v>71</v>
      </c>
      <c r="K66" s="69">
        <f>SUM('82 Biogas, upgrading'!$E$12:$E$13)*'82 Biogas, upgrading'!$E$17</f>
        <v>3.159478435305918E-2</v>
      </c>
      <c r="S66" s="141"/>
    </row>
    <row r="67" spans="2:23">
      <c r="F67" s="69" t="s">
        <v>216</v>
      </c>
      <c r="L67" s="69">
        <f>'82 Biogas, upgrading'!$E$19</f>
        <v>3.2000000000000001E-2</v>
      </c>
      <c r="S67" s="141"/>
    </row>
    <row r="68" spans="2:23">
      <c r="F68" s="69" t="str">
        <f>F64</f>
        <v>BGACO2</v>
      </c>
      <c r="L68" s="141">
        <f>L64</f>
        <v>23.545553197813064</v>
      </c>
      <c r="S68" s="141"/>
    </row>
    <row r="69" spans="2:23" ht="14.4">
      <c r="E69" s="69" t="str">
        <f>E65</f>
        <v>SUPBGA</v>
      </c>
      <c r="G69" s="69" t="s">
        <v>88</v>
      </c>
      <c r="H69" s="297" t="s">
        <v>70</v>
      </c>
      <c r="I69" s="69">
        <f>'82 Biogas, upgrading'!$F$4</f>
        <v>2050</v>
      </c>
      <c r="J69" s="299">
        <f>'82 Biogas, upgrading'!$F$17</f>
        <v>1</v>
      </c>
      <c r="M69" s="69">
        <f>'82 Biogas, upgrading'!$F$23</f>
        <v>15</v>
      </c>
      <c r="Q69" s="141">
        <f>(8760-('82 Biogas, upgrading'!$F$21+'82 Biogas, upgrading'!$F$22)*7*24)/8760</f>
        <v>0.9616438356164384</v>
      </c>
      <c r="R69" s="69">
        <f>SUM('82 Biogas, upgrading'!$F$27:$F$28)/1000000*7.45</f>
        <v>2.5553500000000002</v>
      </c>
      <c r="S69" s="141">
        <f>'82 Biogas, upgrading'!$F$30/1000000*7.45</f>
        <v>6.4070000000000002E-2</v>
      </c>
      <c r="U69" s="298">
        <f>U65</f>
        <v>3.1536000000000002E-2</v>
      </c>
      <c r="V69" s="69">
        <v>0.5</v>
      </c>
    </row>
    <row r="70" spans="2:23">
      <c r="D70" s="69" t="s">
        <v>71</v>
      </c>
      <c r="K70" s="69">
        <f>SUM('82 Biogas, upgrading'!$F$12:$F$13)*'82 Biogas, upgrading'!$F$17</f>
        <v>3.159478435305918E-2</v>
      </c>
      <c r="S70" s="141"/>
    </row>
    <row r="71" spans="2:23">
      <c r="F71" s="69" t="s">
        <v>216</v>
      </c>
      <c r="L71" s="69">
        <f>'82 Biogas, upgrading'!$F$19</f>
        <v>3.2000000000000001E-2</v>
      </c>
      <c r="S71" s="141"/>
    </row>
    <row r="72" spans="2:23">
      <c r="B72" s="70"/>
      <c r="C72" s="70"/>
      <c r="D72" s="70"/>
      <c r="E72" s="70"/>
      <c r="F72" s="300" t="str">
        <f>F68</f>
        <v>BGACO2</v>
      </c>
      <c r="G72" s="70"/>
      <c r="H72" s="70"/>
      <c r="I72" s="70"/>
      <c r="J72" s="70"/>
      <c r="K72" s="70"/>
      <c r="L72" s="150">
        <f>L68</f>
        <v>23.545553197813064</v>
      </c>
      <c r="M72" s="70"/>
      <c r="N72" s="70"/>
      <c r="O72" s="70"/>
      <c r="P72" s="70"/>
      <c r="Q72" s="70"/>
      <c r="R72" s="70"/>
      <c r="S72" s="150"/>
      <c r="T72" s="70"/>
      <c r="U72" s="70"/>
      <c r="V72" s="70"/>
    </row>
    <row r="73" spans="2:23" ht="40.200000000000003">
      <c r="B73" s="69" t="s">
        <v>417</v>
      </c>
      <c r="C73" s="69" t="s">
        <v>418</v>
      </c>
      <c r="E73" s="301" t="s">
        <v>419</v>
      </c>
      <c r="G73" s="69" t="s">
        <v>88</v>
      </c>
      <c r="H73" s="297" t="s">
        <v>70</v>
      </c>
      <c r="I73" s="69">
        <f>'82 Biogas, upgrading'!$C$4</f>
        <v>2015</v>
      </c>
      <c r="J73" s="69">
        <f>'84 Gasif. CFB, Bio-SNG'!$C$9/100*'84 Gasif. CFB, Bio-SNG'!$C$13/100</f>
        <v>0.50960000000000005</v>
      </c>
      <c r="Q73" s="141">
        <f>1-('84 Gasif. CFB, Bio-SNG'!$C$16/100+'84 Gasif. CFB, Bio-SNG'!$C$17*77*24/8760)</f>
        <v>0.3371232876712329</v>
      </c>
      <c r="R73" s="69">
        <f>'84 Gasif. CFB, Bio-SNG'!$C$22*7.45</f>
        <v>29.8</v>
      </c>
      <c r="S73" s="141">
        <f>'84 Gasif. CFB, Bio-SNG'!$C$25/1000000*7.45</f>
        <v>0.59972500000000006</v>
      </c>
      <c r="U73" s="298">
        <f>SUP_Biogas!U55</f>
        <v>3.1536000000000002E-2</v>
      </c>
      <c r="V73" s="69">
        <v>2</v>
      </c>
      <c r="W73" s="69" t="s">
        <v>267</v>
      </c>
    </row>
    <row r="74" spans="2:23">
      <c r="D74" s="69" t="s">
        <v>71</v>
      </c>
      <c r="E74" s="301"/>
      <c r="K74" s="69">
        <f>('84 Gasif. CFB, Bio-SNG'!$C$10/100*'84 Gasif. CFB, Bio-SNG'!$C$13/100)/J73</f>
        <v>9.8901098901098897E-2</v>
      </c>
    </row>
    <row r="75" spans="2:23">
      <c r="E75" s="301"/>
      <c r="F75" s="69" t="s">
        <v>216</v>
      </c>
      <c r="L75" s="69">
        <f>'84 Gasif. CFB, Bio-SNG'!$C$14/100</f>
        <v>0.15</v>
      </c>
    </row>
    <row r="76" spans="2:23" ht="40.200000000000003">
      <c r="E76" s="301" t="s">
        <v>419</v>
      </c>
      <c r="G76" s="69" t="s">
        <v>88</v>
      </c>
      <c r="H76" s="297" t="s">
        <v>70</v>
      </c>
      <c r="I76" s="69">
        <f>'82 Biogas, upgrading'!$D$4</f>
        <v>2020</v>
      </c>
      <c r="J76" s="69">
        <f>'84 Gasif. CFB, Bio-SNG'!$D$9/100*'84 Gasif. CFB, Bio-SNG'!$D$13/100</f>
        <v>0.6</v>
      </c>
      <c r="Q76" s="141">
        <f>1-('84 Gasif. CFB, Bio-SNG'!$D$16/100+'84 Gasif. CFB, Bio-SNG'!$D$17*77*24/8760)</f>
        <v>0.3371232876712329</v>
      </c>
      <c r="R76" s="141">
        <f>'84 Gasif. CFB, Bio-SNG'!$D$22*7.45</f>
        <v>18.625</v>
      </c>
      <c r="S76" s="141">
        <f>'84 Gasif. CFB, Bio-SNG'!$D$25/1000000*7.45</f>
        <v>0.29948999999999998</v>
      </c>
      <c r="U76" s="298">
        <f>U73</f>
        <v>3.1536000000000002E-2</v>
      </c>
      <c r="V76" s="69">
        <v>2</v>
      </c>
    </row>
    <row r="77" spans="2:23">
      <c r="D77" s="69" t="s">
        <v>71</v>
      </c>
      <c r="E77" s="301"/>
      <c r="K77" s="69">
        <f>('84 Gasif. CFB, Bio-SNG'!$D$10/100*'84 Gasif. CFB, Bio-SNG'!$D$13/100)/J76</f>
        <v>0</v>
      </c>
      <c r="R77" s="141"/>
    </row>
    <row r="78" spans="2:23">
      <c r="E78" s="301"/>
      <c r="F78" s="69" t="s">
        <v>216</v>
      </c>
      <c r="L78" s="69">
        <f>'84 Gasif. CFB, Bio-SNG'!$D$14/100</f>
        <v>0.2</v>
      </c>
      <c r="R78" s="141"/>
    </row>
    <row r="79" spans="2:23" ht="40.200000000000003">
      <c r="E79" s="301" t="s">
        <v>419</v>
      </c>
      <c r="G79" s="69" t="s">
        <v>88</v>
      </c>
      <c r="H79" s="297" t="s">
        <v>70</v>
      </c>
      <c r="I79" s="69">
        <f>'82 Biogas, upgrading'!$E$4</f>
        <v>2030</v>
      </c>
      <c r="J79" s="69">
        <f>'84 Gasif. CFB, Bio-SNG'!$E$9/100*'84 Gasif. CFB, Bio-SNG'!$E$13/100</f>
        <v>0.63</v>
      </c>
      <c r="Q79" s="141">
        <f>1-('84 Gasif. CFB, Bio-SNG'!$E$16/100+'84 Gasif. CFB, Bio-SNG'!$E$17*77*24/8760)</f>
        <v>0.3371232876712329</v>
      </c>
      <c r="R79" s="141">
        <f>'84 Gasif. CFB, Bio-SNG'!$E$22*7.45</f>
        <v>11.920000000000002</v>
      </c>
      <c r="S79" s="141">
        <f>'84 Gasif. CFB, Bio-SNG'!$E$25/1000000*7.45</f>
        <v>0.19519</v>
      </c>
      <c r="U79" s="298">
        <f>U76</f>
        <v>3.1536000000000002E-2</v>
      </c>
      <c r="V79" s="69">
        <v>2</v>
      </c>
    </row>
    <row r="80" spans="2:23">
      <c r="D80" s="69" t="s">
        <v>71</v>
      </c>
      <c r="E80" s="301"/>
      <c r="K80" s="69">
        <f>('84 Gasif. CFB, Bio-SNG'!$E$10/100*'84 Gasif. CFB, Bio-SNG'!$E$13/100)/J79</f>
        <v>0</v>
      </c>
      <c r="R80" s="141"/>
    </row>
    <row r="81" spans="2:22">
      <c r="E81" s="301"/>
      <c r="F81" s="69" t="s">
        <v>216</v>
      </c>
      <c r="L81" s="69">
        <f>'84 Gasif. CFB, Bio-SNG'!$E$14/100</f>
        <v>0.22</v>
      </c>
      <c r="R81" s="141"/>
    </row>
    <row r="82" spans="2:22" ht="40.200000000000003">
      <c r="E82" s="301" t="s">
        <v>419</v>
      </c>
      <c r="G82" s="69" t="s">
        <v>88</v>
      </c>
      <c r="H82" s="297" t="s">
        <v>70</v>
      </c>
      <c r="I82" s="69">
        <f>'82 Biogas, upgrading'!$F$4</f>
        <v>2050</v>
      </c>
      <c r="J82" s="69">
        <f>'84 Gasif. CFB, Bio-SNG'!$F$9/100*'84 Gasif. CFB, Bio-SNG'!$F$13/100</f>
        <v>0.7</v>
      </c>
      <c r="Q82" s="141">
        <f>1-('84 Gasif. CFB, Bio-SNG'!$F$16/100+'84 Gasif. CFB, Bio-SNG'!$F$17*77*24/8760)</f>
        <v>0.3371232876712329</v>
      </c>
      <c r="R82" s="141">
        <f>'84 Gasif. CFB, Bio-SNG'!$F$22*7.45</f>
        <v>11.175000000000001</v>
      </c>
      <c r="S82" s="141">
        <f>'84 Gasif. CFB, Bio-SNG'!$F$25/1000000*7.45</f>
        <v>0.17954500000000001</v>
      </c>
      <c r="U82" s="298">
        <f>U79</f>
        <v>3.1536000000000002E-2</v>
      </c>
      <c r="V82" s="69">
        <v>2</v>
      </c>
    </row>
    <row r="83" spans="2:22">
      <c r="D83" s="69" t="s">
        <v>71</v>
      </c>
      <c r="K83" s="69">
        <f>('84 Gasif. CFB, Bio-SNG'!$F$10/100*'84 Gasif. CFB, Bio-SNG'!$F$13/100)/J82</f>
        <v>0</v>
      </c>
    </row>
    <row r="84" spans="2:22">
      <c r="B84" s="70"/>
      <c r="C84" s="70"/>
      <c r="D84" s="70"/>
      <c r="E84" s="70"/>
      <c r="F84" s="70" t="s">
        <v>216</v>
      </c>
      <c r="G84" s="70"/>
      <c r="H84" s="70"/>
      <c r="I84" s="70"/>
      <c r="J84" s="70"/>
      <c r="K84" s="70"/>
      <c r="L84" s="70">
        <f>'84 Gasif. CFB, Bio-SNG'!$F$14/100</f>
        <v>0.2</v>
      </c>
      <c r="M84" s="70"/>
      <c r="N84" s="70"/>
      <c r="O84" s="70"/>
      <c r="P84" s="70"/>
      <c r="Q84" s="70"/>
      <c r="R84" s="70"/>
      <c r="S84" s="70"/>
      <c r="T84" s="70"/>
      <c r="U84" s="70"/>
      <c r="V84" s="70"/>
    </row>
  </sheetData>
  <mergeCells count="3">
    <mergeCell ref="Z2:AJ2"/>
    <mergeCell ref="AE3:AF3"/>
    <mergeCell ref="AG3:AH3"/>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1326E-9953-4DAC-AC0F-8F9E2DC78AE4}">
  <sheetPr>
    <tabColor theme="6" tint="0.39997558519241921"/>
  </sheetPr>
  <dimension ref="B1:AM73"/>
  <sheetViews>
    <sheetView tabSelected="1" topLeftCell="B1" zoomScale="80" zoomScaleNormal="80" workbookViewId="0">
      <pane xSplit="1" ySplit="7" topLeftCell="I8" activePane="bottomRight" state="frozen"/>
      <selection activeCell="K29" sqref="K29"/>
      <selection pane="topRight" activeCell="K29" sqref="K29"/>
      <selection pane="bottomLeft" activeCell="K29" sqref="K29"/>
      <selection pane="bottomRight" activeCell="O16" sqref="O16"/>
    </sheetView>
  </sheetViews>
  <sheetFormatPr defaultColWidth="9.109375" defaultRowHeight="13.2"/>
  <cols>
    <col min="1" max="1" width="2.88671875" style="69" customWidth="1"/>
    <col min="2" max="2" width="40.6640625" style="69" customWidth="1"/>
    <col min="3" max="3" width="43.88671875" style="69" bestFit="1" customWidth="1"/>
    <col min="4" max="4" width="33.6640625" style="69" bestFit="1" customWidth="1"/>
    <col min="5" max="5" width="14.6640625" style="69" bestFit="1" customWidth="1"/>
    <col min="6" max="6" width="67.33203125" style="69" bestFit="1" customWidth="1"/>
    <col min="7" max="8" width="15.88671875" style="69" customWidth="1"/>
    <col min="9" max="9" width="16.44140625" style="69" bestFit="1" customWidth="1"/>
    <col min="10" max="10" width="16.44140625" style="69" customWidth="1"/>
    <col min="11" max="11" width="16.44140625" style="69" bestFit="1" customWidth="1"/>
    <col min="12" max="12" width="14.5546875" style="69" bestFit="1" customWidth="1"/>
    <col min="13" max="15" width="13.109375" style="69" customWidth="1"/>
    <col min="16" max="16" width="11.33203125" style="69" customWidth="1"/>
    <col min="17" max="17" width="12.5546875" style="69" customWidth="1"/>
    <col min="18" max="18" width="13.88671875" style="69" customWidth="1"/>
    <col min="19" max="19" width="11.44140625" style="69" customWidth="1"/>
    <col min="20" max="22" width="9.109375" style="69"/>
    <col min="23" max="23" width="11.109375" style="69" customWidth="1"/>
    <col min="24" max="16384" width="9.109375" style="69"/>
  </cols>
  <sheetData>
    <row r="1" spans="2:39">
      <c r="S1" s="69">
        <f>S2/3.6</f>
        <v>97.300167452256986</v>
      </c>
      <c r="T1" s="69" t="s">
        <v>1767</v>
      </c>
    </row>
    <row r="2" spans="2:39">
      <c r="R2" s="1257">
        <f>PMT(0.1,20,-R8*1000000)+S8*1000000</f>
        <v>3068458.0807743762</v>
      </c>
      <c r="S2" s="69">
        <f>R2/8760</f>
        <v>350.28060282812515</v>
      </c>
      <c r="T2" s="69" t="s">
        <v>1766</v>
      </c>
      <c r="W2" s="69" t="s">
        <v>420</v>
      </c>
    </row>
    <row r="4" spans="2:39">
      <c r="I4" s="291" t="s">
        <v>0</v>
      </c>
      <c r="J4" s="291"/>
    </row>
    <row r="5" spans="2:39" ht="14.4">
      <c r="B5" s="73" t="s">
        <v>2</v>
      </c>
      <c r="C5" s="73" t="s">
        <v>11</v>
      </c>
      <c r="D5" s="73" t="s">
        <v>189</v>
      </c>
      <c r="E5" s="73" t="s">
        <v>32</v>
      </c>
      <c r="F5" s="73" t="s">
        <v>33</v>
      </c>
      <c r="G5" s="73" t="s">
        <v>3</v>
      </c>
      <c r="H5" s="73" t="s">
        <v>34</v>
      </c>
      <c r="I5" s="73" t="s">
        <v>35</v>
      </c>
      <c r="J5" s="73" t="s">
        <v>4</v>
      </c>
      <c r="K5" s="73" t="s">
        <v>402</v>
      </c>
      <c r="L5" s="73" t="s">
        <v>188</v>
      </c>
      <c r="M5" s="73" t="s">
        <v>239</v>
      </c>
      <c r="N5" s="73" t="s">
        <v>5</v>
      </c>
      <c r="O5" s="73" t="s">
        <v>1768</v>
      </c>
      <c r="P5" s="73" t="s">
        <v>405</v>
      </c>
      <c r="Q5" s="73" t="s">
        <v>186</v>
      </c>
      <c r="R5" s="73" t="s">
        <v>6</v>
      </c>
      <c r="S5" s="73" t="s">
        <v>7</v>
      </c>
      <c r="T5" s="73" t="s">
        <v>8</v>
      </c>
      <c r="U5" s="292" t="s">
        <v>9</v>
      </c>
      <c r="V5" s="73" t="s">
        <v>1442</v>
      </c>
      <c r="W5" s="12"/>
    </row>
    <row r="6" spans="2:39" ht="58.2" thickBot="1">
      <c r="B6" s="293" t="s">
        <v>184</v>
      </c>
      <c r="C6" s="293" t="s">
        <v>19</v>
      </c>
      <c r="D6" s="293" t="s">
        <v>182</v>
      </c>
      <c r="E6" s="293" t="s">
        <v>183</v>
      </c>
      <c r="F6" s="293" t="s">
        <v>234</v>
      </c>
      <c r="G6" s="293" t="s">
        <v>181</v>
      </c>
      <c r="H6" s="293" t="s">
        <v>46</v>
      </c>
      <c r="I6" s="293" t="s">
        <v>406</v>
      </c>
      <c r="J6" s="293"/>
      <c r="K6" s="293" t="s">
        <v>233</v>
      </c>
      <c r="L6" s="293" t="s">
        <v>180</v>
      </c>
      <c r="M6" s="293" t="s">
        <v>232</v>
      </c>
      <c r="N6" s="293" t="s">
        <v>407</v>
      </c>
      <c r="O6" s="293" t="s">
        <v>408</v>
      </c>
      <c r="P6" s="293" t="s">
        <v>408</v>
      </c>
      <c r="Q6" s="293" t="s">
        <v>178</v>
      </c>
      <c r="R6" s="293" t="s">
        <v>175</v>
      </c>
      <c r="S6" s="293" t="s">
        <v>174</v>
      </c>
      <c r="T6" s="293" t="s">
        <v>173</v>
      </c>
      <c r="U6" s="294" t="s">
        <v>409</v>
      </c>
      <c r="V6" s="293" t="s">
        <v>67</v>
      </c>
      <c r="AA6" s="69" t="s">
        <v>421</v>
      </c>
      <c r="AG6" s="69" t="s">
        <v>422</v>
      </c>
    </row>
    <row r="7" spans="2:39" ht="15" thickBot="1">
      <c r="B7" s="295" t="s">
        <v>410</v>
      </c>
      <c r="C7" s="295"/>
      <c r="D7" s="295"/>
      <c r="E7" s="295"/>
      <c r="F7" s="295"/>
      <c r="G7" s="295"/>
      <c r="H7" s="295"/>
      <c r="I7" s="295" t="s">
        <v>158</v>
      </c>
      <c r="J7" s="295"/>
      <c r="K7" s="295" t="s">
        <v>411</v>
      </c>
      <c r="L7" s="295" t="s">
        <v>412</v>
      </c>
      <c r="M7" s="295" t="s">
        <v>413</v>
      </c>
      <c r="N7" s="295" t="s">
        <v>158</v>
      </c>
      <c r="O7" s="295"/>
      <c r="P7" s="295"/>
      <c r="Q7" s="295"/>
      <c r="R7" s="295" t="s">
        <v>414</v>
      </c>
      <c r="S7" s="295" t="s">
        <v>414</v>
      </c>
      <c r="T7" s="295" t="s">
        <v>423</v>
      </c>
      <c r="U7" s="296" t="s">
        <v>330</v>
      </c>
      <c r="V7" s="295" t="s">
        <v>165</v>
      </c>
      <c r="AA7" s="304"/>
      <c r="AB7" s="104" t="s">
        <v>425</v>
      </c>
      <c r="AC7" s="104" t="s">
        <v>426</v>
      </c>
      <c r="AD7" s="305" t="s">
        <v>427</v>
      </c>
      <c r="AF7" s="69" t="s">
        <v>1771</v>
      </c>
    </row>
    <row r="8" spans="2:39" ht="16.95" customHeight="1">
      <c r="B8" s="297" t="str">
        <f>"SUP"&amp;G8&amp;RIGHT(E8,3)&amp;"1N"</f>
        <v>SUPBGAMNR1N</v>
      </c>
      <c r="C8" s="297" t="s">
        <v>429</v>
      </c>
      <c r="D8" s="297"/>
      <c r="E8" s="297" t="s">
        <v>430</v>
      </c>
      <c r="F8" s="297"/>
      <c r="G8" s="297" t="s">
        <v>431</v>
      </c>
      <c r="H8" s="297" t="s">
        <v>70</v>
      </c>
      <c r="I8" s="297">
        <v>2010</v>
      </c>
      <c r="J8" s="297"/>
      <c r="K8" s="306">
        <f>1/(SUMPRODUCT(AB8:AB15,AC8:AC15)/'81 Biogas Plant, Basic conf.'!$G$18)</f>
        <v>0.95943120497798562</v>
      </c>
      <c r="L8" s="306"/>
      <c r="M8" s="306"/>
      <c r="N8" s="307">
        <v>20</v>
      </c>
      <c r="O8" s="306">
        <f>(AD8+AD10)*0.98</f>
        <v>0.54880000000000007</v>
      </c>
      <c r="P8" s="307">
        <v>5</v>
      </c>
      <c r="Q8" s="298">
        <f>(365-10)/365</f>
        <v>0.9726027397260274</v>
      </c>
      <c r="R8" s="298">
        <f>'81 Biogas Plant, Basic conf.'!$G$27*7.45</f>
        <v>13.515354721600163</v>
      </c>
      <c r="S8" s="298">
        <f>'81 Biogas Plant, Basic conf.'!$G$30/1000000*7.45</f>
        <v>1.4809495865073661</v>
      </c>
      <c r="U8" s="308">
        <f>3.6*8760/1000000</f>
        <v>3.1536000000000002E-2</v>
      </c>
      <c r="V8" s="309">
        <v>-2</v>
      </c>
      <c r="AA8" s="311" t="s">
        <v>432</v>
      </c>
      <c r="AB8" s="312">
        <v>0.79800000000000004</v>
      </c>
      <c r="AC8" s="69">
        <v>0.44</v>
      </c>
      <c r="AD8" s="313">
        <v>0.44</v>
      </c>
      <c r="AE8" s="69">
        <f>AB8*AC8</f>
        <v>0.35112000000000004</v>
      </c>
      <c r="AF8" s="69">
        <f t="shared" ref="AF8:AF15" si="0">AB8*AC8</f>
        <v>0.35112000000000004</v>
      </c>
    </row>
    <row r="9" spans="2:39" ht="14.4">
      <c r="B9" s="297"/>
      <c r="C9" s="297"/>
      <c r="E9" s="297" t="s">
        <v>433</v>
      </c>
      <c r="F9" s="297"/>
      <c r="G9" s="297"/>
      <c r="H9" s="297"/>
      <c r="I9" s="297"/>
      <c r="J9" s="297"/>
      <c r="K9" s="306">
        <f>K8*'81 Biogas Plant, Basic conf.'!$H$18/'81 Biogas Plant, Basic conf.'!$G$18</f>
        <v>0.90141770903850638</v>
      </c>
      <c r="L9" s="306"/>
      <c r="M9" s="306"/>
      <c r="N9" s="307"/>
      <c r="O9" s="306">
        <f>AD9*0.98</f>
        <v>0.19600000000000001</v>
      </c>
      <c r="P9" s="307">
        <v>5</v>
      </c>
      <c r="Q9" s="298"/>
      <c r="R9" s="298"/>
      <c r="S9" s="298"/>
      <c r="U9" s="308"/>
      <c r="V9" s="309"/>
      <c r="AA9" s="311" t="s">
        <v>434</v>
      </c>
      <c r="AB9" s="299">
        <v>0.08</v>
      </c>
      <c r="AC9" s="69">
        <v>2</v>
      </c>
      <c r="AD9" s="313">
        <v>0.2</v>
      </c>
      <c r="AE9" s="1256">
        <f t="shared" ref="AE9:AE15" si="1">AB9*AC9</f>
        <v>0.16</v>
      </c>
      <c r="AF9" s="69">
        <f t="shared" si="0"/>
        <v>0.16</v>
      </c>
      <c r="AG9" s="1256"/>
    </row>
    <row r="10" spans="2:39" ht="14.4">
      <c r="B10" s="297"/>
      <c r="C10" s="297"/>
      <c r="E10" s="297" t="s">
        <v>435</v>
      </c>
      <c r="F10" s="297"/>
      <c r="G10" s="297"/>
      <c r="H10" s="297"/>
      <c r="I10" s="297"/>
      <c r="J10" s="297"/>
      <c r="K10" s="306">
        <f>K9</f>
        <v>0.90141770903850638</v>
      </c>
      <c r="L10" s="306"/>
      <c r="M10" s="306"/>
      <c r="N10" s="307"/>
      <c r="O10" s="306">
        <f>(AD12+AD13)*0.98</f>
        <v>0.12740000000000001</v>
      </c>
      <c r="P10" s="307">
        <v>5</v>
      </c>
      <c r="Q10" s="298"/>
      <c r="R10" s="298"/>
      <c r="S10" s="298"/>
      <c r="U10" s="308"/>
      <c r="V10" s="309"/>
      <c r="AA10" s="311" t="s">
        <v>436</v>
      </c>
      <c r="AB10" s="312">
        <v>6.0999999999999999E-2</v>
      </c>
      <c r="AC10" s="69">
        <v>1.57</v>
      </c>
      <c r="AD10" s="313">
        <v>0.12</v>
      </c>
      <c r="AE10" s="1256">
        <f t="shared" si="1"/>
        <v>9.5770000000000008E-2</v>
      </c>
      <c r="AF10" s="69">
        <f t="shared" si="0"/>
        <v>9.5770000000000008E-2</v>
      </c>
      <c r="AG10" s="1256"/>
    </row>
    <row r="11" spans="2:39" s="1256" customFormat="1" ht="14.4">
      <c r="B11" s="297"/>
      <c r="C11" s="297"/>
      <c r="E11" s="297" t="s">
        <v>1772</v>
      </c>
      <c r="F11" s="297"/>
      <c r="G11" s="297"/>
      <c r="H11" s="297"/>
      <c r="I11" s="297"/>
      <c r="J11" s="297"/>
      <c r="K11" s="306">
        <f>K10</f>
        <v>0.90141770903850638</v>
      </c>
      <c r="L11" s="306"/>
      <c r="M11" s="306"/>
      <c r="N11" s="307"/>
      <c r="O11" s="306">
        <f>AD15*0.98</f>
        <v>0.10779999999999999</v>
      </c>
      <c r="P11" s="307">
        <v>5</v>
      </c>
      <c r="Q11" s="298"/>
      <c r="R11" s="298"/>
      <c r="S11" s="298"/>
      <c r="U11" s="308"/>
      <c r="V11" s="309"/>
      <c r="Y11" s="69"/>
      <c r="Z11" s="69"/>
      <c r="AA11" s="311" t="s">
        <v>437</v>
      </c>
      <c r="AB11" s="69"/>
      <c r="AC11" s="69">
        <v>7.27</v>
      </c>
      <c r="AD11" s="313">
        <v>0</v>
      </c>
      <c r="AE11" s="1256">
        <f t="shared" si="1"/>
        <v>0</v>
      </c>
      <c r="AF11" s="69">
        <f t="shared" si="0"/>
        <v>0</v>
      </c>
      <c r="AH11" s="69"/>
      <c r="AI11" s="69"/>
      <c r="AJ11" s="69"/>
      <c r="AK11" s="69"/>
      <c r="AL11" s="69"/>
      <c r="AM11" s="69"/>
    </row>
    <row r="12" spans="2:39" ht="14.4">
      <c r="B12" s="297"/>
      <c r="C12" s="297"/>
      <c r="D12" s="297" t="s">
        <v>71</v>
      </c>
      <c r="E12" s="297"/>
      <c r="F12" s="297"/>
      <c r="G12" s="297"/>
      <c r="H12" s="297"/>
      <c r="I12" s="297"/>
      <c r="J12" s="297"/>
      <c r="K12" s="306"/>
      <c r="L12" s="306">
        <f>'81 Biogas Plant, Basic conf.'!$H$11/100</f>
        <v>3.8195864970641452E-2</v>
      </c>
      <c r="M12" s="306"/>
      <c r="N12" s="306"/>
      <c r="O12" s="306"/>
      <c r="P12" s="306"/>
      <c r="Q12" s="306"/>
      <c r="R12" s="298"/>
      <c r="S12" s="298"/>
      <c r="T12" s="306"/>
      <c r="V12" s="306"/>
      <c r="AA12" s="311" t="s">
        <v>438</v>
      </c>
      <c r="AB12" s="299">
        <v>0.01</v>
      </c>
      <c r="AC12" s="69">
        <v>4.83</v>
      </c>
      <c r="AD12" s="313">
        <v>0.06</v>
      </c>
      <c r="AE12" s="1256">
        <f t="shared" si="1"/>
        <v>4.8300000000000003E-2</v>
      </c>
      <c r="AF12" s="69">
        <f t="shared" si="0"/>
        <v>4.8300000000000003E-2</v>
      </c>
      <c r="AG12" s="1256"/>
    </row>
    <row r="13" spans="2:39" ht="14.4">
      <c r="B13" s="297"/>
      <c r="C13" s="297"/>
      <c r="D13" s="297" t="s">
        <v>160</v>
      </c>
      <c r="F13" s="297"/>
      <c r="G13" s="297"/>
      <c r="H13" s="297"/>
      <c r="I13" s="297"/>
      <c r="J13" s="297"/>
      <c r="K13" s="306"/>
      <c r="L13" s="306">
        <f>'81 Biogas Plant, Basic conf.'!$H$13/100</f>
        <v>8.9255616752262193E-2</v>
      </c>
      <c r="M13" s="306"/>
      <c r="N13" s="306"/>
      <c r="O13" s="306"/>
      <c r="P13" s="306"/>
      <c r="Q13" s="306"/>
      <c r="R13" s="141"/>
      <c r="S13" s="141"/>
      <c r="AA13" s="311" t="s">
        <v>439</v>
      </c>
      <c r="AB13" s="312">
        <v>1.6E-2</v>
      </c>
      <c r="AC13" s="69">
        <v>3.41</v>
      </c>
      <c r="AD13" s="313">
        <v>7.0000000000000007E-2</v>
      </c>
      <c r="AE13" s="1256">
        <f t="shared" si="1"/>
        <v>5.4560000000000004E-2</v>
      </c>
      <c r="AF13" s="69">
        <f t="shared" si="0"/>
        <v>5.4560000000000004E-2</v>
      </c>
      <c r="AG13" s="1256"/>
    </row>
    <row r="14" spans="2:39" ht="15" thickBot="1">
      <c r="B14" s="297"/>
      <c r="C14" s="297"/>
      <c r="D14" s="297"/>
      <c r="E14" s="1084"/>
      <c r="F14" s="297" t="s">
        <v>1420</v>
      </c>
      <c r="G14" s="297"/>
      <c r="H14" s="297"/>
      <c r="I14" s="297"/>
      <c r="J14" s="297"/>
      <c r="K14" s="306"/>
      <c r="L14" s="306"/>
      <c r="M14" s="307">
        <f>(28-1)*O8*1.5</f>
        <v>22.226400000000005</v>
      </c>
      <c r="N14" s="306"/>
      <c r="O14" s="306"/>
      <c r="P14" s="306"/>
      <c r="Q14" s="306"/>
      <c r="R14" s="141"/>
      <c r="S14" s="141"/>
      <c r="T14" s="1084"/>
      <c r="U14" s="1084"/>
      <c r="V14" s="1084"/>
      <c r="W14" s="281"/>
      <c r="AA14" s="311" t="s">
        <v>440</v>
      </c>
      <c r="AC14" s="69">
        <f>(1.5+3.5)/2</f>
        <v>2.5</v>
      </c>
      <c r="AD14" s="313">
        <v>0</v>
      </c>
      <c r="AE14" s="1256">
        <f t="shared" si="1"/>
        <v>0</v>
      </c>
      <c r="AF14" s="69">
        <f t="shared" si="0"/>
        <v>0</v>
      </c>
      <c r="AG14" s="1256"/>
    </row>
    <row r="15" spans="2:39" ht="14.4">
      <c r="B15" s="297"/>
      <c r="C15" s="297"/>
      <c r="D15" s="297"/>
      <c r="E15" s="1258"/>
      <c r="F15" s="297" t="s">
        <v>1776</v>
      </c>
      <c r="G15" s="297"/>
      <c r="H15" s="297"/>
      <c r="I15" s="297"/>
      <c r="J15" s="297"/>
      <c r="K15" s="306"/>
      <c r="L15" s="306"/>
      <c r="M15" s="307">
        <f>-M14</f>
        <v>-22.226400000000005</v>
      </c>
      <c r="N15" s="306"/>
      <c r="O15" s="306"/>
      <c r="P15" s="306"/>
      <c r="Q15" s="306"/>
      <c r="R15" s="1260"/>
      <c r="S15" s="1260"/>
      <c r="T15" s="1258"/>
      <c r="U15" s="1258"/>
      <c r="V15" s="1258"/>
      <c r="W15" s="1258"/>
      <c r="X15" s="1258"/>
      <c r="AA15" s="311" t="s">
        <v>441</v>
      </c>
      <c r="AB15" s="312">
        <v>3.5000000000000003E-2</v>
      </c>
      <c r="AC15" s="69">
        <v>3.5</v>
      </c>
      <c r="AD15" s="313">
        <v>0.11</v>
      </c>
      <c r="AE15" s="1256">
        <f t="shared" si="1"/>
        <v>0.12250000000000001</v>
      </c>
      <c r="AF15" s="69">
        <f t="shared" si="0"/>
        <v>0.12250000000000001</v>
      </c>
      <c r="AG15" s="1256"/>
      <c r="AH15" s="304"/>
      <c r="AI15" s="104" t="s">
        <v>425</v>
      </c>
      <c r="AJ15" s="104" t="s">
        <v>426</v>
      </c>
      <c r="AK15" s="305" t="s">
        <v>427</v>
      </c>
      <c r="AM15" s="69" t="s">
        <v>1771</v>
      </c>
    </row>
    <row r="16" spans="2:39" ht="15" thickBot="1">
      <c r="B16" s="297"/>
      <c r="C16" s="297"/>
      <c r="D16" s="297"/>
      <c r="E16" s="297"/>
      <c r="F16" s="297"/>
      <c r="G16" s="297"/>
      <c r="H16" s="297" t="s">
        <v>70</v>
      </c>
      <c r="I16" s="297">
        <f>'81 Biogas Plant, Basic conf.'!H4</f>
        <v>2020</v>
      </c>
      <c r="J16" s="297"/>
      <c r="K16" s="306"/>
      <c r="L16" s="306"/>
      <c r="M16" s="306"/>
      <c r="N16" s="306"/>
      <c r="O16" s="306"/>
      <c r="P16" s="306"/>
      <c r="Q16" s="306"/>
      <c r="R16" s="298">
        <f>'81 Biogas Plant, Basic conf.'!$H$27*7.45</f>
        <v>12.74465564727425</v>
      </c>
      <c r="S16" s="298">
        <f>'81 Biogas Plant, Basic conf.'!$H$30/1000000*7.45</f>
        <v>1.4506269094783117</v>
      </c>
      <c r="T16" s="306"/>
      <c r="U16" s="1258"/>
      <c r="V16" s="306"/>
      <c r="W16" s="1258"/>
      <c r="X16" s="1258"/>
      <c r="AA16" s="325"/>
      <c r="AB16" s="326">
        <f>SUM(AB8:AB15)</f>
        <v>1</v>
      </c>
      <c r="AC16" s="107"/>
      <c r="AD16" s="327">
        <f>SUM(AD8:AD15)</f>
        <v>1.0000000000000002</v>
      </c>
      <c r="AF16" s="69">
        <f>SUM(AF8:AF15)</f>
        <v>0.83225000000000016</v>
      </c>
      <c r="AH16" s="311" t="s">
        <v>432</v>
      </c>
      <c r="AI16" s="312">
        <v>0.73499999999999999</v>
      </c>
      <c r="AJ16" s="69">
        <v>0.44</v>
      </c>
      <c r="AK16" s="313">
        <v>0.26</v>
      </c>
      <c r="AM16" s="69">
        <f>AI16*AJ16</f>
        <v>0.32340000000000002</v>
      </c>
    </row>
    <row r="17" spans="2:39" ht="14.4">
      <c r="B17" s="297"/>
      <c r="C17" s="297"/>
      <c r="D17" s="297"/>
      <c r="E17" s="297"/>
      <c r="F17" s="297"/>
      <c r="G17" s="297"/>
      <c r="H17" s="297" t="s">
        <v>70</v>
      </c>
      <c r="I17" s="297">
        <f>'81 Biogas Plant, Basic conf.'!I4</f>
        <v>2030</v>
      </c>
      <c r="J17" s="297"/>
      <c r="K17" s="306"/>
      <c r="L17" s="306"/>
      <c r="M17" s="306"/>
      <c r="N17" s="306"/>
      <c r="O17" s="306"/>
      <c r="P17" s="306"/>
      <c r="Q17" s="306"/>
      <c r="R17" s="298">
        <f>'81 Biogas Plant, Basic conf.'!$I$27*7.45</f>
        <v>11.470190082546825</v>
      </c>
      <c r="S17" s="298">
        <f>'81 Biogas Plant, Basic conf.'!$I$30/1000000*7.45</f>
        <v>1.4728831721856428</v>
      </c>
      <c r="T17" s="306"/>
      <c r="U17" s="1258"/>
      <c r="V17" s="306"/>
      <c r="W17" s="1258"/>
      <c r="X17" s="1258"/>
      <c r="AF17" s="69">
        <f>AF16/'81 Biogas Plant, Basic conf.'!$G$18</f>
        <v>1.04228421465919</v>
      </c>
      <c r="AH17" s="311" t="s">
        <v>434</v>
      </c>
      <c r="AI17" s="299">
        <v>0.08</v>
      </c>
      <c r="AJ17" s="69">
        <v>2</v>
      </c>
      <c r="AK17" s="313">
        <v>0.13</v>
      </c>
      <c r="AM17" s="69">
        <f t="shared" ref="AM17:AM23" si="2">AI17*AJ17</f>
        <v>0.16</v>
      </c>
    </row>
    <row r="18" spans="2:39" ht="14.4">
      <c r="B18" s="318"/>
      <c r="C18" s="318"/>
      <c r="D18" s="318"/>
      <c r="E18" s="318"/>
      <c r="F18" s="318"/>
      <c r="G18" s="318"/>
      <c r="H18" s="297" t="s">
        <v>70</v>
      </c>
      <c r="I18" s="318">
        <f>'81 Biogas Plant, Basic conf.'!J4</f>
        <v>2050</v>
      </c>
      <c r="J18" s="318"/>
      <c r="K18" s="319"/>
      <c r="L18" s="319"/>
      <c r="M18" s="319"/>
      <c r="N18" s="319"/>
      <c r="O18" s="319"/>
      <c r="P18" s="319"/>
      <c r="Q18" s="319"/>
      <c r="R18" s="320">
        <f>'81 Biogas Plant, Basic conf.'!$J$27*7.45</f>
        <v>10.323171074292143</v>
      </c>
      <c r="S18" s="320">
        <f>'81 Biogas Plant, Basic conf.'!$J$30/1000000*7.45</f>
        <v>1.4581311867857256</v>
      </c>
      <c r="T18" s="319"/>
      <c r="U18" s="1259"/>
      <c r="V18" s="319"/>
      <c r="W18" s="1258"/>
      <c r="X18" s="1258"/>
      <c r="AH18" s="311" t="s">
        <v>436</v>
      </c>
      <c r="AI18" s="312">
        <v>6.0999999999999999E-2</v>
      </c>
      <c r="AJ18" s="69">
        <v>1.57</v>
      </c>
      <c r="AK18" s="313">
        <v>0.08</v>
      </c>
      <c r="AM18" s="69">
        <f t="shared" si="2"/>
        <v>9.5770000000000008E-2</v>
      </c>
    </row>
    <row r="19" spans="2:39" ht="14.4">
      <c r="B19" s="297" t="str">
        <f>"SUP"&amp;G19&amp;RIGHT(E22,3)&amp;"1N"</f>
        <v>SUPBGASTR1N</v>
      </c>
      <c r="C19" s="321" t="s">
        <v>442</v>
      </c>
      <c r="D19" s="297"/>
      <c r="E19" s="297" t="s">
        <v>430</v>
      </c>
      <c r="F19" s="297"/>
      <c r="G19" s="297" t="s">
        <v>431</v>
      </c>
      <c r="H19" s="321" t="s">
        <v>70</v>
      </c>
      <c r="I19" s="321">
        <v>2015</v>
      </c>
      <c r="J19" s="321"/>
      <c r="K19" s="306">
        <f>1/(SUMPRODUCT(AI16:AI23,AJ16:AJ23)/'81 Biogas Plant, Basic conf.'!$G$18)</f>
        <v>0.63244461192748636</v>
      </c>
      <c r="L19" s="322"/>
      <c r="M19" s="306"/>
      <c r="N19" s="321">
        <f>'81 Biogas Plant, Add. Straw'!D23</f>
        <v>20</v>
      </c>
      <c r="O19" s="306">
        <f>AK16+AK18</f>
        <v>0.34</v>
      </c>
      <c r="P19" s="323">
        <v>5</v>
      </c>
      <c r="Q19" s="298">
        <f>(365-10)/365</f>
        <v>0.9726027397260274</v>
      </c>
      <c r="R19" s="324">
        <f>'81 Biogas Plant, Add. Straw'!X16*7.45</f>
        <v>12.49227037341001</v>
      </c>
      <c r="S19" s="324">
        <f>'81 Biogas Plant, Add. Straw'!X17*7.45</f>
        <v>1.6880661113319619</v>
      </c>
      <c r="T19" s="323"/>
      <c r="U19" s="308">
        <f>3.6*8760/1000000</f>
        <v>3.1536000000000002E-2</v>
      </c>
      <c r="V19" s="309">
        <v>-2</v>
      </c>
      <c r="W19" s="1258"/>
      <c r="X19" s="1258"/>
      <c r="AH19" s="311" t="s">
        <v>437</v>
      </c>
      <c r="AI19" s="312">
        <v>6.3E-2</v>
      </c>
      <c r="AJ19" s="69">
        <v>7.27</v>
      </c>
      <c r="AK19" s="313">
        <v>0.37</v>
      </c>
      <c r="AM19" s="69">
        <f t="shared" si="2"/>
        <v>0.45800999999999997</v>
      </c>
    </row>
    <row r="20" spans="2:39" ht="14.4">
      <c r="B20" s="297"/>
      <c r="C20" s="297"/>
      <c r="D20" s="1258"/>
      <c r="E20" s="297" t="s">
        <v>433</v>
      </c>
      <c r="F20" s="297"/>
      <c r="G20" s="297"/>
      <c r="H20" s="297"/>
      <c r="I20" s="297"/>
      <c r="J20" s="297"/>
      <c r="K20" s="306">
        <f>K19*'81 Biogas Plant, Basic conf.'!$H$18/'81 Biogas Plant, Basic conf.'!$G$18</f>
        <v>0.59420286751096763</v>
      </c>
      <c r="L20" s="306"/>
      <c r="M20" s="306"/>
      <c r="N20" s="297"/>
      <c r="O20" s="306">
        <f>AK17</f>
        <v>0.13</v>
      </c>
      <c r="P20" s="307"/>
      <c r="Q20" s="306"/>
      <c r="R20" s="307"/>
      <c r="S20" s="307"/>
      <c r="T20" s="307"/>
      <c r="U20" s="1258"/>
      <c r="V20" s="309"/>
      <c r="W20" s="1258"/>
      <c r="X20" s="1258"/>
      <c r="AA20" s="69">
        <v>140000</v>
      </c>
      <c r="AB20" s="69" t="s">
        <v>1769</v>
      </c>
      <c r="AH20" s="311" t="s">
        <v>438</v>
      </c>
      <c r="AI20" s="299">
        <v>0.01</v>
      </c>
      <c r="AJ20" s="69">
        <v>4.83</v>
      </c>
      <c r="AK20" s="313">
        <v>0.04</v>
      </c>
      <c r="AM20" s="69">
        <f t="shared" si="2"/>
        <v>4.8300000000000003E-2</v>
      </c>
    </row>
    <row r="21" spans="2:39" ht="14.4">
      <c r="B21" s="297"/>
      <c r="C21" s="297"/>
      <c r="D21" s="1258"/>
      <c r="E21" s="297" t="s">
        <v>435</v>
      </c>
      <c r="F21" s="297"/>
      <c r="G21" s="297"/>
      <c r="H21" s="297"/>
      <c r="I21" s="297"/>
      <c r="J21" s="297"/>
      <c r="K21" s="306">
        <f>K20</f>
        <v>0.59420286751096763</v>
      </c>
      <c r="L21" s="306"/>
      <c r="M21" s="306"/>
      <c r="N21" s="297"/>
      <c r="O21" s="306">
        <f>AK20+AK21</f>
        <v>0.08</v>
      </c>
      <c r="P21" s="307"/>
      <c r="Q21" s="306"/>
      <c r="R21" s="307"/>
      <c r="S21" s="307"/>
      <c r="T21" s="307"/>
      <c r="U21" s="1258"/>
      <c r="V21" s="309"/>
      <c r="W21" s="1258"/>
      <c r="X21" s="1258"/>
      <c r="AA21" s="69">
        <f>AA20*35</f>
        <v>4900000</v>
      </c>
      <c r="AB21" s="69" t="s">
        <v>1770</v>
      </c>
      <c r="AH21" s="311" t="s">
        <v>439</v>
      </c>
      <c r="AI21" s="312">
        <v>1.6E-2</v>
      </c>
      <c r="AJ21" s="69">
        <v>3.41</v>
      </c>
      <c r="AK21" s="313">
        <v>0.04</v>
      </c>
      <c r="AM21" s="69">
        <f t="shared" si="2"/>
        <v>5.4560000000000004E-2</v>
      </c>
    </row>
    <row r="22" spans="2:39" ht="14.4">
      <c r="B22" s="297"/>
      <c r="C22" s="297"/>
      <c r="D22" s="1258"/>
      <c r="E22" s="297" t="s">
        <v>83</v>
      </c>
      <c r="F22" s="297"/>
      <c r="G22" s="297"/>
      <c r="H22" s="297"/>
      <c r="I22" s="297"/>
      <c r="J22" s="297"/>
      <c r="K22" s="306">
        <f>K21</f>
        <v>0.59420286751096763</v>
      </c>
      <c r="L22" s="306"/>
      <c r="M22" s="306"/>
      <c r="N22" s="297"/>
      <c r="O22" s="306">
        <f>AK19</f>
        <v>0.37</v>
      </c>
      <c r="P22" s="307"/>
      <c r="Q22" s="306"/>
      <c r="R22" s="307"/>
      <c r="S22" s="307"/>
      <c r="T22" s="307"/>
      <c r="U22" s="1258"/>
      <c r="V22" s="309"/>
      <c r="W22" s="1258"/>
      <c r="X22" s="1258"/>
      <c r="AA22" s="69">
        <f>AA21/1000000</f>
        <v>4.9000000000000004</v>
      </c>
      <c r="AB22" s="69" t="s">
        <v>25</v>
      </c>
      <c r="AH22" s="311" t="s">
        <v>440</v>
      </c>
      <c r="AJ22" s="69">
        <f>(1.5+3.5)/2</f>
        <v>2.5</v>
      </c>
      <c r="AK22" s="313">
        <v>0</v>
      </c>
      <c r="AM22" s="69">
        <f t="shared" si="2"/>
        <v>0</v>
      </c>
    </row>
    <row r="23" spans="2:39" ht="15" thickBot="1">
      <c r="B23" s="297"/>
      <c r="C23" s="297"/>
      <c r="D23" s="1258"/>
      <c r="E23" s="297" t="s">
        <v>1772</v>
      </c>
      <c r="F23" s="297"/>
      <c r="G23" s="297"/>
      <c r="H23" s="297"/>
      <c r="I23" s="297"/>
      <c r="J23" s="297"/>
      <c r="K23" s="306">
        <f>K22</f>
        <v>0.59420286751096763</v>
      </c>
      <c r="L23" s="306"/>
      <c r="M23" s="306"/>
      <c r="N23" s="297"/>
      <c r="O23" s="306">
        <f>AK23</f>
        <v>7.0000000000000007E-2</v>
      </c>
      <c r="P23" s="307"/>
      <c r="Q23" s="306"/>
      <c r="R23" s="307"/>
      <c r="S23" s="307"/>
      <c r="T23" s="307"/>
      <c r="U23" s="1258"/>
      <c r="V23" s="309"/>
      <c r="W23" s="1258"/>
      <c r="X23" s="1258"/>
      <c r="AH23" s="311" t="s">
        <v>441</v>
      </c>
      <c r="AI23" s="312">
        <v>3.5000000000000003E-2</v>
      </c>
      <c r="AJ23" s="69">
        <v>3.5</v>
      </c>
      <c r="AK23" s="313">
        <v>7.0000000000000007E-2</v>
      </c>
      <c r="AM23" s="69">
        <f t="shared" si="2"/>
        <v>0.12250000000000001</v>
      </c>
    </row>
    <row r="24" spans="2:39" ht="15" thickBot="1">
      <c r="B24" s="297"/>
      <c r="C24" s="297"/>
      <c r="D24" s="297" t="s">
        <v>71</v>
      </c>
      <c r="E24" s="1258"/>
      <c r="F24" s="297"/>
      <c r="G24" s="297"/>
      <c r="H24" s="297"/>
      <c r="I24" s="297"/>
      <c r="J24" s="297"/>
      <c r="K24" s="306"/>
      <c r="L24" s="306">
        <f>'81 Biogas Plant, Add. Straw'!Y18</f>
        <v>3.7194624472035538E-2</v>
      </c>
      <c r="M24" s="306"/>
      <c r="N24" s="297"/>
      <c r="O24" s="306"/>
      <c r="P24" s="307"/>
      <c r="Q24" s="306"/>
      <c r="R24" s="307"/>
      <c r="S24" s="307"/>
      <c r="T24" s="307"/>
      <c r="U24" s="1258"/>
      <c r="V24" s="309"/>
      <c r="W24" s="1258"/>
      <c r="X24" s="1258"/>
      <c r="AA24" s="304"/>
      <c r="AB24" s="104" t="s">
        <v>425</v>
      </c>
      <c r="AC24" s="104" t="s">
        <v>426</v>
      </c>
      <c r="AD24" s="305" t="s">
        <v>427</v>
      </c>
      <c r="AF24" s="69" t="s">
        <v>428</v>
      </c>
      <c r="AH24" s="325"/>
      <c r="AI24" s="326">
        <f>SUM(AI16:AI23)</f>
        <v>0.99999999999999989</v>
      </c>
      <c r="AJ24" s="107"/>
      <c r="AK24" s="327">
        <f>SUM(AK16:AK23)</f>
        <v>0.99000000000000021</v>
      </c>
      <c r="AM24" s="69">
        <f>SUM(AM16:AM23)</f>
        <v>1.26254</v>
      </c>
    </row>
    <row r="25" spans="2:39" ht="14.4">
      <c r="B25" s="297"/>
      <c r="C25" s="297"/>
      <c r="D25" s="297" t="s">
        <v>160</v>
      </c>
      <c r="E25" s="297"/>
      <c r="F25" s="297"/>
      <c r="G25" s="297"/>
      <c r="H25" s="297"/>
      <c r="I25" s="297"/>
      <c r="J25" s="297"/>
      <c r="K25" s="306"/>
      <c r="L25" s="306">
        <f>'81 Biogas Plant, Add. Straw'!Y19</f>
        <v>8.0905415078096621E-2</v>
      </c>
      <c r="M25" s="306"/>
      <c r="N25" s="297"/>
      <c r="O25" s="306"/>
      <c r="P25" s="307"/>
      <c r="Q25" s="306"/>
      <c r="R25" s="307"/>
      <c r="S25" s="307"/>
      <c r="T25" s="307"/>
      <c r="U25" s="1258"/>
      <c r="V25" s="309"/>
      <c r="W25" s="1261"/>
      <c r="X25" s="1258"/>
      <c r="AA25" s="311" t="s">
        <v>432</v>
      </c>
      <c r="AB25" s="312">
        <v>0.75800000000000001</v>
      </c>
      <c r="AC25" s="69">
        <v>0.44</v>
      </c>
      <c r="AD25" s="313">
        <v>0.34</v>
      </c>
      <c r="AF25" s="69">
        <f t="shared" ref="AF25:AF32" si="3">AB25*AC25</f>
        <v>0.33351999999999998</v>
      </c>
      <c r="AM25" s="1256">
        <f>AM24/'81 Biogas Plant, Basic conf.'!$G$18</f>
        <v>1.5811661308210434</v>
      </c>
    </row>
    <row r="26" spans="2:39" ht="14.4">
      <c r="B26" s="297"/>
      <c r="C26" s="297"/>
      <c r="D26" s="297"/>
      <c r="E26" s="1258"/>
      <c r="F26" s="297" t="s">
        <v>1420</v>
      </c>
      <c r="G26" s="297"/>
      <c r="H26" s="297"/>
      <c r="I26" s="297"/>
      <c r="J26" s="297"/>
      <c r="K26" s="306"/>
      <c r="L26" s="306"/>
      <c r="M26" s="307">
        <f>(28-1)*O19*1.5</f>
        <v>13.770000000000003</v>
      </c>
      <c r="N26" s="306"/>
      <c r="O26" s="306"/>
      <c r="P26" s="306"/>
      <c r="Q26" s="306"/>
      <c r="R26" s="1260"/>
      <c r="S26" s="1260"/>
      <c r="T26" s="1258"/>
      <c r="U26" s="1258"/>
      <c r="V26" s="1258"/>
      <c r="W26" s="1258"/>
      <c r="X26" s="1258"/>
      <c r="AA26" s="311" t="s">
        <v>434</v>
      </c>
      <c r="AB26" s="299">
        <v>0.08</v>
      </c>
      <c r="AC26" s="69">
        <v>2</v>
      </c>
      <c r="AD26" s="313">
        <v>0.16</v>
      </c>
      <c r="AF26" s="69">
        <f t="shared" si="3"/>
        <v>0.16</v>
      </c>
      <c r="AJ26" s="141"/>
    </row>
    <row r="27" spans="2:39" ht="14.4">
      <c r="B27" s="297"/>
      <c r="C27" s="297"/>
      <c r="D27" s="297"/>
      <c r="E27" s="1258"/>
      <c r="F27" s="297" t="s">
        <v>1776</v>
      </c>
      <c r="G27" s="297"/>
      <c r="H27" s="297"/>
      <c r="I27" s="297"/>
      <c r="J27" s="297"/>
      <c r="K27" s="306"/>
      <c r="L27" s="306"/>
      <c r="M27" s="307">
        <f>-M26</f>
        <v>-13.770000000000003</v>
      </c>
      <c r="N27" s="306"/>
      <c r="O27" s="306"/>
      <c r="P27" s="306"/>
      <c r="Q27" s="306"/>
      <c r="R27" s="1260"/>
      <c r="S27" s="1260"/>
      <c r="T27" s="1258"/>
      <c r="U27" s="1258"/>
      <c r="V27" s="1258"/>
      <c r="W27" s="1258"/>
      <c r="X27" s="1258"/>
      <c r="AA27" s="311" t="s">
        <v>436</v>
      </c>
      <c r="AB27" s="312">
        <v>6.0999999999999999E-2</v>
      </c>
      <c r="AC27" s="69">
        <v>1.57</v>
      </c>
      <c r="AD27" s="313">
        <v>0.1</v>
      </c>
      <c r="AF27" s="69">
        <f t="shared" si="3"/>
        <v>9.5770000000000008E-2</v>
      </c>
      <c r="AJ27" s="141"/>
    </row>
    <row r="28" spans="2:39" ht="14.4">
      <c r="B28" s="297"/>
      <c r="C28" s="297"/>
      <c r="D28" s="297"/>
      <c r="E28" s="297"/>
      <c r="F28" s="297"/>
      <c r="G28" s="297"/>
      <c r="H28" s="297" t="s">
        <v>70</v>
      </c>
      <c r="I28" s="297">
        <f>I16</f>
        <v>2020</v>
      </c>
      <c r="J28" s="297"/>
      <c r="K28" s="306"/>
      <c r="L28" s="306"/>
      <c r="M28" s="306"/>
      <c r="N28" s="297"/>
      <c r="O28" s="306"/>
      <c r="P28" s="307"/>
      <c r="Q28" s="306"/>
      <c r="R28" s="298">
        <f>'81 Biogas Plant, Add. Straw'!Y16*7.45</f>
        <v>11.714618463068261</v>
      </c>
      <c r="S28" s="298">
        <f>'81 Biogas Plant, Add. Straw'!Y17*7.45</f>
        <v>1.6569936948015112</v>
      </c>
      <c r="T28" s="307"/>
      <c r="U28" s="1258"/>
      <c r="V28" s="309"/>
      <c r="W28" s="1258"/>
      <c r="X28" s="1258"/>
      <c r="AA28" s="311" t="s">
        <v>437</v>
      </c>
      <c r="AB28" s="312">
        <v>0</v>
      </c>
      <c r="AC28" s="69">
        <v>7.27</v>
      </c>
      <c r="AD28" s="313">
        <v>0</v>
      </c>
      <c r="AF28" s="69">
        <f t="shared" si="3"/>
        <v>0</v>
      </c>
      <c r="AJ28" s="141"/>
    </row>
    <row r="29" spans="2:39" ht="14.4">
      <c r="B29" s="297"/>
      <c r="C29" s="297"/>
      <c r="D29" s="297"/>
      <c r="E29" s="297"/>
      <c r="F29" s="297"/>
      <c r="G29" s="297"/>
      <c r="H29" s="297" t="s">
        <v>70</v>
      </c>
      <c r="I29" s="297">
        <f>I17</f>
        <v>2030</v>
      </c>
      <c r="J29" s="297"/>
      <c r="K29" s="306"/>
      <c r="L29" s="306"/>
      <c r="M29" s="306"/>
      <c r="N29" s="297"/>
      <c r="O29" s="306"/>
      <c r="P29" s="307"/>
      <c r="Q29" s="306"/>
      <c r="R29" s="298">
        <f>'81 Biogas Plant, Add. Straw'!Z16*7.45</f>
        <v>10.571772766125708</v>
      </c>
      <c r="S29" s="298">
        <f>'81 Biogas Plant, Add. Straw'!Z17*7.45</f>
        <v>1.7009656506304474</v>
      </c>
      <c r="T29" s="307"/>
      <c r="U29" s="1258"/>
      <c r="V29" s="309"/>
      <c r="W29" s="1258"/>
      <c r="X29" s="1258"/>
      <c r="AA29" s="311" t="s">
        <v>438</v>
      </c>
      <c r="AB29" s="299">
        <v>0.05</v>
      </c>
      <c r="AC29" s="69">
        <v>4.83</v>
      </c>
      <c r="AD29" s="313">
        <v>0.25</v>
      </c>
      <c r="AF29" s="69">
        <f t="shared" si="3"/>
        <v>0.24150000000000002</v>
      </c>
    </row>
    <row r="30" spans="2:39" ht="14.4">
      <c r="B30" s="297"/>
      <c r="C30" s="318"/>
      <c r="D30" s="318"/>
      <c r="E30" s="318"/>
      <c r="F30" s="318"/>
      <c r="G30" s="318"/>
      <c r="H30" s="318" t="s">
        <v>70</v>
      </c>
      <c r="I30" s="318">
        <f>I18</f>
        <v>2050</v>
      </c>
      <c r="J30" s="318"/>
      <c r="K30" s="319"/>
      <c r="L30" s="319"/>
      <c r="M30" s="319"/>
      <c r="N30" s="318"/>
      <c r="O30" s="319"/>
      <c r="P30" s="328"/>
      <c r="Q30" s="319"/>
      <c r="R30" s="320">
        <f>'81 Biogas Plant, Add. Straw'!AA16*7.45</f>
        <v>9.5432116388774109</v>
      </c>
      <c r="S30" s="320">
        <f>'81 Biogas Plant, Add. Straw'!AA17*7.45</f>
        <v>1.6999352666911234</v>
      </c>
      <c r="T30" s="328"/>
      <c r="U30" s="1259"/>
      <c r="V30" s="329"/>
      <c r="W30" s="1258"/>
      <c r="X30" s="1258"/>
      <c r="AA30" s="311" t="s">
        <v>439</v>
      </c>
      <c r="AB30" s="312">
        <v>1.6E-2</v>
      </c>
      <c r="AC30" s="69">
        <v>3.41</v>
      </c>
      <c r="AD30" s="313">
        <v>0.06</v>
      </c>
      <c r="AF30" s="69">
        <f t="shared" si="3"/>
        <v>5.4560000000000004E-2</v>
      </c>
    </row>
    <row r="31" spans="2:39" ht="14.4">
      <c r="B31" s="297" t="str">
        <f>"SUP"&amp;G31&amp;RIGHT(E33,3)&amp;"1N"</f>
        <v>SUPBGAWST1N</v>
      </c>
      <c r="C31" s="297" t="s">
        <v>443</v>
      </c>
      <c r="D31" s="297"/>
      <c r="E31" s="297" t="s">
        <v>430</v>
      </c>
      <c r="F31" s="297"/>
      <c r="G31" s="297" t="s">
        <v>431</v>
      </c>
      <c r="H31" s="297" t="s">
        <v>70</v>
      </c>
      <c r="I31" s="297">
        <v>2015</v>
      </c>
      <c r="J31" s="297"/>
      <c r="K31" s="306">
        <f>1/(SUMPRODUCT(AB25:AB32,AC25:AC32)/'81 Biogas Plant, Basic conf.'!$G$18)</f>
        <v>0.79226732186627835</v>
      </c>
      <c r="L31" s="297"/>
      <c r="M31" s="297"/>
      <c r="N31" s="297">
        <f>'81 Biogas Plant, Add. Org Waste'!D23</f>
        <v>20</v>
      </c>
      <c r="O31" s="306">
        <f>AD25+AD27</f>
        <v>0.44000000000000006</v>
      </c>
      <c r="P31" s="307">
        <v>5</v>
      </c>
      <c r="Q31" s="298">
        <f>Q19</f>
        <v>0.9726027397260274</v>
      </c>
      <c r="R31" s="298">
        <f>'81 Biogas Plant, Add. Org Waste'!X16*7.45</f>
        <v>12.396523799386882</v>
      </c>
      <c r="S31" s="298">
        <f>'81 Biogas Plant, Add. Org Waste'!X17*7.45</f>
        <v>1.6757905114452867</v>
      </c>
      <c r="T31" s="307"/>
      <c r="U31" s="1260">
        <f>U19</f>
        <v>3.1536000000000002E-2</v>
      </c>
      <c r="V31" s="309">
        <v>-2</v>
      </c>
      <c r="W31" s="1258"/>
      <c r="X31" s="1258"/>
      <c r="AA31" s="311" t="s">
        <v>440</v>
      </c>
      <c r="AC31" s="69">
        <f>(1.5+3.5)/2</f>
        <v>2.5</v>
      </c>
      <c r="AD31" s="313">
        <v>0</v>
      </c>
      <c r="AF31" s="69">
        <f t="shared" si="3"/>
        <v>0</v>
      </c>
    </row>
    <row r="32" spans="2:39" ht="14.4">
      <c r="B32" s="297"/>
      <c r="C32" s="297"/>
      <c r="D32" s="1258"/>
      <c r="E32" s="297" t="s">
        <v>433</v>
      </c>
      <c r="F32" s="297"/>
      <c r="G32" s="297"/>
      <c r="H32" s="297"/>
      <c r="I32" s="297"/>
      <c r="J32" s="297"/>
      <c r="K32" s="306">
        <f>K31*'81 Biogas Plant, Basic conf.'!$H$18/'81 Biogas Plant, Basic conf.'!$G$18</f>
        <v>0.74436164939951088</v>
      </c>
      <c r="L32" s="297"/>
      <c r="M32" s="297"/>
      <c r="N32" s="297"/>
      <c r="O32" s="306">
        <f>AD26</f>
        <v>0.16</v>
      </c>
      <c r="P32" s="307"/>
      <c r="Q32" s="306"/>
      <c r="R32" s="307"/>
      <c r="S32" s="307"/>
      <c r="T32" s="307"/>
      <c r="U32" s="1258"/>
      <c r="V32" s="309"/>
      <c r="W32" s="1258"/>
      <c r="X32" s="1258"/>
      <c r="AA32" s="311" t="s">
        <v>441</v>
      </c>
      <c r="AB32" s="312">
        <v>3.5000000000000003E-2</v>
      </c>
      <c r="AC32" s="69">
        <v>3.5</v>
      </c>
      <c r="AD32" s="313">
        <v>0.09</v>
      </c>
      <c r="AF32" s="69">
        <f t="shared" si="3"/>
        <v>0.12250000000000001</v>
      </c>
    </row>
    <row r="33" spans="2:32" ht="15" thickBot="1">
      <c r="B33" s="297"/>
      <c r="C33" s="297"/>
      <c r="D33" s="1258"/>
      <c r="E33" s="297" t="s">
        <v>435</v>
      </c>
      <c r="F33" s="297"/>
      <c r="G33" s="297"/>
      <c r="H33" s="297"/>
      <c r="I33" s="297"/>
      <c r="J33" s="297"/>
      <c r="K33" s="306">
        <f>K32</f>
        <v>0.74436164939951088</v>
      </c>
      <c r="L33" s="1258"/>
      <c r="M33" s="306"/>
      <c r="N33" s="297"/>
      <c r="O33" s="306">
        <f>SUM(AD29:AD30)</f>
        <v>0.31</v>
      </c>
      <c r="P33" s="307"/>
      <c r="Q33" s="306"/>
      <c r="R33" s="307"/>
      <c r="S33" s="307"/>
      <c r="T33" s="307"/>
      <c r="U33" s="1258"/>
      <c r="V33" s="309"/>
      <c r="W33" s="1258"/>
      <c r="X33" s="1258"/>
      <c r="AA33" s="325"/>
      <c r="AB33" s="326">
        <f>SUM(AB25:AB32)</f>
        <v>1</v>
      </c>
      <c r="AC33" s="107"/>
      <c r="AD33" s="327">
        <f>SUM(AD25:AD32)</f>
        <v>0.99999999999999989</v>
      </c>
      <c r="AF33" s="69">
        <f>SUM(AF25:AF32)</f>
        <v>1.0078500000000001</v>
      </c>
    </row>
    <row r="34" spans="2:32" ht="14.4">
      <c r="B34" s="297"/>
      <c r="C34" s="297"/>
      <c r="D34" s="1258"/>
      <c r="E34" s="297" t="s">
        <v>1772</v>
      </c>
      <c r="F34" s="297"/>
      <c r="G34" s="297"/>
      <c r="H34" s="297"/>
      <c r="I34" s="297"/>
      <c r="J34" s="297"/>
      <c r="K34" s="306">
        <f>K33</f>
        <v>0.74436164939951088</v>
      </c>
      <c r="L34" s="1258"/>
      <c r="M34" s="306"/>
      <c r="N34" s="297"/>
      <c r="O34" s="306">
        <f>AD32</f>
        <v>0.09</v>
      </c>
      <c r="P34" s="307"/>
      <c r="Q34" s="306"/>
      <c r="R34" s="307"/>
      <c r="S34" s="307"/>
      <c r="T34" s="307"/>
      <c r="U34" s="1258"/>
      <c r="V34" s="309"/>
      <c r="W34" s="1258"/>
      <c r="X34" s="1258"/>
      <c r="AF34" s="1256">
        <f>AF33/'81 Biogas Plant, Basic conf.'!$G$18</f>
        <v>1.2622002351988759</v>
      </c>
    </row>
    <row r="35" spans="2:32" ht="14.4">
      <c r="B35" s="297"/>
      <c r="C35" s="297"/>
      <c r="D35" s="297" t="s">
        <v>71</v>
      </c>
      <c r="E35" s="1258"/>
      <c r="F35" s="297"/>
      <c r="G35" s="297"/>
      <c r="H35" s="297"/>
      <c r="I35" s="297"/>
      <c r="J35" s="297"/>
      <c r="K35" s="306"/>
      <c r="L35" s="306">
        <f>'81 Biogas Plant, Add. Org Waste'!Y18</f>
        <v>3.5044044606867872E-2</v>
      </c>
      <c r="M35" s="306"/>
      <c r="N35" s="297"/>
      <c r="O35" s="306"/>
      <c r="P35" s="307"/>
      <c r="Q35" s="306"/>
      <c r="R35" s="307"/>
      <c r="S35" s="307"/>
      <c r="T35" s="307"/>
      <c r="U35" s="1258"/>
      <c r="V35" s="309"/>
      <c r="W35" s="1261"/>
      <c r="X35" s="1258"/>
    </row>
    <row r="36" spans="2:32" s="1272" customFormat="1" ht="14.4">
      <c r="B36" s="297"/>
      <c r="C36" s="297"/>
      <c r="D36" s="297" t="s">
        <v>160</v>
      </c>
      <c r="E36" s="297"/>
      <c r="F36" s="297"/>
      <c r="G36" s="1258"/>
      <c r="H36" s="297"/>
      <c r="I36" s="297"/>
      <c r="J36" s="297"/>
      <c r="K36" s="1258"/>
      <c r="L36" s="306">
        <f>'81 Biogas Plant, Add. Org Waste'!Y19</f>
        <v>8.1469514149582353E-2</v>
      </c>
      <c r="M36" s="306"/>
      <c r="N36" s="297"/>
      <c r="O36" s="306"/>
      <c r="P36" s="307"/>
      <c r="Q36" s="306"/>
      <c r="R36" s="307"/>
      <c r="S36" s="307"/>
      <c r="T36" s="307"/>
      <c r="U36" s="1258"/>
      <c r="V36" s="309"/>
      <c r="W36" s="1261"/>
      <c r="X36" s="1258"/>
    </row>
    <row r="37" spans="2:32" ht="14.4">
      <c r="B37" s="297"/>
      <c r="C37" s="297"/>
      <c r="D37" s="297"/>
      <c r="E37" s="1258"/>
      <c r="F37" s="297" t="s">
        <v>1420</v>
      </c>
      <c r="G37" s="297"/>
      <c r="H37" s="297"/>
      <c r="I37" s="297"/>
      <c r="J37" s="297"/>
      <c r="K37" s="306"/>
      <c r="L37" s="306"/>
      <c r="M37" s="307">
        <f>(28-1)*O31*1.5</f>
        <v>17.82</v>
      </c>
      <c r="N37" s="306"/>
      <c r="O37" s="306"/>
      <c r="P37" s="306"/>
      <c r="Q37" s="306"/>
      <c r="R37" s="1260"/>
      <c r="S37" s="1260"/>
      <c r="T37" s="1258"/>
      <c r="U37" s="1258"/>
      <c r="V37" s="1258"/>
      <c r="W37" s="1258"/>
      <c r="X37" s="1258"/>
    </row>
    <row r="38" spans="2:32" ht="14.4">
      <c r="B38" s="297"/>
      <c r="C38" s="297"/>
      <c r="D38" s="297"/>
      <c r="E38" s="1258"/>
      <c r="F38" s="297" t="s">
        <v>1776</v>
      </c>
      <c r="G38" s="297"/>
      <c r="H38" s="297"/>
      <c r="I38" s="297"/>
      <c r="J38" s="297"/>
      <c r="K38" s="306"/>
      <c r="L38" s="306"/>
      <c r="M38" s="307">
        <f>-M37</f>
        <v>-17.82</v>
      </c>
      <c r="N38" s="306"/>
      <c r="O38" s="306"/>
      <c r="P38" s="306"/>
      <c r="Q38" s="306"/>
      <c r="R38" s="1260"/>
      <c r="S38" s="1260"/>
      <c r="T38" s="1258"/>
      <c r="U38" s="1258"/>
      <c r="V38" s="1258"/>
      <c r="W38" s="1258"/>
      <c r="X38" s="1258"/>
    </row>
    <row r="39" spans="2:32" ht="14.4">
      <c r="B39" s="297"/>
      <c r="C39" s="297"/>
      <c r="D39" s="297"/>
      <c r="E39" s="297"/>
      <c r="F39" s="297"/>
      <c r="G39" s="297"/>
      <c r="H39" s="297" t="s">
        <v>70</v>
      </c>
      <c r="I39" s="297">
        <f>I28</f>
        <v>2020</v>
      </c>
      <c r="J39" s="297"/>
      <c r="K39" s="306"/>
      <c r="L39" s="1258"/>
      <c r="M39" s="306"/>
      <c r="N39" s="297"/>
      <c r="O39" s="306"/>
      <c r="P39" s="307"/>
      <c r="Q39" s="306"/>
      <c r="R39" s="298">
        <f>'81 Biogas Plant, Add. Org Waste'!Y16*7.45</f>
        <v>11.640848908474315</v>
      </c>
      <c r="S39" s="298">
        <f>'81 Biogas Plant, Add. Org Waste'!Y16*7.45</f>
        <v>11.640848908474315</v>
      </c>
      <c r="T39" s="307"/>
      <c r="U39" s="1258"/>
      <c r="V39" s="309"/>
      <c r="W39" s="1258"/>
      <c r="X39" s="1258"/>
    </row>
    <row r="40" spans="2:32" ht="14.4">
      <c r="B40" s="297"/>
      <c r="C40" s="297"/>
      <c r="D40" s="297"/>
      <c r="E40" s="297"/>
      <c r="F40" s="297"/>
      <c r="G40" s="297"/>
      <c r="H40" s="297" t="s">
        <v>70</v>
      </c>
      <c r="I40" s="297">
        <f>I29</f>
        <v>2030</v>
      </c>
      <c r="J40" s="297"/>
      <c r="K40" s="306"/>
      <c r="L40" s="306"/>
      <c r="M40" s="306"/>
      <c r="N40" s="297"/>
      <c r="O40" s="306"/>
      <c r="P40" s="307"/>
      <c r="Q40" s="306"/>
      <c r="R40" s="298">
        <f>'81 Biogas Plant, Add. Org Waste'!Z16*7.45</f>
        <v>10.498003211531762</v>
      </c>
      <c r="S40" s="298">
        <f>'81 Biogas Plant, Add. Org Waste'!Z16*7.45</f>
        <v>10.498003211531762</v>
      </c>
      <c r="T40" s="307"/>
      <c r="U40" s="1258"/>
      <c r="V40" s="309"/>
      <c r="W40" s="1258"/>
      <c r="X40" s="1258"/>
    </row>
    <row r="41" spans="2:32" ht="14.4">
      <c r="B41" s="318"/>
      <c r="C41" s="318"/>
      <c r="D41" s="318"/>
      <c r="E41" s="318"/>
      <c r="F41" s="318"/>
      <c r="G41" s="318"/>
      <c r="H41" s="318" t="s">
        <v>70</v>
      </c>
      <c r="I41" s="318">
        <f>I30</f>
        <v>2050</v>
      </c>
      <c r="J41" s="318"/>
      <c r="K41" s="319"/>
      <c r="L41" s="319"/>
      <c r="M41" s="319"/>
      <c r="N41" s="318"/>
      <c r="O41" s="319"/>
      <c r="P41" s="328"/>
      <c r="Q41" s="319"/>
      <c r="R41" s="320">
        <f>'81 Biogas Plant, Add. Org Waste'!AA16*7.45</f>
        <v>9.4694420842834646</v>
      </c>
      <c r="S41" s="320">
        <f>'81 Biogas Plant, Add. Org Waste'!AA16*7.45</f>
        <v>9.4694420842834646</v>
      </c>
      <c r="T41" s="328"/>
      <c r="U41" s="1259"/>
      <c r="V41" s="329"/>
      <c r="W41" s="1258"/>
      <c r="X41" s="1258"/>
    </row>
    <row r="42" spans="2:32" ht="14.4">
      <c r="B42" s="297" t="str">
        <f>"SUP"&amp;G42&amp;RIGHT(E45,3)&amp;"1N"</f>
        <v>SUPBGAGRS1N</v>
      </c>
      <c r="C42" s="297" t="s">
        <v>444</v>
      </c>
      <c r="D42" s="297"/>
      <c r="E42" s="297" t="str">
        <f>E19</f>
        <v>SUPMNR</v>
      </c>
      <c r="F42" s="306"/>
      <c r="G42" s="306" t="str">
        <f>G19</f>
        <v>BGA</v>
      </c>
      <c r="H42" s="306" t="str">
        <f>H19</f>
        <v>MKr15</v>
      </c>
      <c r="I42" s="297">
        <f>I19</f>
        <v>2015</v>
      </c>
      <c r="J42" s="297"/>
      <c r="K42" s="306">
        <f>K19</f>
        <v>0.63244461192748636</v>
      </c>
      <c r="L42" s="306"/>
      <c r="M42" s="306"/>
      <c r="N42" s="297">
        <f>N19</f>
        <v>20</v>
      </c>
      <c r="O42" s="306">
        <f>O19</f>
        <v>0.34</v>
      </c>
      <c r="P42" s="307">
        <v>5</v>
      </c>
      <c r="Q42" s="298">
        <f>Q19</f>
        <v>0.9726027397260274</v>
      </c>
      <c r="R42" s="298">
        <f>R19</f>
        <v>12.49227037341001</v>
      </c>
      <c r="S42" s="298">
        <f>S19</f>
        <v>1.6880661113319619</v>
      </c>
      <c r="T42" s="307"/>
      <c r="U42" s="298">
        <f>U19</f>
        <v>3.1536000000000002E-2</v>
      </c>
      <c r="V42" s="309">
        <v>-2</v>
      </c>
      <c r="W42" s="1258"/>
      <c r="X42" s="1258"/>
    </row>
    <row r="43" spans="2:32" ht="14.4">
      <c r="B43" s="297"/>
      <c r="C43" s="297"/>
      <c r="D43" s="297"/>
      <c r="E43" s="297" t="str">
        <f>E20</f>
        <v>SUPDLI</v>
      </c>
      <c r="F43" s="306"/>
      <c r="G43" s="306"/>
      <c r="H43" s="306"/>
      <c r="I43" s="306"/>
      <c r="J43" s="306"/>
      <c r="K43" s="306">
        <f>K20</f>
        <v>0.59420286751096763</v>
      </c>
      <c r="L43" s="306"/>
      <c r="M43" s="306"/>
      <c r="N43" s="297"/>
      <c r="O43" s="306">
        <f>O20</f>
        <v>0.13</v>
      </c>
      <c r="P43" s="306"/>
      <c r="Q43" s="306"/>
      <c r="R43" s="307"/>
      <c r="S43" s="307"/>
      <c r="T43" s="307"/>
      <c r="U43" s="1258"/>
      <c r="V43" s="309"/>
      <c r="W43" s="1258"/>
      <c r="X43" s="1258"/>
    </row>
    <row r="44" spans="2:32" ht="14.4">
      <c r="B44" s="297"/>
      <c r="C44" s="297"/>
      <c r="D44" s="1258"/>
      <c r="E44" s="297" t="str">
        <f>E21</f>
        <v>SUPWST</v>
      </c>
      <c r="F44" s="306"/>
      <c r="G44" s="306"/>
      <c r="H44" s="306"/>
      <c r="I44" s="306"/>
      <c r="J44" s="306"/>
      <c r="K44" s="306">
        <f>K21</f>
        <v>0.59420286751096763</v>
      </c>
      <c r="L44" s="306"/>
      <c r="M44" s="306"/>
      <c r="N44" s="297"/>
      <c r="O44" s="306">
        <f>O21</f>
        <v>0.08</v>
      </c>
      <c r="P44" s="306"/>
      <c r="Q44" s="306"/>
      <c r="R44" s="1258"/>
      <c r="S44" s="1258"/>
      <c r="T44" s="1258"/>
      <c r="U44" s="1258"/>
      <c r="V44" s="1258"/>
      <c r="W44" s="1258"/>
      <c r="X44" s="1258"/>
    </row>
    <row r="45" spans="2:32" ht="14.4">
      <c r="B45" s="297"/>
      <c r="C45" s="297"/>
      <c r="D45" s="1258"/>
      <c r="E45" s="297" t="s">
        <v>445</v>
      </c>
      <c r="F45" s="306"/>
      <c r="G45" s="306"/>
      <c r="H45" s="306"/>
      <c r="I45" s="306"/>
      <c r="J45" s="306"/>
      <c r="K45" s="306">
        <f>K22</f>
        <v>0.59420286751096763</v>
      </c>
      <c r="L45" s="306"/>
      <c r="M45" s="306"/>
      <c r="N45" s="297"/>
      <c r="O45" s="306">
        <f>O22</f>
        <v>0.37</v>
      </c>
      <c r="P45" s="306"/>
      <c r="Q45" s="306"/>
      <c r="R45" s="297"/>
      <c r="S45" s="297"/>
      <c r="T45" s="297"/>
      <c r="U45" s="1258"/>
      <c r="V45" s="297"/>
      <c r="W45" s="1258"/>
      <c r="X45" s="1258"/>
    </row>
    <row r="46" spans="2:32" ht="14.4">
      <c r="B46" s="297"/>
      <c r="C46" s="297"/>
      <c r="D46" s="1258"/>
      <c r="E46" s="297" t="s">
        <v>1772</v>
      </c>
      <c r="F46" s="297"/>
      <c r="G46" s="297"/>
      <c r="H46" s="297"/>
      <c r="I46" s="297"/>
      <c r="J46" s="297"/>
      <c r="K46" s="306">
        <f>K23</f>
        <v>0.59420286751096763</v>
      </c>
      <c r="L46" s="306"/>
      <c r="M46" s="306"/>
      <c r="N46" s="297"/>
      <c r="O46" s="306">
        <f>AK45</f>
        <v>0</v>
      </c>
      <c r="P46" s="307"/>
      <c r="Q46" s="306"/>
      <c r="R46" s="307"/>
      <c r="S46" s="307"/>
      <c r="T46" s="307"/>
      <c r="U46" s="1258"/>
      <c r="V46" s="309"/>
      <c r="W46" s="1258"/>
      <c r="X46" s="1258"/>
    </row>
    <row r="47" spans="2:32" ht="14.4">
      <c r="B47" s="297"/>
      <c r="C47" s="297"/>
      <c r="D47" s="297" t="s">
        <v>71</v>
      </c>
      <c r="E47" s="297"/>
      <c r="F47" s="306"/>
      <c r="G47" s="306"/>
      <c r="H47" s="306"/>
      <c r="I47" s="306"/>
      <c r="J47" s="306"/>
      <c r="K47" s="306"/>
      <c r="L47" s="306">
        <f>L24</f>
        <v>3.7194624472035538E-2</v>
      </c>
      <c r="M47" s="306"/>
      <c r="N47" s="297"/>
      <c r="O47" s="306"/>
      <c r="P47" s="306"/>
      <c r="Q47" s="306"/>
      <c r="R47" s="297"/>
      <c r="S47" s="297"/>
      <c r="T47" s="297"/>
      <c r="U47" s="1258"/>
      <c r="V47" s="297"/>
      <c r="W47" s="1261"/>
      <c r="X47" s="1258"/>
    </row>
    <row r="48" spans="2:32" ht="14.4">
      <c r="B48" s="297"/>
      <c r="C48" s="297"/>
      <c r="D48" s="297" t="s">
        <v>160</v>
      </c>
      <c r="E48" s="297"/>
      <c r="F48" s="297"/>
      <c r="G48" s="1258"/>
      <c r="H48" s="1258"/>
      <c r="I48" s="1258"/>
      <c r="J48" s="1258"/>
      <c r="K48" s="1258"/>
      <c r="L48" s="306">
        <f>L25</f>
        <v>8.0905415078096621E-2</v>
      </c>
      <c r="M48" s="306"/>
      <c r="N48" s="297"/>
      <c r="O48" s="306"/>
      <c r="P48" s="306"/>
      <c r="Q48" s="306"/>
      <c r="R48" s="297"/>
      <c r="S48" s="297"/>
      <c r="T48" s="297"/>
      <c r="U48" s="1258"/>
      <c r="V48" s="297"/>
      <c r="W48" s="1258"/>
      <c r="X48" s="1258"/>
    </row>
    <row r="49" spans="2:24" ht="14.4">
      <c r="B49" s="297"/>
      <c r="C49" s="297"/>
      <c r="D49" s="297"/>
      <c r="E49" s="1258"/>
      <c r="F49" s="297" t="s">
        <v>1420</v>
      </c>
      <c r="G49" s="297"/>
      <c r="H49" s="297"/>
      <c r="I49" s="297"/>
      <c r="J49" s="297"/>
      <c r="K49" s="306"/>
      <c r="L49" s="306"/>
      <c r="M49" s="307">
        <f>(28-1)*O42*1.5</f>
        <v>13.770000000000003</v>
      </c>
      <c r="N49" s="306"/>
      <c r="O49" s="306"/>
      <c r="P49" s="306"/>
      <c r="Q49" s="306"/>
      <c r="R49" s="1260"/>
      <c r="S49" s="1260"/>
      <c r="T49" s="1258"/>
      <c r="U49" s="1258"/>
      <c r="V49" s="1258"/>
      <c r="W49" s="1258"/>
      <c r="X49" s="1258"/>
    </row>
    <row r="50" spans="2:24" s="1256" customFormat="1" ht="14.4">
      <c r="B50" s="297"/>
      <c r="C50" s="297"/>
      <c r="D50" s="297"/>
      <c r="E50" s="1258"/>
      <c r="F50" s="297" t="s">
        <v>1776</v>
      </c>
      <c r="G50" s="297"/>
      <c r="H50" s="297"/>
      <c r="I50" s="297"/>
      <c r="J50" s="297"/>
      <c r="K50" s="306"/>
      <c r="L50" s="306"/>
      <c r="M50" s="307">
        <f>-M49</f>
        <v>-13.770000000000003</v>
      </c>
      <c r="N50" s="306"/>
      <c r="O50" s="306"/>
      <c r="P50" s="306"/>
      <c r="Q50" s="306"/>
      <c r="R50" s="1260"/>
      <c r="S50" s="1260"/>
      <c r="T50" s="1258"/>
      <c r="U50" s="1258"/>
      <c r="V50" s="1258"/>
      <c r="W50" s="1258"/>
      <c r="X50" s="1258"/>
    </row>
    <row r="51" spans="2:24" ht="14.4">
      <c r="B51" s="297"/>
      <c r="C51" s="297"/>
      <c r="D51" s="297"/>
      <c r="E51" s="297"/>
      <c r="F51" s="297"/>
      <c r="G51" s="1258"/>
      <c r="H51" s="297" t="s">
        <v>70</v>
      </c>
      <c r="I51" s="297">
        <f>I28</f>
        <v>2020</v>
      </c>
      <c r="J51" s="297"/>
      <c r="K51" s="1258"/>
      <c r="L51" s="306"/>
      <c r="M51" s="306"/>
      <c r="N51" s="297"/>
      <c r="O51" s="306"/>
      <c r="P51" s="306"/>
      <c r="Q51" s="306"/>
      <c r="R51" s="298">
        <f t="shared" ref="R51:S53" si="4">R28</f>
        <v>11.714618463068261</v>
      </c>
      <c r="S51" s="298">
        <f t="shared" si="4"/>
        <v>1.6569936948015112</v>
      </c>
      <c r="T51" s="297"/>
      <c r="U51" s="1258"/>
      <c r="V51" s="297"/>
      <c r="W51" s="1258"/>
      <c r="X51" s="1258"/>
    </row>
    <row r="52" spans="2:24" ht="14.4">
      <c r="B52" s="297"/>
      <c r="C52" s="297"/>
      <c r="D52" s="297"/>
      <c r="E52" s="297"/>
      <c r="F52" s="297"/>
      <c r="G52" s="1258"/>
      <c r="H52" s="297" t="s">
        <v>70</v>
      </c>
      <c r="I52" s="297">
        <f>I29</f>
        <v>2030</v>
      </c>
      <c r="J52" s="297"/>
      <c r="K52" s="1258"/>
      <c r="L52" s="306"/>
      <c r="M52" s="306"/>
      <c r="N52" s="297"/>
      <c r="O52" s="306"/>
      <c r="P52" s="306"/>
      <c r="Q52" s="306"/>
      <c r="R52" s="298">
        <f t="shared" si="4"/>
        <v>10.571772766125708</v>
      </c>
      <c r="S52" s="298">
        <f t="shared" si="4"/>
        <v>1.7009656506304474</v>
      </c>
      <c r="T52" s="297"/>
      <c r="U52" s="1258"/>
      <c r="V52" s="297"/>
      <c r="W52" s="1258"/>
      <c r="X52" s="1258"/>
    </row>
    <row r="53" spans="2:24" ht="14.4">
      <c r="B53" s="318"/>
      <c r="C53" s="318"/>
      <c r="D53" s="318"/>
      <c r="E53" s="318"/>
      <c r="F53" s="318"/>
      <c r="G53" s="1259"/>
      <c r="H53" s="318" t="s">
        <v>70</v>
      </c>
      <c r="I53" s="318">
        <f>I30</f>
        <v>2050</v>
      </c>
      <c r="J53" s="318"/>
      <c r="K53" s="1262"/>
      <c r="L53" s="319"/>
      <c r="M53" s="319"/>
      <c r="N53" s="318"/>
      <c r="O53" s="319"/>
      <c r="P53" s="319"/>
      <c r="Q53" s="319"/>
      <c r="R53" s="320">
        <f t="shared" si="4"/>
        <v>9.5432116388774109</v>
      </c>
      <c r="S53" s="320">
        <f t="shared" si="4"/>
        <v>1.6999352666911234</v>
      </c>
      <c r="T53" s="1259"/>
      <c r="U53" s="1259"/>
      <c r="V53" s="1259"/>
      <c r="W53" s="1258"/>
      <c r="X53" s="1258"/>
    </row>
    <row r="54" spans="2:24" ht="14.4">
      <c r="B54" s="1263"/>
      <c r="C54" s="1263"/>
      <c r="D54" s="1263"/>
      <c r="E54" s="1263"/>
      <c r="F54" s="1263"/>
      <c r="G54" s="1264"/>
      <c r="H54" s="1263"/>
      <c r="I54" s="1263"/>
      <c r="J54" s="1263"/>
      <c r="K54" s="1265"/>
      <c r="L54" s="1266"/>
      <c r="M54" s="1266"/>
      <c r="N54" s="1263"/>
      <c r="O54" s="1266"/>
      <c r="P54" s="1266"/>
      <c r="Q54" s="1266"/>
      <c r="R54" s="1267"/>
      <c r="S54" s="1267"/>
      <c r="T54" s="1264"/>
      <c r="U54" s="1264"/>
      <c r="V54" s="1264"/>
      <c r="W54" s="1258"/>
      <c r="X54" s="1258"/>
    </row>
    <row r="55" spans="2:24" ht="40.200000000000003">
      <c r="B55" s="297" t="s">
        <v>446</v>
      </c>
      <c r="C55" s="1258" t="s">
        <v>447</v>
      </c>
      <c r="D55" s="1258"/>
      <c r="E55" s="1268" t="s">
        <v>419</v>
      </c>
      <c r="F55" s="1258"/>
      <c r="G55" s="1258" t="s">
        <v>431</v>
      </c>
      <c r="H55" s="297" t="s">
        <v>70</v>
      </c>
      <c r="I55" s="1258">
        <f>'82 Biogas, upgrading'!$C$4</f>
        <v>2015</v>
      </c>
      <c r="J55" s="1258">
        <v>2030</v>
      </c>
      <c r="K55" s="1258">
        <f>'83 Gasif. Fixed Bed, Producer '!$C$13/100*'83 Gasif. Fixed Bed, Producer '!$C$9/100</f>
        <v>0.72519999999999996</v>
      </c>
      <c r="L55" s="1258"/>
      <c r="M55" s="1258"/>
      <c r="N55" s="1258"/>
      <c r="O55" s="1258"/>
      <c r="P55" s="1258"/>
      <c r="Q55" s="1260">
        <f>1-('83 Gasif. Fixed Bed, Producer '!$C$16/100+'83 Gasif. Fixed Bed, Producer '!$C$17*7*24/8760)</f>
        <v>0.8924657534246575</v>
      </c>
      <c r="R55" s="1258">
        <f>'83 Gasif. Fixed Bed, Producer '!$C$22*7.45</f>
        <v>10.43</v>
      </c>
      <c r="S55" s="1260">
        <f>'83 Gasif. Fixed Bed, Producer '!C25*7.45/1000000</f>
        <v>0.15645000000000001</v>
      </c>
      <c r="T55" s="1258">
        <f>'83 Gasif. Fixed Bed, Producer '!$C$26/3.6*7.45</f>
        <v>5.3805555555555555</v>
      </c>
      <c r="U55" s="298">
        <f>SUP_MethanationBGA!U57</f>
        <v>3.1536000000000002E-2</v>
      </c>
      <c r="V55" s="309">
        <v>-2</v>
      </c>
      <c r="W55" s="1258"/>
      <c r="X55" s="1258"/>
    </row>
    <row r="56" spans="2:24">
      <c r="B56" s="1258" t="s">
        <v>42</v>
      </c>
      <c r="C56" s="1258"/>
      <c r="D56" s="1258" t="s">
        <v>71</v>
      </c>
      <c r="E56" s="1258"/>
      <c r="F56" s="1258"/>
      <c r="G56" s="1258"/>
      <c r="H56" s="1258"/>
      <c r="I56" s="1258"/>
      <c r="J56" s="1258"/>
      <c r="K56" s="1258"/>
      <c r="L56" s="1258">
        <f>('83 Gasif. Fixed Bed, Producer '!$C$10/100*'83 Gasif. Fixed Bed, Producer '!$C$13/100)/K55</f>
        <v>2.0408163265306124E-2</v>
      </c>
      <c r="M56" s="1258"/>
      <c r="N56" s="1258"/>
      <c r="O56" s="1258"/>
      <c r="P56" s="1258"/>
      <c r="Q56" s="1258"/>
      <c r="R56" s="1258"/>
      <c r="S56" s="1260"/>
      <c r="T56" s="1258"/>
      <c r="U56" s="1258"/>
      <c r="V56" s="1258"/>
      <c r="W56" s="1258"/>
      <c r="X56" s="1258"/>
    </row>
    <row r="57" spans="2:24">
      <c r="B57" s="1258" t="s">
        <v>42</v>
      </c>
      <c r="C57" s="1258"/>
      <c r="D57" s="1258"/>
      <c r="E57" s="1258"/>
      <c r="F57" s="1258" t="s">
        <v>259</v>
      </c>
      <c r="G57" s="1258"/>
      <c r="H57" s="1258"/>
      <c r="I57" s="1258"/>
      <c r="J57" s="1258"/>
      <c r="K57" s="1258"/>
      <c r="L57" s="1258"/>
      <c r="M57" s="1258">
        <f>'83 Gasif. Fixed Bed, Producer '!$C$14/100</f>
        <v>0.1</v>
      </c>
      <c r="N57" s="1258"/>
      <c r="O57" s="1258"/>
      <c r="P57" s="1258"/>
      <c r="Q57" s="1258"/>
      <c r="R57" s="1258"/>
      <c r="S57" s="1260"/>
      <c r="T57" s="1258"/>
      <c r="U57" s="1258"/>
      <c r="V57" s="1258"/>
      <c r="W57" s="1258"/>
      <c r="X57" s="1258"/>
    </row>
    <row r="58" spans="2:24" ht="40.200000000000003">
      <c r="B58" s="1258" t="s">
        <v>42</v>
      </c>
      <c r="C58" s="1258"/>
      <c r="D58" s="1258"/>
      <c r="E58" s="1268" t="s">
        <v>419</v>
      </c>
      <c r="F58" s="1258"/>
      <c r="G58" s="1258" t="s">
        <v>431</v>
      </c>
      <c r="H58" s="297" t="s">
        <v>70</v>
      </c>
      <c r="I58" s="1258">
        <f>'82 Biogas, upgrading'!$D$4</f>
        <v>2020</v>
      </c>
      <c r="J58" s="1258"/>
      <c r="K58" s="1258">
        <f>'83 Gasif. Fixed Bed, Producer '!$D$13/100*'83 Gasif. Fixed Bed, Producer '!$D$9/100</f>
        <v>0.73499999999999999</v>
      </c>
      <c r="L58" s="1258"/>
      <c r="M58" s="1258"/>
      <c r="N58" s="1258"/>
      <c r="O58" s="1258"/>
      <c r="P58" s="1258"/>
      <c r="Q58" s="1260">
        <f>1-('83 Gasif. Fixed Bed, Producer '!$D$16/100+'83 Gasif. Fixed Bed, Producer '!$D$17*7*24/8760)</f>
        <v>0.8924657534246575</v>
      </c>
      <c r="R58" s="1258">
        <f>'83 Gasif. Fixed Bed, Producer '!$D$22*7.45</f>
        <v>9.6850000000000005</v>
      </c>
      <c r="S58" s="1260">
        <f>'83 Gasif. Fixed Bed, Producer '!$D$25*7.45/1000000</f>
        <v>0.14899999999999999</v>
      </c>
      <c r="T58" s="1258">
        <f>'83 Gasif. Fixed Bed, Producer '!$D$26/3.6*7.45</f>
        <v>5.1736111111111107</v>
      </c>
      <c r="U58" s="298">
        <f>U55</f>
        <v>3.1536000000000002E-2</v>
      </c>
      <c r="V58" s="309">
        <v>-2</v>
      </c>
      <c r="W58" s="1258"/>
      <c r="X58" s="1258"/>
    </row>
    <row r="59" spans="2:24">
      <c r="B59" s="1258" t="s">
        <v>42</v>
      </c>
      <c r="C59" s="1258"/>
      <c r="D59" s="1258" t="s">
        <v>71</v>
      </c>
      <c r="E59" s="1268"/>
      <c r="F59" s="1258"/>
      <c r="G59" s="1258"/>
      <c r="H59" s="1258"/>
      <c r="I59" s="1258"/>
      <c r="J59" s="1258"/>
      <c r="K59" s="1258"/>
      <c r="L59" s="1258">
        <f>('83 Gasif. Fixed Bed, Producer '!$D$10/100*'83 Gasif. Fixed Bed, Producer '!$D$13/100)/K58</f>
        <v>2.0408163265306121E-2</v>
      </c>
      <c r="M59" s="1258"/>
      <c r="N59" s="1258"/>
      <c r="O59" s="1258"/>
      <c r="P59" s="1258"/>
      <c r="Q59" s="1258"/>
      <c r="R59" s="1258"/>
      <c r="S59" s="1260"/>
      <c r="T59" s="1258"/>
      <c r="U59" s="1258"/>
      <c r="V59" s="1258"/>
      <c r="W59" s="1258"/>
      <c r="X59" s="1258"/>
    </row>
    <row r="60" spans="2:24">
      <c r="B60" s="1258" t="s">
        <v>42</v>
      </c>
      <c r="C60" s="1258"/>
      <c r="D60" s="1258"/>
      <c r="E60" s="1268"/>
      <c r="F60" s="1258" t="s">
        <v>259</v>
      </c>
      <c r="G60" s="1258"/>
      <c r="H60" s="1258"/>
      <c r="I60" s="1258"/>
      <c r="J60" s="1258"/>
      <c r="K60" s="1258"/>
      <c r="L60" s="1258"/>
      <c r="M60" s="1258">
        <f>'83 Gasif. Fixed Bed, Producer '!$D$14/100</f>
        <v>0.1</v>
      </c>
      <c r="N60" s="1258"/>
      <c r="O60" s="1258"/>
      <c r="P60" s="1258"/>
      <c r="Q60" s="1258"/>
      <c r="R60" s="1258"/>
      <c r="S60" s="1260"/>
      <c r="T60" s="1258"/>
      <c r="U60" s="1258"/>
      <c r="V60" s="1258"/>
      <c r="W60" s="1258"/>
    </row>
    <row r="61" spans="2:24" ht="40.200000000000003">
      <c r="B61" s="1258" t="s">
        <v>42</v>
      </c>
      <c r="C61" s="1258"/>
      <c r="D61" s="1258"/>
      <c r="E61" s="1268" t="s">
        <v>419</v>
      </c>
      <c r="F61" s="1258"/>
      <c r="G61" s="1258" t="s">
        <v>431</v>
      </c>
      <c r="H61" s="297" t="s">
        <v>70</v>
      </c>
      <c r="I61" s="1258">
        <f>'82 Biogas, upgrading'!$E$4</f>
        <v>2030</v>
      </c>
      <c r="J61" s="1258"/>
      <c r="K61" s="1258">
        <f>'83 Gasif. Fixed Bed, Producer '!$E$13/100*'83 Gasif. Fixed Bed, Producer '!$E$9/100</f>
        <v>0.75460000000000005</v>
      </c>
      <c r="L61" s="1258"/>
      <c r="M61" s="1258"/>
      <c r="N61" s="1258"/>
      <c r="O61" s="1258"/>
      <c r="P61" s="1258"/>
      <c r="Q61" s="1260">
        <f>1-('83 Gasif. Fixed Bed, Producer '!$E$16/100+'83 Gasif. Fixed Bed, Producer '!$E$17*7*24/8760)</f>
        <v>0.8924657534246575</v>
      </c>
      <c r="R61" s="1258">
        <f>'83 Gasif. Fixed Bed, Producer '!$E$22*7.45</f>
        <v>8.94</v>
      </c>
      <c r="S61" s="1260">
        <f>'83 Gasif. Fixed Bed, Producer '!$E$25*7.45/1000000</f>
        <v>0.1341</v>
      </c>
      <c r="T61" s="1258">
        <f>'83 Gasif. Fixed Bed, Producer '!$E$26/3.6*7.45</f>
        <v>4.552777777777778</v>
      </c>
      <c r="U61" s="298">
        <f>U58</f>
        <v>3.1536000000000002E-2</v>
      </c>
      <c r="V61" s="309">
        <v>-2</v>
      </c>
      <c r="W61" s="1258"/>
    </row>
    <row r="62" spans="2:24">
      <c r="B62" s="1258" t="s">
        <v>42</v>
      </c>
      <c r="C62" s="1258"/>
      <c r="D62" s="1258" t="s">
        <v>71</v>
      </c>
      <c r="E62" s="1268"/>
      <c r="F62" s="1258"/>
      <c r="G62" s="1258"/>
      <c r="H62" s="1258"/>
      <c r="I62" s="1258"/>
      <c r="J62" s="1258"/>
      <c r="K62" s="1258"/>
      <c r="L62" s="1258">
        <f>('83 Gasif. Fixed Bed, Producer '!$E$10/100*'83 Gasif. Fixed Bed, Producer '!$E$13/100)/K61</f>
        <v>2.0408163265306121E-2</v>
      </c>
      <c r="M62" s="1258"/>
      <c r="N62" s="1258"/>
      <c r="O62" s="1258"/>
      <c r="P62" s="1258"/>
      <c r="Q62" s="1258"/>
      <c r="R62" s="1258"/>
      <c r="S62" s="1260"/>
      <c r="T62" s="1258"/>
      <c r="U62" s="1258"/>
      <c r="V62" s="1258"/>
      <c r="W62" s="1258"/>
    </row>
    <row r="63" spans="2:24">
      <c r="B63" s="1258" t="s">
        <v>42</v>
      </c>
      <c r="C63" s="1258"/>
      <c r="D63" s="1258"/>
      <c r="E63" s="1268"/>
      <c r="F63" s="1258" t="s">
        <v>259</v>
      </c>
      <c r="G63" s="1258"/>
      <c r="H63" s="1258"/>
      <c r="I63" s="1258"/>
      <c r="J63" s="1258"/>
      <c r="K63" s="1258"/>
      <c r="L63" s="1258"/>
      <c r="M63" s="1258">
        <f>'83 Gasif. Fixed Bed, Producer '!$E$14/100</f>
        <v>0.09</v>
      </c>
      <c r="N63" s="1258"/>
      <c r="O63" s="1258"/>
      <c r="P63" s="1258"/>
      <c r="Q63" s="1258"/>
      <c r="R63" s="1258"/>
      <c r="S63" s="1260"/>
      <c r="T63" s="1258"/>
      <c r="U63" s="1258"/>
      <c r="V63" s="1258"/>
      <c r="W63" s="1258"/>
    </row>
    <row r="64" spans="2:24" ht="40.200000000000003">
      <c r="B64" s="1258" t="s">
        <v>42</v>
      </c>
      <c r="C64" s="1258"/>
      <c r="D64" s="1258"/>
      <c r="E64" s="1268" t="s">
        <v>419</v>
      </c>
      <c r="F64" s="1258"/>
      <c r="G64" s="1258" t="s">
        <v>431</v>
      </c>
      <c r="H64" s="297" t="s">
        <v>70</v>
      </c>
      <c r="I64" s="1258">
        <f>'82 Biogas, upgrading'!$F$4</f>
        <v>2050</v>
      </c>
      <c r="J64" s="1258"/>
      <c r="K64" s="1258">
        <f>'83 Gasif. Fixed Bed, Producer '!$F$13/100*'83 Gasif. Fixed Bed, Producer '!$F$9/100</f>
        <v>0.8133999999999999</v>
      </c>
      <c r="L64" s="1258"/>
      <c r="M64" s="1258"/>
      <c r="N64" s="1258"/>
      <c r="O64" s="1258"/>
      <c r="P64" s="1258"/>
      <c r="Q64" s="1260">
        <f>1-('83 Gasif. Fixed Bed, Producer '!$F$16/100+'83 Gasif. Fixed Bed, Producer '!$F$17*7*24/8760)</f>
        <v>0.8924657534246575</v>
      </c>
      <c r="R64" s="1258">
        <f>'83 Gasif. Fixed Bed, Producer '!$F$22*7.45</f>
        <v>8.1950000000000003</v>
      </c>
      <c r="S64" s="1260">
        <f>'83 Gasif. Fixed Bed, Producer '!$F$25*7.45/1000000</f>
        <v>0.12069000000000001</v>
      </c>
      <c r="T64" s="1258">
        <f>'83 Gasif. Fixed Bed, Producer '!$F$26/3.6*7.45</f>
        <v>4.1388888888888893</v>
      </c>
      <c r="U64" s="298">
        <f>U61</f>
        <v>3.1536000000000002E-2</v>
      </c>
      <c r="V64" s="309">
        <v>-2</v>
      </c>
      <c r="W64" s="1258"/>
    </row>
    <row r="65" spans="2:23">
      <c r="B65" s="1258" t="s">
        <v>42</v>
      </c>
      <c r="C65" s="1258"/>
      <c r="D65" s="1258" t="s">
        <v>71</v>
      </c>
      <c r="E65" s="1268"/>
      <c r="F65" s="1258"/>
      <c r="G65" s="1258"/>
      <c r="H65" s="1258"/>
      <c r="I65" s="1258"/>
      <c r="J65" s="1258"/>
      <c r="K65" s="1258"/>
      <c r="L65" s="1269">
        <f>('83 Gasif. Fixed Bed, Producer '!$F$10/100*'83 Gasif. Fixed Bed, Producer '!$F$13/100)/K64</f>
        <v>2.0408163265306124E-2</v>
      </c>
      <c r="M65" s="1258"/>
      <c r="N65" s="1258"/>
      <c r="O65" s="1258"/>
      <c r="P65" s="1258"/>
      <c r="Q65" s="1258"/>
      <c r="R65" s="1258"/>
      <c r="S65" s="1260"/>
      <c r="T65" s="1258"/>
      <c r="U65" s="1258"/>
      <c r="V65" s="1258"/>
      <c r="W65" s="1258"/>
    </row>
    <row r="66" spans="2:23">
      <c r="B66" s="1258" t="s">
        <v>42</v>
      </c>
      <c r="C66" s="1259"/>
      <c r="D66" s="1259"/>
      <c r="E66" s="1270"/>
      <c r="F66" s="1259" t="s">
        <v>259</v>
      </c>
      <c r="G66" s="1259"/>
      <c r="H66" s="1259"/>
      <c r="I66" s="1259"/>
      <c r="J66" s="1259"/>
      <c r="K66" s="1259"/>
      <c r="L66" s="1259"/>
      <c r="M66" s="1259">
        <f>'83 Gasif. Fixed Bed, Producer '!$F$14/100</f>
        <v>0.05</v>
      </c>
      <c r="N66" s="1259"/>
      <c r="O66" s="1259"/>
      <c r="P66" s="1259"/>
      <c r="Q66" s="1259"/>
      <c r="R66" s="1259"/>
      <c r="S66" s="1271"/>
      <c r="T66" s="1259"/>
      <c r="U66" s="1259"/>
      <c r="V66" s="1259"/>
      <c r="W66" s="1258"/>
    </row>
    <row r="67" spans="2:23">
      <c r="B67" s="1258"/>
      <c r="C67" s="1258"/>
      <c r="D67" s="1258"/>
      <c r="E67" s="1258"/>
      <c r="F67" s="1258"/>
      <c r="G67" s="1258"/>
      <c r="H67" s="1258"/>
      <c r="I67" s="1258"/>
      <c r="J67" s="1258"/>
      <c r="K67" s="1258"/>
      <c r="L67" s="1258"/>
      <c r="M67" s="1258"/>
      <c r="N67" s="1258"/>
      <c r="O67" s="1258"/>
      <c r="P67" s="1258"/>
      <c r="Q67" s="1258"/>
      <c r="R67" s="1258"/>
      <c r="S67" s="1258"/>
      <c r="T67" s="1258"/>
      <c r="U67" s="1258"/>
      <c r="V67" s="1258"/>
      <c r="W67" s="1258"/>
    </row>
    <row r="68" spans="2:23">
      <c r="B68" s="1258"/>
      <c r="C68" s="1258"/>
      <c r="D68" s="1258"/>
      <c r="E68" s="1258"/>
      <c r="F68" s="1258"/>
      <c r="G68" s="1258"/>
      <c r="H68" s="1258"/>
      <c r="I68" s="1258"/>
      <c r="J68" s="1258"/>
      <c r="K68" s="1258"/>
      <c r="L68" s="1258"/>
      <c r="M68" s="1258"/>
      <c r="N68" s="1258"/>
      <c r="O68" s="1258"/>
      <c r="P68" s="1258"/>
      <c r="Q68" s="1258"/>
      <c r="R68" s="1258"/>
      <c r="S68" s="1258"/>
      <c r="T68" s="1258"/>
      <c r="U68" s="1258"/>
      <c r="V68" s="1258"/>
      <c r="W68" s="1258"/>
    </row>
    <row r="69" spans="2:23">
      <c r="B69" s="1258"/>
      <c r="C69" s="1258"/>
      <c r="D69" s="1258"/>
      <c r="E69" s="1258"/>
      <c r="F69" s="1258"/>
      <c r="G69" s="1258"/>
      <c r="H69" s="1258"/>
      <c r="I69" s="1258"/>
      <c r="J69" s="1258"/>
      <c r="K69" s="1258"/>
      <c r="L69" s="1258"/>
      <c r="M69" s="1258"/>
      <c r="N69" s="1258"/>
      <c r="O69" s="1258"/>
      <c r="P69" s="1258"/>
      <c r="Q69" s="1258"/>
      <c r="R69" s="1258"/>
      <c r="S69" s="1258"/>
      <c r="T69" s="1258"/>
      <c r="U69" s="1258"/>
      <c r="V69" s="1258"/>
      <c r="W69" s="1258"/>
    </row>
    <row r="70" spans="2:23">
      <c r="B70" s="1258"/>
      <c r="C70" s="1258"/>
      <c r="D70" s="1258"/>
      <c r="E70" s="1258"/>
      <c r="F70" s="1258"/>
      <c r="G70" s="1258"/>
      <c r="H70" s="1258"/>
      <c r="I70" s="1258"/>
      <c r="J70" s="1258"/>
      <c r="K70" s="1258"/>
      <c r="L70" s="1258"/>
      <c r="M70" s="1258"/>
      <c r="N70" s="1258"/>
      <c r="O70" s="1258"/>
      <c r="P70" s="1258"/>
      <c r="Q70" s="1258"/>
      <c r="R70" s="1258"/>
      <c r="S70" s="1258"/>
      <c r="T70" s="1258"/>
      <c r="U70" s="1258"/>
      <c r="V70" s="1258"/>
      <c r="W70" s="1258"/>
    </row>
    <row r="71" spans="2:23">
      <c r="B71" s="1258"/>
      <c r="C71" s="1258"/>
      <c r="D71" s="1258"/>
      <c r="E71" s="1258"/>
      <c r="F71" s="1258"/>
      <c r="G71" s="1258"/>
      <c r="H71" s="1258"/>
      <c r="I71" s="1258"/>
      <c r="J71" s="1258"/>
      <c r="K71" s="1258"/>
      <c r="L71" s="1258"/>
      <c r="M71" s="1258"/>
      <c r="N71" s="1258"/>
      <c r="O71" s="1258"/>
      <c r="P71" s="1258"/>
      <c r="Q71" s="1258"/>
      <c r="R71" s="1258"/>
      <c r="S71" s="1258"/>
      <c r="T71" s="1258"/>
      <c r="U71" s="1258"/>
      <c r="V71" s="1258"/>
    </row>
    <row r="72" spans="2:23">
      <c r="B72" s="1258"/>
      <c r="C72" s="1258"/>
      <c r="D72" s="1258"/>
      <c r="E72" s="1258"/>
      <c r="F72" s="1258"/>
      <c r="G72" s="1258"/>
      <c r="H72" s="1258"/>
      <c r="I72" s="1258"/>
      <c r="J72" s="1258"/>
      <c r="K72" s="1258"/>
      <c r="L72" s="1258"/>
      <c r="M72" s="1258"/>
      <c r="N72" s="1258"/>
      <c r="O72" s="1258"/>
      <c r="P72" s="1258"/>
      <c r="Q72" s="1258"/>
      <c r="R72" s="1258"/>
      <c r="S72" s="1258"/>
      <c r="T72" s="1258"/>
      <c r="U72" s="1258"/>
      <c r="V72" s="1258"/>
    </row>
    <row r="73" spans="2:23">
      <c r="B73" s="1258"/>
      <c r="C73" s="1258"/>
      <c r="D73" s="1258"/>
      <c r="E73" s="1258"/>
      <c r="F73" s="1258"/>
      <c r="G73" s="1258"/>
      <c r="H73" s="1258"/>
      <c r="I73" s="1258"/>
      <c r="J73" s="1258"/>
      <c r="K73" s="1258"/>
      <c r="L73" s="1258"/>
      <c r="M73" s="1258"/>
      <c r="N73" s="1258"/>
      <c r="O73" s="1258"/>
      <c r="P73" s="1258"/>
      <c r="Q73" s="1258"/>
      <c r="R73" s="1258"/>
      <c r="S73" s="1258"/>
      <c r="T73" s="1258"/>
      <c r="U73" s="1258"/>
      <c r="V73" s="1258"/>
    </row>
  </sheetData>
  <pageMargins left="0.75" right="0.75" top="1" bottom="1" header="0.5" footer="0.5"/>
  <pageSetup orientation="portrait"/>
  <headerFooter alignWithMargins="0"/>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E62DD-3788-4434-B49C-D52DE29C87F3}">
  <sheetPr>
    <tabColor rgb="FF7030A0"/>
  </sheetPr>
  <dimension ref="B3:R14"/>
  <sheetViews>
    <sheetView zoomScaleNormal="100" workbookViewId="0">
      <selection activeCell="C45" sqref="C45"/>
    </sheetView>
  </sheetViews>
  <sheetFormatPr defaultColWidth="9.109375" defaultRowHeight="13.2"/>
  <cols>
    <col min="1" max="1" width="9.109375" style="69"/>
    <col min="2" max="2" width="17.44140625" style="69" bestFit="1" customWidth="1"/>
    <col min="3" max="3" width="80" style="69" bestFit="1" customWidth="1"/>
    <col min="4" max="4" width="14.6640625" style="69" bestFit="1" customWidth="1"/>
    <col min="5" max="5" width="16" style="69" bestFit="1" customWidth="1"/>
    <col min="6" max="6" width="14.44140625" style="69" bestFit="1" customWidth="1"/>
    <col min="7" max="7" width="21.6640625" style="69" bestFit="1" customWidth="1"/>
    <col min="8" max="8" width="16.6640625" style="69" bestFit="1" customWidth="1"/>
    <col min="9" max="9" width="22.6640625" style="69" bestFit="1" customWidth="1"/>
    <col min="10" max="11" width="15" style="69" bestFit="1" customWidth="1"/>
    <col min="12" max="12" width="16.5546875" style="69" bestFit="1" customWidth="1"/>
    <col min="13" max="15" width="16.5546875" style="69" customWidth="1"/>
    <col min="16" max="16" width="15.6640625" style="69" bestFit="1" customWidth="1"/>
    <col min="17" max="16384" width="9.109375" style="69"/>
  </cols>
  <sheetData>
    <row r="3" spans="2:18">
      <c r="K3" s="244" t="s">
        <v>190</v>
      </c>
      <c r="L3" s="245">
        <v>7.45</v>
      </c>
    </row>
    <row r="5" spans="2:18">
      <c r="K5" s="1010"/>
    </row>
    <row r="6" spans="2:18">
      <c r="F6" s="121" t="s">
        <v>0</v>
      </c>
      <c r="K6" s="1010"/>
    </row>
    <row r="7" spans="2:18">
      <c r="B7" s="120" t="s">
        <v>2</v>
      </c>
      <c r="C7" s="120" t="s">
        <v>11</v>
      </c>
      <c r="D7" s="120" t="s">
        <v>32</v>
      </c>
      <c r="E7" s="120" t="s">
        <v>3</v>
      </c>
      <c r="F7" s="120" t="s">
        <v>34</v>
      </c>
      <c r="G7" s="120" t="s">
        <v>187</v>
      </c>
      <c r="H7" s="157" t="s">
        <v>186</v>
      </c>
      <c r="I7" s="157" t="s">
        <v>185</v>
      </c>
      <c r="J7" s="157" t="s">
        <v>9</v>
      </c>
      <c r="K7" s="157"/>
      <c r="L7" s="157" t="s">
        <v>1308</v>
      </c>
      <c r="M7" s="157" t="s">
        <v>1307</v>
      </c>
      <c r="N7" s="157" t="s">
        <v>1306</v>
      </c>
      <c r="O7" s="157" t="s">
        <v>1305</v>
      </c>
      <c r="P7" s="157" t="s">
        <v>1304</v>
      </c>
      <c r="Q7" s="157" t="s">
        <v>1303</v>
      </c>
      <c r="R7" s="116" t="s">
        <v>41</v>
      </c>
    </row>
    <row r="8" spans="2:18">
      <c r="B8" s="1005" t="s">
        <v>184</v>
      </c>
      <c r="C8" s="1005" t="s">
        <v>19</v>
      </c>
      <c r="D8" s="1005" t="s">
        <v>183</v>
      </c>
      <c r="E8" s="1005" t="s">
        <v>181</v>
      </c>
      <c r="F8" s="1005"/>
      <c r="G8" s="1005" t="s">
        <v>233</v>
      </c>
      <c r="H8" s="1005" t="s">
        <v>178</v>
      </c>
      <c r="I8" s="1005" t="s">
        <v>177</v>
      </c>
      <c r="J8" s="1005" t="s">
        <v>176</v>
      </c>
      <c r="K8" s="1005"/>
      <c r="L8" s="1005" t="s">
        <v>175</v>
      </c>
      <c r="M8" s="1005" t="s">
        <v>174</v>
      </c>
      <c r="N8" s="1005" t="s">
        <v>173</v>
      </c>
      <c r="O8" s="1005" t="s">
        <v>175</v>
      </c>
      <c r="P8" s="1005" t="s">
        <v>174</v>
      </c>
      <c r="Q8" s="1005" t="s">
        <v>173</v>
      </c>
      <c r="R8" s="1004"/>
    </row>
    <row r="9" spans="2:18" ht="13.8" thickBot="1">
      <c r="B9" s="112" t="s">
        <v>172</v>
      </c>
      <c r="C9" s="110"/>
      <c r="D9" s="110"/>
      <c r="E9" s="110"/>
      <c r="F9" s="110"/>
      <c r="G9" s="110" t="s">
        <v>338</v>
      </c>
      <c r="H9" s="110"/>
      <c r="I9" s="110" t="s">
        <v>62</v>
      </c>
      <c r="J9" s="110"/>
      <c r="K9" s="110"/>
      <c r="L9" s="110" t="s">
        <v>340</v>
      </c>
      <c r="M9" s="110" t="s">
        <v>340</v>
      </c>
      <c r="N9" s="110" t="s">
        <v>367</v>
      </c>
      <c r="O9" s="110" t="s">
        <v>340</v>
      </c>
      <c r="P9" s="110" t="s">
        <v>340</v>
      </c>
      <c r="Q9" s="110" t="s">
        <v>367</v>
      </c>
      <c r="R9" s="1003"/>
    </row>
    <row r="10" spans="2:18">
      <c r="B10" s="69" t="s">
        <v>1302</v>
      </c>
      <c r="C10" s="69" t="s">
        <v>1387</v>
      </c>
      <c r="D10" s="69" t="s">
        <v>1314</v>
      </c>
      <c r="E10" s="69" t="s">
        <v>1385</v>
      </c>
      <c r="F10" s="69" t="s">
        <v>343</v>
      </c>
      <c r="G10" s="69">
        <v>1</v>
      </c>
      <c r="H10" s="299">
        <v>0.75</v>
      </c>
      <c r="I10" s="69">
        <v>20</v>
      </c>
      <c r="J10" s="69">
        <v>1</v>
      </c>
      <c r="K10" s="1010"/>
      <c r="L10" s="69">
        <f>65.69*L3</f>
        <v>489.39049999999997</v>
      </c>
      <c r="M10" s="69">
        <f>2.72*L3</f>
        <v>20.264000000000003</v>
      </c>
      <c r="N10" s="69">
        <f>0.34*L3</f>
        <v>2.5330000000000004</v>
      </c>
      <c r="O10" s="69">
        <f>45.79*L3</f>
        <v>341.13549999999998</v>
      </c>
      <c r="P10" s="69">
        <f>1.9*L3</f>
        <v>14.154999999999999</v>
      </c>
      <c r="Q10" s="69">
        <f>0.24*L3</f>
        <v>1.788</v>
      </c>
      <c r="R10" s="69" t="s">
        <v>1298</v>
      </c>
    </row>
    <row r="11" spans="2:18">
      <c r="B11" s="69" t="s">
        <v>1300</v>
      </c>
      <c r="C11" s="1011" t="s">
        <v>1388</v>
      </c>
      <c r="D11" s="69" t="s">
        <v>348</v>
      </c>
      <c r="E11" s="69" t="s">
        <v>1385</v>
      </c>
      <c r="F11" s="69" t="s">
        <v>343</v>
      </c>
      <c r="G11" s="69">
        <v>1</v>
      </c>
      <c r="H11" s="299">
        <v>0.7</v>
      </c>
      <c r="I11" s="69">
        <v>20</v>
      </c>
      <c r="J11" s="69">
        <v>1</v>
      </c>
      <c r="K11" s="1010"/>
      <c r="L11" s="69">
        <f>70.18*L3</f>
        <v>522.84100000000001</v>
      </c>
      <c r="M11" s="69">
        <f>5.09*L3</f>
        <v>37.920499999999997</v>
      </c>
      <c r="N11" s="69">
        <f>0.19*L3</f>
        <v>1.4155</v>
      </c>
      <c r="O11" s="69">
        <f>49.93*L3</f>
        <v>371.9785</v>
      </c>
      <c r="P11" s="69">
        <f>3.57*L3</f>
        <v>26.596499999999999</v>
      </c>
      <c r="Q11" s="69">
        <f>0.13*L3</f>
        <v>0.96850000000000003</v>
      </c>
      <c r="R11" s="69" t="s">
        <v>1298</v>
      </c>
    </row>
    <row r="12" spans="2:18">
      <c r="K12" s="1010"/>
    </row>
    <row r="13" spans="2:18">
      <c r="K13" s="1010"/>
    </row>
    <row r="14" spans="2:18">
      <c r="K14" s="10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4185A-B074-46D4-ADC8-67BE5F126502}">
  <sheetPr>
    <tabColor theme="5" tint="0.59999389629810485"/>
  </sheetPr>
  <dimension ref="A1:AH182"/>
  <sheetViews>
    <sheetView zoomScale="64" zoomScaleNormal="55" workbookViewId="0">
      <selection activeCell="D7" sqref="D7"/>
    </sheetView>
  </sheetViews>
  <sheetFormatPr defaultRowHeight="14.4"/>
  <cols>
    <col min="1" max="1" width="39.33203125" bestFit="1" customWidth="1"/>
    <col min="2" max="2" width="96.88671875" bestFit="1" customWidth="1"/>
    <col min="3" max="3" width="19.44140625" customWidth="1"/>
    <col min="4" max="4" width="11.6640625" bestFit="1" customWidth="1"/>
    <col min="5" max="5" width="19.6640625" customWidth="1"/>
    <col min="6" max="6" width="25.5546875" customWidth="1"/>
    <col min="7" max="7" width="25.109375" customWidth="1"/>
    <col min="8" max="8" width="26.88671875" customWidth="1"/>
    <col min="9" max="9" width="19.6640625" customWidth="1"/>
    <col min="10" max="10" width="17.109375" customWidth="1"/>
    <col min="11" max="12" width="15" customWidth="1"/>
    <col min="13" max="13" width="80.33203125" customWidth="1"/>
  </cols>
  <sheetData>
    <row r="1" spans="1:34" ht="42.6" thickBot="1">
      <c r="B1" s="425" t="s">
        <v>505</v>
      </c>
      <c r="F1" s="424" t="s">
        <v>504</v>
      </c>
      <c r="G1" s="423">
        <v>35.9</v>
      </c>
      <c r="H1" s="422" t="s">
        <v>503</v>
      </c>
      <c r="I1" s="421">
        <v>0.65</v>
      </c>
      <c r="J1" s="420" t="s">
        <v>502</v>
      </c>
      <c r="K1" s="419">
        <v>39.630000000000003</v>
      </c>
      <c r="L1" s="418" t="s">
        <v>501</v>
      </c>
    </row>
    <row r="2" spans="1:34" ht="15" thickBot="1">
      <c r="H2" s="417"/>
      <c r="J2" s="416"/>
    </row>
    <row r="3" spans="1:34" ht="29.4" thickBot="1">
      <c r="A3" s="233"/>
      <c r="B3" s="415" t="s">
        <v>500</v>
      </c>
      <c r="C3" s="414" t="s">
        <v>499</v>
      </c>
      <c r="D3" s="413" t="s">
        <v>498</v>
      </c>
      <c r="E3" s="412" t="s">
        <v>497</v>
      </c>
      <c r="F3" s="412" t="s">
        <v>496</v>
      </c>
      <c r="G3" s="412" t="s">
        <v>495</v>
      </c>
      <c r="H3" s="411" t="s">
        <v>494</v>
      </c>
      <c r="I3" s="410" t="s">
        <v>493</v>
      </c>
      <c r="J3" s="409" t="s">
        <v>492</v>
      </c>
      <c r="K3" s="408" t="s">
        <v>144</v>
      </c>
      <c r="L3" s="408" t="s">
        <v>491</v>
      </c>
      <c r="M3" s="407" t="s">
        <v>30</v>
      </c>
      <c r="N3" s="233"/>
      <c r="O3" s="233"/>
      <c r="P3" s="233"/>
      <c r="Q3" s="233"/>
      <c r="R3" s="233"/>
      <c r="S3" s="233"/>
      <c r="T3" s="233"/>
      <c r="U3" s="233"/>
      <c r="V3" s="233"/>
      <c r="W3" s="233"/>
      <c r="X3" s="233"/>
      <c r="Y3" s="233"/>
      <c r="Z3" s="233"/>
      <c r="AA3" s="233"/>
      <c r="AB3" s="233"/>
      <c r="AC3" s="233"/>
      <c r="AD3" s="233"/>
      <c r="AE3" s="233"/>
      <c r="AF3" s="233"/>
      <c r="AG3" s="233"/>
      <c r="AH3" s="233"/>
    </row>
    <row r="4" spans="1:34" ht="23.4">
      <c r="B4" s="406" t="s">
        <v>490</v>
      </c>
      <c r="C4" s="405" t="s">
        <v>477</v>
      </c>
      <c r="D4" s="370"/>
      <c r="E4" s="370"/>
      <c r="F4" s="370"/>
      <c r="G4" s="370"/>
      <c r="H4" s="370"/>
      <c r="I4" s="404"/>
      <c r="J4" s="403">
        <v>2277.21</v>
      </c>
      <c r="K4" s="403"/>
      <c r="L4" s="403"/>
      <c r="M4" s="403"/>
      <c r="N4" s="396" t="s">
        <v>489</v>
      </c>
      <c r="O4" s="90"/>
      <c r="P4" s="90"/>
      <c r="Q4" s="90"/>
      <c r="R4" s="90"/>
      <c r="S4" s="90"/>
      <c r="T4" s="90"/>
      <c r="U4" s="90"/>
      <c r="V4" s="90"/>
      <c r="W4" s="90"/>
      <c r="X4" s="90"/>
    </row>
    <row r="5" spans="1:34" ht="23.4">
      <c r="B5" s="402" t="s">
        <v>488</v>
      </c>
      <c r="C5" s="401"/>
      <c r="D5" s="400"/>
      <c r="E5" s="400"/>
      <c r="F5" s="400"/>
      <c r="G5" s="400"/>
      <c r="H5" s="400"/>
      <c r="I5" s="399"/>
      <c r="J5" s="365"/>
      <c r="K5" s="398" t="s">
        <v>487</v>
      </c>
      <c r="L5" s="397"/>
      <c r="M5" s="365"/>
      <c r="N5" s="396"/>
      <c r="O5" s="90"/>
      <c r="P5" s="90"/>
      <c r="Q5" s="90"/>
      <c r="R5" s="90"/>
      <c r="S5" s="90"/>
      <c r="T5" s="90"/>
      <c r="U5" s="90"/>
      <c r="V5" s="90"/>
      <c r="W5" s="90"/>
      <c r="X5" s="90"/>
    </row>
    <row r="6" spans="1:34" ht="21.6" thickBot="1">
      <c r="B6" s="395" t="s">
        <v>486</v>
      </c>
      <c r="C6" s="394"/>
      <c r="D6" s="393"/>
      <c r="E6" s="393"/>
      <c r="F6" s="393" t="s">
        <v>477</v>
      </c>
      <c r="G6" s="393"/>
      <c r="H6" s="393"/>
      <c r="I6" s="392"/>
      <c r="J6" s="391"/>
      <c r="K6" s="391"/>
      <c r="L6" s="391"/>
      <c r="M6" s="390" t="s">
        <v>485</v>
      </c>
    </row>
    <row r="7" spans="1:34" ht="21.6" thickTop="1">
      <c r="A7" s="1293" t="s">
        <v>484</v>
      </c>
      <c r="B7" s="389" t="s">
        <v>483</v>
      </c>
      <c r="C7" s="388"/>
      <c r="D7" s="387"/>
      <c r="E7" s="387"/>
      <c r="F7" s="387"/>
      <c r="G7" s="387"/>
      <c r="H7" s="387"/>
      <c r="I7" s="386" t="s">
        <v>477</v>
      </c>
      <c r="J7" s="385"/>
      <c r="K7" s="384">
        <f>281*3.6/1000</f>
        <v>1.0116000000000001</v>
      </c>
      <c r="L7" s="383" t="s">
        <v>470</v>
      </c>
      <c r="M7" s="383" t="s">
        <v>482</v>
      </c>
      <c r="N7" s="90" t="s">
        <v>481</v>
      </c>
      <c r="O7" s="90"/>
      <c r="P7" s="90"/>
      <c r="Q7" s="90"/>
      <c r="R7" s="90"/>
      <c r="S7" s="90"/>
      <c r="T7" s="90"/>
      <c r="U7" s="90"/>
      <c r="V7" s="90"/>
      <c r="W7" s="90"/>
      <c r="X7" s="90"/>
    </row>
    <row r="8" spans="1:34" ht="21">
      <c r="A8" s="1293"/>
      <c r="B8" s="382" t="s">
        <v>480</v>
      </c>
      <c r="C8" s="381"/>
      <c r="D8" s="380"/>
      <c r="E8" s="380"/>
      <c r="F8" s="380"/>
      <c r="G8" s="380" t="s">
        <v>477</v>
      </c>
      <c r="H8" s="380"/>
      <c r="I8" s="378"/>
      <c r="J8" s="377"/>
      <c r="K8" s="377">
        <f>8000000*0.65*G1/1000</f>
        <v>186680</v>
      </c>
      <c r="L8" s="377" t="s">
        <v>464</v>
      </c>
      <c r="M8" s="377" t="s">
        <v>479</v>
      </c>
    </row>
    <row r="9" spans="1:34">
      <c r="A9" s="1293"/>
      <c r="B9" s="1294" t="s">
        <v>478</v>
      </c>
      <c r="C9" s="1297"/>
      <c r="D9" s="1298"/>
      <c r="E9" s="1303" t="s">
        <v>477</v>
      </c>
      <c r="F9" s="1306"/>
      <c r="G9" s="1307"/>
      <c r="H9" s="1308"/>
      <c r="I9" s="378"/>
      <c r="J9" s="377"/>
      <c r="K9" s="377">
        <f>3000*I1*G1/1000*8300</f>
        <v>581041.5</v>
      </c>
      <c r="L9" s="377" t="s">
        <v>464</v>
      </c>
      <c r="M9" s="379" t="s">
        <v>476</v>
      </c>
    </row>
    <row r="10" spans="1:34">
      <c r="A10" s="1293"/>
      <c r="B10" s="1295"/>
      <c r="C10" s="1299"/>
      <c r="D10" s="1300"/>
      <c r="E10" s="1304"/>
      <c r="F10" s="1309"/>
      <c r="G10" s="1310"/>
      <c r="H10" s="1311"/>
      <c r="I10" s="378"/>
      <c r="J10" s="377"/>
      <c r="K10" s="377"/>
      <c r="L10" s="377"/>
      <c r="M10" s="377" t="s">
        <v>475</v>
      </c>
    </row>
    <row r="11" spans="1:34">
      <c r="A11" s="1293"/>
      <c r="B11" s="1295"/>
      <c r="C11" s="1299"/>
      <c r="D11" s="1300"/>
      <c r="E11" s="1304"/>
      <c r="F11" s="1309"/>
      <c r="G11" s="1310"/>
      <c r="H11" s="1311"/>
      <c r="I11" s="376"/>
      <c r="J11" s="375"/>
      <c r="K11" s="375"/>
      <c r="L11" s="375"/>
      <c r="M11" s="375" t="s">
        <v>474</v>
      </c>
    </row>
    <row r="12" spans="1:34" ht="15" thickBot="1">
      <c r="A12" s="1293"/>
      <c r="B12" s="1296"/>
      <c r="C12" s="1301"/>
      <c r="D12" s="1302"/>
      <c r="E12" s="1305"/>
      <c r="F12" s="1312"/>
      <c r="G12" s="1313"/>
      <c r="H12" s="1314"/>
      <c r="I12" s="374"/>
      <c r="J12" s="373"/>
      <c r="K12" s="373">
        <f>5000*0.65*$G$1/1000*8300</f>
        <v>968402.5</v>
      </c>
      <c r="L12" s="373" t="s">
        <v>464</v>
      </c>
      <c r="M12" s="373" t="s">
        <v>473</v>
      </c>
    </row>
    <row r="13" spans="1:34" ht="22.2" thickTop="1" thickBot="1">
      <c r="A13" s="1293"/>
      <c r="B13" s="372" t="s">
        <v>472</v>
      </c>
      <c r="C13" s="371"/>
      <c r="D13" s="370"/>
      <c r="E13" s="370"/>
      <c r="F13" s="370"/>
      <c r="G13" s="370"/>
      <c r="H13" s="370"/>
      <c r="I13" s="369"/>
      <c r="J13" s="368">
        <f>K13*I26</f>
        <v>188.36442558250451</v>
      </c>
      <c r="K13" s="367">
        <v>8</v>
      </c>
      <c r="L13" s="366" t="s">
        <v>470</v>
      </c>
      <c r="M13" s="365"/>
    </row>
    <row r="14" spans="1:34" ht="21.6" thickBot="1">
      <c r="A14" s="1293"/>
      <c r="B14" s="364" t="s">
        <v>471</v>
      </c>
      <c r="C14" s="363"/>
      <c r="D14" s="362"/>
      <c r="E14" s="362"/>
      <c r="F14" s="362"/>
      <c r="G14" s="362"/>
      <c r="H14" s="362"/>
      <c r="I14" s="362"/>
      <c r="J14" s="361">
        <f>I23*K14</f>
        <v>170.05121753976101</v>
      </c>
      <c r="K14" s="360">
        <v>6.5</v>
      </c>
      <c r="L14" s="359" t="s">
        <v>470</v>
      </c>
      <c r="M14" s="359"/>
    </row>
    <row r="15" spans="1:34">
      <c r="B15" s="233"/>
      <c r="C15" s="233"/>
      <c r="D15" s="233"/>
      <c r="E15" s="233"/>
      <c r="F15" s="233"/>
      <c r="G15" s="233"/>
      <c r="H15" s="233"/>
      <c r="I15" s="233"/>
      <c r="J15" s="233"/>
      <c r="K15" s="233"/>
      <c r="L15" s="233"/>
      <c r="M15" s="233"/>
    </row>
    <row r="16" spans="1:34" ht="21.6" thickBot="1">
      <c r="B16" s="358" t="s">
        <v>469</v>
      </c>
      <c r="C16" s="233"/>
      <c r="D16" s="233"/>
      <c r="E16" s="233"/>
      <c r="F16" s="233"/>
      <c r="G16" s="233"/>
      <c r="H16" s="233"/>
      <c r="I16" s="233"/>
      <c r="K16" s="233"/>
      <c r="L16" s="357" t="s">
        <v>468</v>
      </c>
      <c r="M16" s="233"/>
    </row>
    <row r="17" spans="2:14">
      <c r="B17" s="233"/>
      <c r="C17" s="233"/>
      <c r="D17" s="233"/>
      <c r="E17" s="233"/>
      <c r="F17" s="233"/>
      <c r="G17" s="233"/>
      <c r="H17" s="356" t="s">
        <v>467</v>
      </c>
      <c r="I17" s="355">
        <f>3100</f>
        <v>3100</v>
      </c>
      <c r="K17" s="233"/>
      <c r="L17" s="233"/>
      <c r="M17" s="233"/>
    </row>
    <row r="18" spans="2:14">
      <c r="B18" s="233"/>
      <c r="C18" s="233"/>
      <c r="D18" s="233"/>
      <c r="E18" s="233"/>
      <c r="H18" s="346" t="s">
        <v>466</v>
      </c>
      <c r="I18" s="354">
        <f>I17*$I$1*$G$1/1000</f>
        <v>72.338499999999996</v>
      </c>
      <c r="K18" s="233"/>
      <c r="L18" s="233"/>
      <c r="M18" s="233"/>
    </row>
    <row r="19" spans="2:14">
      <c r="B19" s="233"/>
      <c r="C19" s="233"/>
      <c r="D19" s="233"/>
      <c r="E19" s="233"/>
      <c r="H19" s="346" t="s">
        <v>465</v>
      </c>
      <c r="I19" s="353">
        <v>8000</v>
      </c>
      <c r="J19">
        <f>15140/48740</f>
        <v>0.31062782109150594</v>
      </c>
      <c r="K19" s="233"/>
      <c r="L19" s="233"/>
      <c r="M19" s="233"/>
    </row>
    <row r="20" spans="2:14" ht="15" thickBot="1">
      <c r="B20" s="233"/>
      <c r="C20" s="233"/>
      <c r="D20" s="233"/>
      <c r="E20" s="233"/>
      <c r="H20" s="349" t="s">
        <v>464</v>
      </c>
      <c r="I20" s="352">
        <f>I19*I18</f>
        <v>578708</v>
      </c>
      <c r="K20" s="233"/>
      <c r="L20" s="233"/>
      <c r="M20" s="233"/>
      <c r="N20" s="332"/>
    </row>
    <row r="21" spans="2:14" ht="58.2" thickBot="1">
      <c r="B21" s="233"/>
      <c r="C21" s="233"/>
      <c r="D21" s="233"/>
      <c r="E21" s="233"/>
      <c r="H21" s="346" t="s">
        <v>463</v>
      </c>
      <c r="I21" s="350">
        <f>I20/3.6*0.46</f>
        <v>73946.022222222222</v>
      </c>
      <c r="J21" s="351" t="s">
        <v>462</v>
      </c>
      <c r="K21" s="233"/>
      <c r="L21" s="233"/>
      <c r="M21" s="233"/>
    </row>
    <row r="22" spans="2:14">
      <c r="B22" s="233"/>
      <c r="C22" s="233"/>
      <c r="D22" s="233"/>
      <c r="E22" s="233"/>
      <c r="H22" s="346" t="s">
        <v>461</v>
      </c>
      <c r="I22" s="233">
        <v>15140</v>
      </c>
      <c r="J22" s="344">
        <v>15140</v>
      </c>
      <c r="K22" s="233"/>
      <c r="L22" s="233"/>
      <c r="M22" s="233"/>
    </row>
    <row r="23" spans="2:14">
      <c r="B23" s="233"/>
      <c r="C23" s="233"/>
      <c r="D23" s="233"/>
      <c r="E23" s="233"/>
      <c r="H23" s="346" t="s">
        <v>460</v>
      </c>
      <c r="I23" s="350">
        <f>I22/I20*1000</f>
        <v>26.161725775347847</v>
      </c>
      <c r="J23" s="344"/>
      <c r="K23" s="233"/>
      <c r="L23" s="233"/>
      <c r="M23" s="233"/>
    </row>
    <row r="24" spans="2:14">
      <c r="B24" s="233"/>
      <c r="C24" s="233"/>
      <c r="D24" s="233"/>
      <c r="E24" s="233"/>
      <c r="H24" s="349" t="s">
        <v>459</v>
      </c>
      <c r="I24" s="348">
        <f>I23</f>
        <v>26.161725775347847</v>
      </c>
      <c r="J24" s="347">
        <f>J22/I20*1000</f>
        <v>26.161725775347847</v>
      </c>
      <c r="K24" s="233"/>
      <c r="L24" s="233"/>
      <c r="M24" s="233"/>
    </row>
    <row r="25" spans="2:14">
      <c r="B25" s="233"/>
      <c r="C25" s="233"/>
      <c r="D25" s="233"/>
      <c r="E25" s="233"/>
      <c r="H25" s="346" t="s">
        <v>458</v>
      </c>
      <c r="I25" s="345">
        <v>0.9</v>
      </c>
      <c r="J25" s="344"/>
      <c r="K25" s="233"/>
      <c r="L25" s="233"/>
      <c r="M25" s="233"/>
    </row>
    <row r="26" spans="2:14" ht="15" thickBot="1">
      <c r="B26" s="233"/>
      <c r="C26" s="233"/>
      <c r="D26" s="233"/>
      <c r="E26" s="233"/>
      <c r="H26" s="343" t="s">
        <v>457</v>
      </c>
      <c r="I26" s="342">
        <f>I25*I24</f>
        <v>23.545553197813064</v>
      </c>
      <c r="J26" s="341"/>
      <c r="K26" s="233"/>
      <c r="L26" s="233"/>
      <c r="M26" s="233"/>
    </row>
    <row r="27" spans="2:14">
      <c r="B27" s="233"/>
      <c r="C27" s="233"/>
      <c r="D27" s="233"/>
      <c r="E27" s="233"/>
      <c r="H27" s="233"/>
      <c r="I27" s="233"/>
      <c r="J27" s="233"/>
      <c r="K27" s="233"/>
      <c r="L27" s="233"/>
      <c r="M27" s="233"/>
    </row>
    <row r="28" spans="2:14" ht="25.8">
      <c r="B28" s="233"/>
      <c r="C28" s="233"/>
      <c r="D28" s="233"/>
      <c r="E28" s="233"/>
      <c r="H28" s="340"/>
      <c r="I28" s="339" t="s">
        <v>456</v>
      </c>
      <c r="J28" s="339"/>
      <c r="K28" s="233"/>
      <c r="L28" s="233"/>
      <c r="M28" s="233"/>
    </row>
    <row r="29" spans="2:14">
      <c r="B29" s="233"/>
      <c r="C29" s="233"/>
      <c r="D29" s="233"/>
      <c r="E29" s="233"/>
      <c r="K29" s="233"/>
      <c r="L29" s="233"/>
      <c r="M29" s="233"/>
    </row>
    <row r="30" spans="2:14">
      <c r="B30" s="233"/>
      <c r="C30" s="233"/>
      <c r="D30" s="233"/>
      <c r="E30" s="233"/>
      <c r="F30" s="233"/>
      <c r="G30" s="233"/>
      <c r="H30" s="233"/>
      <c r="I30" s="233"/>
      <c r="J30" s="233"/>
      <c r="K30" s="233"/>
      <c r="L30" s="233"/>
      <c r="M30" s="233"/>
    </row>
    <row r="31" spans="2:14" ht="25.8">
      <c r="B31" s="233"/>
      <c r="C31" s="233"/>
      <c r="D31" s="233"/>
      <c r="E31" s="233"/>
      <c r="F31" s="233"/>
      <c r="G31" s="233"/>
      <c r="H31" s="233"/>
      <c r="I31" s="233"/>
      <c r="J31" s="233"/>
      <c r="K31" s="233"/>
      <c r="L31" s="233"/>
      <c r="M31" s="233"/>
      <c r="N31" s="336"/>
    </row>
    <row r="32" spans="2:14">
      <c r="B32" s="233"/>
      <c r="C32" s="233"/>
      <c r="D32" s="233"/>
      <c r="E32" s="233"/>
      <c r="F32" s="233"/>
      <c r="G32" s="233"/>
      <c r="H32" s="233"/>
      <c r="I32" s="233"/>
      <c r="J32" s="233"/>
      <c r="K32" s="233"/>
      <c r="L32" s="233"/>
      <c r="M32" s="233"/>
    </row>
    <row r="33" spans="2:13">
      <c r="B33" s="233"/>
      <c r="C33" s="233"/>
      <c r="D33" s="233"/>
      <c r="E33" s="233"/>
      <c r="F33" s="233"/>
      <c r="G33" s="233"/>
      <c r="H33" s="233"/>
      <c r="I33" s="233"/>
      <c r="J33" s="233"/>
      <c r="K33" s="233"/>
      <c r="L33" s="233"/>
      <c r="M33" s="233"/>
    </row>
    <row r="34" spans="2:13">
      <c r="B34" s="233"/>
      <c r="C34" s="233"/>
      <c r="D34" s="233"/>
      <c r="E34" s="233"/>
      <c r="F34" s="233"/>
      <c r="G34" s="233"/>
      <c r="H34" s="233"/>
      <c r="I34" s="233"/>
      <c r="J34" s="233"/>
      <c r="K34" s="233"/>
      <c r="L34" s="233"/>
      <c r="M34" s="233"/>
    </row>
    <row r="35" spans="2:13">
      <c r="B35" s="233"/>
    </row>
    <row r="37" spans="2:13" ht="28.8">
      <c r="H37" s="338"/>
    </row>
    <row r="38" spans="2:13" ht="21">
      <c r="B38" s="337" t="s">
        <v>455</v>
      </c>
    </row>
    <row r="39" spans="2:13" ht="25.8">
      <c r="C39" s="336"/>
      <c r="D39" s="336"/>
    </row>
    <row r="42" spans="2:13" ht="25.8">
      <c r="B42" s="336"/>
    </row>
    <row r="67" spans="2:13" ht="23.4">
      <c r="F67" s="335" t="s">
        <v>454</v>
      </c>
    </row>
    <row r="69" spans="2:13" ht="18">
      <c r="B69" s="334" t="s">
        <v>453</v>
      </c>
    </row>
    <row r="73" spans="2:13">
      <c r="M73" s="333" t="s">
        <v>452</v>
      </c>
    </row>
    <row r="74" spans="2:13">
      <c r="M74" s="333" t="s">
        <v>451</v>
      </c>
    </row>
    <row r="75" spans="2:13">
      <c r="M75" s="333" t="s">
        <v>450</v>
      </c>
    </row>
    <row r="92" spans="17:17">
      <c r="Q92" s="332"/>
    </row>
    <row r="104" spans="2:2" ht="21">
      <c r="B104" s="90" t="s">
        <v>449</v>
      </c>
    </row>
    <row r="182" spans="2:2" ht="18">
      <c r="B182" s="331" t="s">
        <v>448</v>
      </c>
    </row>
  </sheetData>
  <mergeCells count="5">
    <mergeCell ref="A7:A14"/>
    <mergeCell ref="B9:B12"/>
    <mergeCell ref="C9:D12"/>
    <mergeCell ref="E9:E12"/>
    <mergeCell ref="F9:H12"/>
  </mergeCells>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D2652-DC9C-44E3-9832-E1B7EB94D078}">
  <sheetPr>
    <tabColor theme="5" tint="0.59999389629810485"/>
  </sheetPr>
  <dimension ref="A1:R54"/>
  <sheetViews>
    <sheetView zoomScale="55" zoomScaleNormal="55" workbookViewId="0">
      <selection activeCell="A40" sqref="A40:XFD40"/>
    </sheetView>
  </sheetViews>
  <sheetFormatPr defaultRowHeight="14.4"/>
  <cols>
    <col min="2" max="2" width="41" bestFit="1" customWidth="1"/>
    <col min="3" max="3" width="9.88671875" customWidth="1"/>
    <col min="4" max="4" width="13.33203125" bestFit="1" customWidth="1"/>
  </cols>
  <sheetData>
    <row r="1" spans="2:16" ht="15" thickBot="1"/>
    <row r="2" spans="2:16" ht="21.6" thickBot="1">
      <c r="B2" s="432" t="s">
        <v>546</v>
      </c>
      <c r="C2" s="1315" t="s">
        <v>424</v>
      </c>
      <c r="D2" s="1316"/>
      <c r="E2" s="138" t="s">
        <v>545</v>
      </c>
      <c r="F2" t="s">
        <v>544</v>
      </c>
    </row>
    <row r="3" spans="2:16">
      <c r="B3" s="132" t="s">
        <v>543</v>
      </c>
      <c r="C3" s="223">
        <v>5.84</v>
      </c>
      <c r="D3" s="426" t="s">
        <v>542</v>
      </c>
    </row>
    <row r="4" spans="2:16">
      <c r="B4" s="132" t="s">
        <v>541</v>
      </c>
      <c r="C4" s="223">
        <v>43</v>
      </c>
      <c r="D4" s="426" t="s">
        <v>515</v>
      </c>
    </row>
    <row r="5" spans="2:16">
      <c r="B5" s="132" t="s">
        <v>540</v>
      </c>
      <c r="C5" s="223">
        <v>39.630000000000003</v>
      </c>
      <c r="D5" s="426" t="s">
        <v>501</v>
      </c>
    </row>
    <row r="6" spans="2:16">
      <c r="B6" s="132" t="s">
        <v>539</v>
      </c>
      <c r="C6" s="223">
        <v>24.29</v>
      </c>
      <c r="D6" s="426" t="s">
        <v>515</v>
      </c>
      <c r="P6" s="90" t="s">
        <v>538</v>
      </c>
    </row>
    <row r="7" spans="2:16">
      <c r="B7" s="132" t="s">
        <v>537</v>
      </c>
      <c r="C7" s="223">
        <v>40.65</v>
      </c>
      <c r="D7" s="426" t="s">
        <v>515</v>
      </c>
    </row>
    <row r="8" spans="2:16">
      <c r="B8" s="431" t="s">
        <v>510</v>
      </c>
      <c r="C8" s="430" t="s">
        <v>536</v>
      </c>
      <c r="D8" s="429" t="s">
        <v>515</v>
      </c>
    </row>
    <row r="9" spans="2:16">
      <c r="B9" s="431" t="s">
        <v>509</v>
      </c>
      <c r="C9" s="430">
        <v>44.9</v>
      </c>
      <c r="D9" s="429" t="s">
        <v>515</v>
      </c>
    </row>
    <row r="10" spans="2:16">
      <c r="B10" s="431" t="s">
        <v>535</v>
      </c>
      <c r="C10" s="430">
        <v>37.5</v>
      </c>
      <c r="D10" s="429" t="s">
        <v>515</v>
      </c>
    </row>
    <row r="11" spans="2:16">
      <c r="B11" s="132" t="s">
        <v>534</v>
      </c>
      <c r="C11" s="223" t="s">
        <v>533</v>
      </c>
      <c r="D11" s="426" t="s">
        <v>515</v>
      </c>
    </row>
    <row r="12" spans="2:16" ht="15.6">
      <c r="B12" s="132" t="s">
        <v>532</v>
      </c>
      <c r="C12" s="223">
        <v>26.7</v>
      </c>
      <c r="D12" s="426" t="s">
        <v>515</v>
      </c>
    </row>
    <row r="13" spans="2:16">
      <c r="B13" s="132" t="s">
        <v>531</v>
      </c>
      <c r="C13" s="223">
        <v>43.5</v>
      </c>
      <c r="D13" s="426" t="s">
        <v>515</v>
      </c>
    </row>
    <row r="14" spans="2:16">
      <c r="B14" s="132" t="s">
        <v>530</v>
      </c>
      <c r="C14" s="223">
        <v>14.5</v>
      </c>
      <c r="D14" s="426" t="s">
        <v>515</v>
      </c>
    </row>
    <row r="15" spans="2:16">
      <c r="B15" s="132" t="s">
        <v>529</v>
      </c>
      <c r="C15" s="223">
        <v>9.3000000000000007</v>
      </c>
      <c r="D15" s="426" t="s">
        <v>515</v>
      </c>
    </row>
    <row r="16" spans="2:16">
      <c r="B16" s="132" t="s">
        <v>528</v>
      </c>
      <c r="C16" s="223">
        <v>17.5</v>
      </c>
      <c r="D16" s="426" t="s">
        <v>515</v>
      </c>
    </row>
    <row r="17" spans="1:18">
      <c r="B17" s="132" t="s">
        <v>527</v>
      </c>
      <c r="C17" s="223">
        <v>8</v>
      </c>
      <c r="D17" s="426" t="s">
        <v>515</v>
      </c>
    </row>
    <row r="18" spans="1:18" ht="15" thickBot="1">
      <c r="B18" s="92" t="s">
        <v>526</v>
      </c>
      <c r="C18" s="428">
        <v>10.6</v>
      </c>
      <c r="D18" s="427" t="s">
        <v>515</v>
      </c>
    </row>
    <row r="19" spans="1:18" ht="21">
      <c r="B19" s="132" t="s">
        <v>525</v>
      </c>
      <c r="C19" s="223" t="s">
        <v>524</v>
      </c>
      <c r="D19" s="426" t="s">
        <v>515</v>
      </c>
      <c r="E19" s="138" t="s">
        <v>523</v>
      </c>
    </row>
    <row r="20" spans="1:18" ht="15.6">
      <c r="B20" s="132" t="s">
        <v>522</v>
      </c>
      <c r="C20" s="223" t="s">
        <v>521</v>
      </c>
      <c r="D20" s="426" t="s">
        <v>515</v>
      </c>
      <c r="R20" s="90" t="s">
        <v>520</v>
      </c>
    </row>
    <row r="21" spans="1:18">
      <c r="B21" s="132" t="s">
        <v>519</v>
      </c>
      <c r="C21" s="223">
        <v>120</v>
      </c>
      <c r="D21" s="426" t="s">
        <v>515</v>
      </c>
    </row>
    <row r="22" spans="1:18">
      <c r="B22" s="132" t="s">
        <v>518</v>
      </c>
      <c r="C22" s="223">
        <v>18.600000000000001</v>
      </c>
      <c r="D22" s="426" t="s">
        <v>515</v>
      </c>
    </row>
    <row r="23" spans="1:18">
      <c r="B23" s="132" t="s">
        <v>517</v>
      </c>
      <c r="C23" s="223">
        <v>43.2</v>
      </c>
      <c r="D23" s="426" t="s">
        <v>515</v>
      </c>
    </row>
    <row r="24" spans="1:18">
      <c r="B24" s="132" t="s">
        <v>516</v>
      </c>
      <c r="C24" s="223">
        <v>49.85</v>
      </c>
      <c r="D24" s="426" t="s">
        <v>515</v>
      </c>
    </row>
    <row r="26" spans="1:18" ht="28.8">
      <c r="A26" s="90" t="s">
        <v>514</v>
      </c>
    </row>
    <row r="48" spans="12:13">
      <c r="L48" t="s">
        <v>513</v>
      </c>
      <c r="M48" t="s">
        <v>512</v>
      </c>
    </row>
    <row r="49" spans="10:15">
      <c r="K49" t="s">
        <v>511</v>
      </c>
      <c r="L49">
        <v>146</v>
      </c>
      <c r="M49">
        <f>L49/SUM($L$49:$L$51)</f>
        <v>0.25391304347826088</v>
      </c>
    </row>
    <row r="50" spans="10:15">
      <c r="K50" t="s">
        <v>510</v>
      </c>
      <c r="L50">
        <v>348</v>
      </c>
      <c r="M50">
        <f>L50/SUM($L$49:$L$51)</f>
        <v>0.60521739130434782</v>
      </c>
      <c r="O50">
        <f>M49*C13+M50*43.2+C9*M51</f>
        <v>43.51565217391304</v>
      </c>
    </row>
    <row r="51" spans="10:15">
      <c r="K51" t="s">
        <v>509</v>
      </c>
      <c r="L51">
        <v>81</v>
      </c>
      <c r="M51">
        <f>L51/SUM($L$49:$L$51)</f>
        <v>0.1408695652173913</v>
      </c>
    </row>
    <row r="52" spans="10:15">
      <c r="K52" t="s">
        <v>508</v>
      </c>
      <c r="L52">
        <v>800</v>
      </c>
    </row>
    <row r="53" spans="10:15">
      <c r="J53" t="s">
        <v>507</v>
      </c>
      <c r="L53">
        <f>SUM(L49:L51)/L52</f>
        <v>0.71875</v>
      </c>
    </row>
    <row r="54" spans="10:15">
      <c r="J54" t="s">
        <v>506</v>
      </c>
      <c r="L54">
        <f>(SUM(L49:L51)+193)/800</f>
        <v>0.96</v>
      </c>
    </row>
  </sheetData>
  <mergeCells count="1">
    <mergeCell ref="C2:D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3187D-5BA3-4F74-8A16-B079B08AA43E}">
  <sheetPr>
    <tabColor theme="4" tint="-0.249977111117893"/>
  </sheetPr>
  <dimension ref="A1:W30"/>
  <sheetViews>
    <sheetView zoomScaleNormal="100" workbookViewId="0">
      <selection activeCell="B1" sqref="B1"/>
    </sheetView>
  </sheetViews>
  <sheetFormatPr defaultColWidth="9.109375" defaultRowHeight="13.2"/>
  <cols>
    <col min="1" max="16384" width="9.109375" style="69"/>
  </cols>
  <sheetData>
    <row r="1" spans="1:2" ht="13.8">
      <c r="A1" s="434" t="s">
        <v>56</v>
      </c>
      <c r="B1" s="433" t="s">
        <v>547</v>
      </c>
    </row>
    <row r="26" spans="18:23">
      <c r="U26" s="69" t="s">
        <v>1449</v>
      </c>
      <c r="V26" s="69" t="s">
        <v>1450</v>
      </c>
    </row>
    <row r="27" spans="18:23">
      <c r="R27" s="69" t="s">
        <v>1448</v>
      </c>
      <c r="U27" s="1085">
        <v>170</v>
      </c>
      <c r="V27" s="69">
        <v>300</v>
      </c>
      <c r="W27" s="69" t="s">
        <v>331</v>
      </c>
    </row>
    <row r="28" spans="18:23">
      <c r="U28" s="1085">
        <v>300</v>
      </c>
      <c r="V28" s="69">
        <v>300</v>
      </c>
      <c r="W28" s="69" t="s">
        <v>123</v>
      </c>
    </row>
    <row r="29" spans="18:23">
      <c r="U29" s="69">
        <f>U27/U28</f>
        <v>0.56666666666666665</v>
      </c>
      <c r="V29" s="1085">
        <f>V27/V28</f>
        <v>1</v>
      </c>
      <c r="W29" s="69" t="s">
        <v>1443</v>
      </c>
    </row>
    <row r="30" spans="18:23">
      <c r="U30" s="69">
        <f>U29/0.0315</f>
        <v>17.989417989417987</v>
      </c>
      <c r="V30" s="1085">
        <f>V29/0.0315</f>
        <v>31.746031746031747</v>
      </c>
      <c r="W30" s="69" t="s">
        <v>1451</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3980A-B824-4FC2-A12B-0E7803293815}">
  <sheetPr>
    <tabColor theme="4" tint="-0.249977111117893"/>
  </sheetPr>
  <dimension ref="A1:B1"/>
  <sheetViews>
    <sheetView workbookViewId="0">
      <selection activeCell="T21" sqref="T21"/>
    </sheetView>
  </sheetViews>
  <sheetFormatPr defaultColWidth="9.109375" defaultRowHeight="13.2"/>
  <cols>
    <col min="1" max="16384" width="9.109375" style="69"/>
  </cols>
  <sheetData>
    <row r="1" spans="1:2">
      <c r="A1" s="69" t="s">
        <v>549</v>
      </c>
      <c r="B1" s="69" t="s">
        <v>548</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4D46F-B1AF-4C0B-872A-70BA0DF876AB}">
  <sheetPr>
    <tabColor theme="4" tint="-0.249977111117893"/>
  </sheetPr>
  <dimension ref="B1:S107"/>
  <sheetViews>
    <sheetView workbookViewId="0">
      <selection activeCell="A40" sqref="A40:XFD40"/>
    </sheetView>
  </sheetViews>
  <sheetFormatPr defaultColWidth="9.109375" defaultRowHeight="13.2"/>
  <cols>
    <col min="1" max="1" width="9.109375" style="69"/>
    <col min="2" max="2" width="36.88671875" style="69" customWidth="1"/>
    <col min="3" max="3" width="20.6640625" style="69" customWidth="1"/>
    <col min="4" max="7" width="10.109375" style="69" bestFit="1" customWidth="1"/>
    <col min="8" max="9" width="9.109375" style="69"/>
    <col min="10" max="10" width="135.44140625" style="69" bestFit="1" customWidth="1"/>
    <col min="11" max="16384" width="9.109375" style="69"/>
  </cols>
  <sheetData>
    <row r="1" spans="2:19">
      <c r="B1" s="69" t="s">
        <v>56</v>
      </c>
      <c r="C1" s="69" t="s">
        <v>641</v>
      </c>
    </row>
    <row r="2" spans="2:19" ht="21">
      <c r="B2" s="549" t="s">
        <v>640</v>
      </c>
      <c r="C2" s="549"/>
      <c r="D2" s="549"/>
      <c r="E2" s="549"/>
      <c r="F2" s="549"/>
      <c r="G2" s="549"/>
      <c r="H2" s="549"/>
      <c r="I2" s="549"/>
      <c r="J2" s="549"/>
      <c r="K2" s="549"/>
      <c r="L2" s="549"/>
      <c r="M2" s="549"/>
      <c r="N2" s="549"/>
      <c r="O2" s="549"/>
      <c r="P2" s="549"/>
      <c r="Q2" s="549" t="e">
        <v>#REF!</v>
      </c>
      <c r="R2" s="548" t="e">
        <v>#REF!</v>
      </c>
      <c r="S2" s="547"/>
    </row>
    <row r="3" spans="2:19">
      <c r="R3" s="546" t="e">
        <v>#REF!</v>
      </c>
      <c r="S3" s="546">
        <v>0</v>
      </c>
    </row>
    <row r="5" spans="2:19" ht="13.8" thickBot="1">
      <c r="B5" s="541" t="s">
        <v>639</v>
      </c>
    </row>
    <row r="6" spans="2:19" ht="13.8">
      <c r="B6" s="545" t="s">
        <v>638</v>
      </c>
      <c r="C6" s="443"/>
      <c r="D6" s="443"/>
      <c r="E6" s="443"/>
      <c r="F6" s="443"/>
      <c r="G6" s="443"/>
      <c r="H6" s="443"/>
      <c r="I6" s="443"/>
      <c r="J6" s="443"/>
      <c r="K6" s="443"/>
      <c r="L6" s="443"/>
      <c r="M6" s="443"/>
      <c r="N6" s="442"/>
    </row>
    <row r="7" spans="2:19" ht="13.8">
      <c r="B7" s="544" t="s">
        <v>637</v>
      </c>
      <c r="C7" s="439"/>
      <c r="D7" s="439"/>
      <c r="E7" s="439"/>
      <c r="F7" s="439"/>
      <c r="G7" s="439"/>
      <c r="H7" s="439"/>
      <c r="I7" s="439"/>
      <c r="J7" s="439"/>
      <c r="K7" s="439"/>
      <c r="L7" s="439"/>
      <c r="M7" s="439"/>
      <c r="N7" s="438"/>
    </row>
    <row r="8" spans="2:19" ht="13.8">
      <c r="B8" s="544" t="s">
        <v>636</v>
      </c>
      <c r="C8" s="439"/>
      <c r="D8" s="439"/>
      <c r="E8" s="439"/>
      <c r="F8" s="439"/>
      <c r="G8" s="439"/>
      <c r="H8" s="439"/>
      <c r="I8" s="439"/>
      <c r="J8" s="439"/>
      <c r="K8" s="439"/>
      <c r="L8" s="439"/>
      <c r="M8" s="439"/>
      <c r="N8" s="438"/>
    </row>
    <row r="9" spans="2:19" ht="13.8">
      <c r="B9" s="544" t="s">
        <v>635</v>
      </c>
      <c r="C9" s="439"/>
      <c r="D9" s="439"/>
      <c r="E9" s="439"/>
      <c r="F9" s="439"/>
      <c r="G9" s="439"/>
      <c r="H9" s="439"/>
      <c r="I9" s="439"/>
      <c r="J9" s="439"/>
      <c r="K9" s="439"/>
      <c r="L9" s="439"/>
      <c r="M9" s="439"/>
      <c r="N9" s="438"/>
    </row>
    <row r="10" spans="2:19" ht="13.8">
      <c r="B10" s="504"/>
      <c r="C10" s="439"/>
      <c r="D10" s="439"/>
      <c r="E10" s="439"/>
      <c r="F10" s="439"/>
      <c r="G10" s="439"/>
      <c r="H10" s="439"/>
      <c r="I10" s="439"/>
      <c r="J10" s="439"/>
      <c r="K10" s="439"/>
      <c r="L10" s="439"/>
      <c r="M10" s="439"/>
      <c r="N10" s="438"/>
    </row>
    <row r="11" spans="2:19" ht="13.8">
      <c r="B11" s="504"/>
      <c r="C11" s="439"/>
      <c r="D11" s="439"/>
      <c r="E11" s="439"/>
      <c r="F11" s="439"/>
      <c r="G11" s="439"/>
      <c r="H11" s="439"/>
      <c r="I11" s="439"/>
      <c r="J11" s="439"/>
      <c r="K11" s="439"/>
      <c r="L11" s="439"/>
      <c r="M11" s="439"/>
      <c r="N11" s="438"/>
    </row>
    <row r="12" spans="2:19" ht="13.8">
      <c r="B12" s="543" t="s">
        <v>634</v>
      </c>
      <c r="C12" s="439"/>
      <c r="D12" s="439"/>
      <c r="E12" s="439"/>
      <c r="F12" s="439"/>
      <c r="G12" s="439"/>
      <c r="H12" s="439"/>
      <c r="I12" s="439"/>
      <c r="J12" s="439"/>
      <c r="K12" s="439"/>
      <c r="L12" s="439"/>
      <c r="M12" s="439"/>
      <c r="N12" s="438"/>
    </row>
    <row r="13" spans="2:19" ht="13.8">
      <c r="B13" s="544" t="s">
        <v>633</v>
      </c>
      <c r="C13" s="439"/>
      <c r="D13" s="439"/>
      <c r="E13" s="439"/>
      <c r="F13" s="439"/>
      <c r="G13" s="439"/>
      <c r="H13" s="439"/>
      <c r="I13" s="439"/>
      <c r="J13" s="439"/>
      <c r="K13" s="439"/>
      <c r="L13" s="439"/>
      <c r="M13" s="439"/>
      <c r="N13" s="438"/>
    </row>
    <row r="14" spans="2:19" ht="13.8">
      <c r="B14" s="544" t="s">
        <v>632</v>
      </c>
      <c r="C14" s="439"/>
      <c r="D14" s="439"/>
      <c r="E14" s="439"/>
      <c r="F14" s="439"/>
      <c r="G14" s="439"/>
      <c r="H14" s="439"/>
      <c r="I14" s="439"/>
      <c r="J14" s="439"/>
      <c r="K14" s="439"/>
      <c r="L14" s="439"/>
      <c r="M14" s="439"/>
      <c r="N14" s="438"/>
    </row>
    <row r="15" spans="2:19" ht="13.8">
      <c r="B15" s="543" t="s">
        <v>631</v>
      </c>
      <c r="C15" s="439"/>
      <c r="D15" s="439"/>
      <c r="E15" s="439"/>
      <c r="F15" s="439"/>
      <c r="G15" s="439"/>
      <c r="H15" s="439"/>
      <c r="I15" s="439"/>
      <c r="J15" s="439"/>
      <c r="K15" s="439"/>
      <c r="L15" s="439"/>
      <c r="M15" s="439"/>
      <c r="N15" s="438"/>
    </row>
    <row r="16" spans="2:19" ht="13.8">
      <c r="B16" s="504"/>
      <c r="C16" s="439"/>
      <c r="D16" s="439"/>
      <c r="E16" s="439"/>
      <c r="F16" s="439"/>
      <c r="G16" s="439"/>
      <c r="H16" s="439"/>
      <c r="I16" s="439"/>
      <c r="J16" s="439"/>
      <c r="K16" s="439"/>
      <c r="L16" s="439"/>
      <c r="M16" s="439"/>
      <c r="N16" s="438"/>
    </row>
    <row r="17" spans="2:14" ht="13.8">
      <c r="B17" s="504"/>
      <c r="C17" s="439"/>
      <c r="D17" s="439"/>
      <c r="E17" s="439"/>
      <c r="F17" s="439"/>
      <c r="G17" s="439"/>
      <c r="H17" s="439"/>
      <c r="I17" s="439"/>
      <c r="J17" s="439"/>
      <c r="K17" s="439"/>
      <c r="L17" s="439"/>
      <c r="M17" s="439"/>
      <c r="N17" s="438"/>
    </row>
    <row r="18" spans="2:14" ht="14.4" thickBot="1">
      <c r="B18" s="437"/>
      <c r="C18" s="436"/>
      <c r="D18" s="436"/>
      <c r="E18" s="436"/>
      <c r="F18" s="436"/>
      <c r="G18" s="436"/>
      <c r="H18" s="436"/>
      <c r="I18" s="436"/>
      <c r="J18" s="436"/>
      <c r="K18" s="436"/>
      <c r="L18" s="436"/>
      <c r="M18" s="436"/>
      <c r="N18" s="435"/>
    </row>
    <row r="19" spans="2:14" ht="13.8">
      <c r="F19" s="539"/>
      <c r="G19" s="539"/>
      <c r="I19" s="542"/>
      <c r="J19" s="539"/>
    </row>
    <row r="20" spans="2:14" ht="14.4" thickBot="1">
      <c r="B20" s="541" t="s">
        <v>630</v>
      </c>
      <c r="E20" s="540"/>
      <c r="F20" s="539"/>
      <c r="G20" s="539"/>
    </row>
    <row r="21" spans="2:14" ht="13.8">
      <c r="B21" s="445"/>
      <c r="C21" s="484"/>
      <c r="D21" s="483"/>
      <c r="E21" s="443"/>
      <c r="F21" s="443"/>
      <c r="G21" s="443"/>
      <c r="H21" s="443"/>
      <c r="I21" s="443" t="s">
        <v>287</v>
      </c>
      <c r="J21" s="442" t="s">
        <v>288</v>
      </c>
    </row>
    <row r="22" spans="2:14" ht="13.8">
      <c r="B22" s="482"/>
      <c r="C22" s="481" t="s">
        <v>603</v>
      </c>
      <c r="D22" s="538">
        <v>2015</v>
      </c>
      <c r="E22" s="537">
        <v>2020</v>
      </c>
      <c r="F22" s="537">
        <v>2035</v>
      </c>
      <c r="G22" s="479"/>
      <c r="H22" s="479" t="s">
        <v>629</v>
      </c>
      <c r="I22" s="536"/>
      <c r="J22" s="478"/>
    </row>
    <row r="23" spans="2:14" ht="13.8">
      <c r="B23" s="504" t="s">
        <v>628</v>
      </c>
      <c r="C23" s="492"/>
      <c r="D23" s="535"/>
      <c r="E23" s="534"/>
      <c r="F23" s="534"/>
      <c r="G23" s="534"/>
      <c r="H23" s="534"/>
      <c r="I23" s="439"/>
      <c r="J23" s="438"/>
    </row>
    <row r="24" spans="2:14" ht="13.8">
      <c r="B24" s="525" t="s">
        <v>627</v>
      </c>
      <c r="C24" s="492" t="s">
        <v>624</v>
      </c>
      <c r="D24" s="533">
        <v>0.56448821165977348</v>
      </c>
      <c r="E24" s="533">
        <v>0.65009680614089171</v>
      </c>
      <c r="F24" s="533">
        <v>0.65009680614089171</v>
      </c>
      <c r="G24" s="532">
        <v>0.65009680614089171</v>
      </c>
      <c r="H24" s="528"/>
      <c r="I24" s="531"/>
      <c r="J24" s="527" t="s">
        <v>626</v>
      </c>
      <c r="M24" s="455"/>
    </row>
    <row r="25" spans="2:14" ht="13.8">
      <c r="B25" s="525" t="s">
        <v>625</v>
      </c>
      <c r="C25" s="492" t="s">
        <v>624</v>
      </c>
      <c r="D25" s="530">
        <v>0.56448821165977348</v>
      </c>
      <c r="E25" s="529">
        <v>0.65009680614089171</v>
      </c>
      <c r="F25" s="529">
        <v>0.65009680614089171</v>
      </c>
      <c r="G25" s="529">
        <v>0.65009680614089171</v>
      </c>
      <c r="H25" s="528"/>
      <c r="I25" s="451"/>
      <c r="J25" s="527" t="s">
        <v>623</v>
      </c>
    </row>
    <row r="26" spans="2:14" ht="13.8">
      <c r="B26" s="525" t="s">
        <v>622</v>
      </c>
      <c r="C26" s="492" t="s">
        <v>620</v>
      </c>
      <c r="D26" s="526">
        <v>0.74990000000000001</v>
      </c>
      <c r="E26" s="526">
        <v>0.53849999999999998</v>
      </c>
      <c r="F26" s="526">
        <v>0.53849999999999998</v>
      </c>
      <c r="G26" s="526">
        <v>0.53849999999999998</v>
      </c>
      <c r="H26" s="522"/>
      <c r="I26" s="451" t="s">
        <v>559</v>
      </c>
      <c r="J26" s="438" t="s">
        <v>619</v>
      </c>
    </row>
    <row r="27" spans="2:14" ht="13.8">
      <c r="B27" s="525" t="s">
        <v>621</v>
      </c>
      <c r="C27" s="492" t="s">
        <v>620</v>
      </c>
      <c r="D27" s="524"/>
      <c r="E27" s="523">
        <v>0</v>
      </c>
      <c r="F27" s="523">
        <v>0</v>
      </c>
      <c r="G27" s="523">
        <v>0</v>
      </c>
      <c r="H27" s="522"/>
      <c r="I27" s="451" t="s">
        <v>559</v>
      </c>
      <c r="J27" s="438" t="s">
        <v>619</v>
      </c>
      <c r="L27" s="455">
        <v>0</v>
      </c>
    </row>
    <row r="28" spans="2:14" ht="13.8">
      <c r="B28" s="515" t="s">
        <v>618</v>
      </c>
      <c r="C28" s="492" t="s">
        <v>617</v>
      </c>
      <c r="D28" s="521">
        <v>16.3</v>
      </c>
      <c r="E28" s="520">
        <v>16.3</v>
      </c>
      <c r="F28" s="520">
        <v>16.3</v>
      </c>
      <c r="G28" s="501">
        <v>16.3</v>
      </c>
      <c r="H28" s="501"/>
      <c r="I28" s="459" t="s">
        <v>616</v>
      </c>
      <c r="J28" s="438"/>
    </row>
    <row r="29" spans="2:14" ht="13.8">
      <c r="B29" s="515" t="s">
        <v>591</v>
      </c>
      <c r="C29" s="492" t="s">
        <v>590</v>
      </c>
      <c r="D29" s="519">
        <v>7.619574778625954</v>
      </c>
      <c r="E29" s="518">
        <v>6.3013883419236638</v>
      </c>
      <c r="F29" s="518">
        <v>6.3013883419236638</v>
      </c>
      <c r="G29" s="518">
        <v>6.3013883419236638</v>
      </c>
      <c r="H29" s="518"/>
      <c r="I29" s="451"/>
      <c r="J29" s="438"/>
    </row>
    <row r="30" spans="2:14" ht="13.8">
      <c r="B30" s="441"/>
      <c r="C30" s="517"/>
      <c r="D30" s="497"/>
      <c r="E30" s="496"/>
      <c r="F30" s="496"/>
      <c r="G30" s="496"/>
      <c r="H30" s="496"/>
      <c r="I30" s="439"/>
      <c r="J30" s="438"/>
    </row>
    <row r="31" spans="2:14" ht="13.8">
      <c r="B31" s="504" t="s">
        <v>615</v>
      </c>
      <c r="C31" s="492"/>
      <c r="D31" s="497"/>
      <c r="E31" s="496"/>
      <c r="F31" s="496"/>
      <c r="G31" s="496"/>
      <c r="H31" s="496"/>
      <c r="I31" s="439"/>
      <c r="J31" s="438"/>
    </row>
    <row r="32" spans="2:14" ht="13.8">
      <c r="B32" s="515" t="s">
        <v>614</v>
      </c>
      <c r="C32" s="492" t="s">
        <v>563</v>
      </c>
      <c r="D32" s="516">
        <v>324327.7117358431</v>
      </c>
      <c r="E32" s="516">
        <v>217507.89270712316</v>
      </c>
      <c r="F32" s="516">
        <v>184938.55106805882</v>
      </c>
      <c r="G32" s="516">
        <v>184938.55106805882</v>
      </c>
      <c r="H32" s="451">
        <v>2015</v>
      </c>
      <c r="I32" s="439"/>
      <c r="J32" s="438"/>
    </row>
    <row r="33" spans="2:10" ht="13.8">
      <c r="B33" s="441" t="s">
        <v>613</v>
      </c>
      <c r="C33" s="492" t="s">
        <v>588</v>
      </c>
      <c r="D33" s="516">
        <v>4293.4696693761334</v>
      </c>
      <c r="E33" s="516">
        <v>3646.4604673615695</v>
      </c>
      <c r="F33" s="516">
        <v>3175.3416583090861</v>
      </c>
      <c r="G33" s="516">
        <v>3175.3416583090861</v>
      </c>
      <c r="H33" s="451">
        <v>2015</v>
      </c>
      <c r="I33" s="439"/>
      <c r="J33" s="438"/>
    </row>
    <row r="34" spans="2:10" ht="13.8">
      <c r="B34" s="505" t="s">
        <v>612</v>
      </c>
      <c r="C34" s="492" t="s">
        <v>588</v>
      </c>
      <c r="D34" s="516">
        <v>3879.8151199957892</v>
      </c>
      <c r="E34" s="516">
        <v>3146.2735878206458</v>
      </c>
      <c r="F34" s="516">
        <v>2675.1547787681625</v>
      </c>
      <c r="G34" s="516">
        <v>2675.1547787681625</v>
      </c>
      <c r="H34" s="451">
        <v>2015</v>
      </c>
      <c r="I34" s="439"/>
      <c r="J34" s="438"/>
    </row>
    <row r="35" spans="2:10" ht="13.8">
      <c r="B35" s="505" t="s">
        <v>611</v>
      </c>
      <c r="C35" s="492" t="s">
        <v>588</v>
      </c>
      <c r="D35" s="516">
        <v>413.65454938034395</v>
      </c>
      <c r="E35" s="516">
        <v>500.18687954092383</v>
      </c>
      <c r="F35" s="516">
        <v>500.18687954092383</v>
      </c>
      <c r="G35" s="516">
        <v>500.18687954092383</v>
      </c>
      <c r="H35" s="451">
        <v>2015</v>
      </c>
      <c r="I35" s="439"/>
      <c r="J35" s="438"/>
    </row>
    <row r="36" spans="2:10" ht="13.8">
      <c r="B36" s="505"/>
      <c r="C36" s="492"/>
      <c r="D36" s="516"/>
      <c r="E36" s="516"/>
      <c r="F36" s="516"/>
      <c r="G36" s="516"/>
      <c r="H36" s="451"/>
      <c r="I36" s="439"/>
      <c r="J36" s="438"/>
    </row>
    <row r="37" spans="2:10" ht="13.8">
      <c r="B37" s="505" t="s">
        <v>610</v>
      </c>
      <c r="C37" s="492" t="s">
        <v>588</v>
      </c>
      <c r="D37" s="516">
        <v>0</v>
      </c>
      <c r="E37" s="516">
        <v>0</v>
      </c>
      <c r="F37" s="516">
        <v>0</v>
      </c>
      <c r="G37" s="516">
        <v>0</v>
      </c>
      <c r="H37" s="451">
        <v>2015</v>
      </c>
      <c r="I37" s="439"/>
      <c r="J37" s="438"/>
    </row>
    <row r="38" spans="2:10" ht="13.8">
      <c r="B38" s="504"/>
      <c r="C38" s="492"/>
      <c r="D38" s="497"/>
      <c r="E38" s="496"/>
      <c r="F38" s="496"/>
      <c r="G38" s="496"/>
      <c r="H38" s="496"/>
      <c r="I38" s="439"/>
      <c r="J38" s="438"/>
    </row>
    <row r="39" spans="2:10" ht="13.8">
      <c r="B39" s="515" t="s">
        <v>614</v>
      </c>
      <c r="C39" s="492" t="s">
        <v>563</v>
      </c>
      <c r="D39" s="514">
        <v>304687</v>
      </c>
      <c r="E39" s="513">
        <v>204336</v>
      </c>
      <c r="F39" s="513">
        <v>173739</v>
      </c>
      <c r="G39" s="512">
        <v>173739</v>
      </c>
      <c r="H39" s="511">
        <v>2011</v>
      </c>
      <c r="I39" s="451" t="s">
        <v>573</v>
      </c>
      <c r="J39" s="438"/>
    </row>
    <row r="40" spans="2:10" ht="13.8">
      <c r="B40" s="441" t="s">
        <v>613</v>
      </c>
      <c r="C40" s="492" t="s">
        <v>588</v>
      </c>
      <c r="D40" s="510">
        <v>4033.464751290428</v>
      </c>
      <c r="E40" s="502">
        <v>3425.6372804920857</v>
      </c>
      <c r="F40" s="502">
        <v>2983.0485920155152</v>
      </c>
      <c r="G40" s="502">
        <v>2983.0485920155152</v>
      </c>
      <c r="H40" s="506">
        <v>2011</v>
      </c>
      <c r="I40" s="451"/>
      <c r="J40" s="438"/>
    </row>
    <row r="41" spans="2:10" ht="13.8">
      <c r="B41" s="505" t="s">
        <v>612</v>
      </c>
      <c r="C41" s="492" t="s">
        <v>588</v>
      </c>
      <c r="D41" s="510">
        <v>3644.8603887076174</v>
      </c>
      <c r="E41" s="502">
        <v>2955.740832387115</v>
      </c>
      <c r="F41" s="502">
        <v>2513.1521439105445</v>
      </c>
      <c r="G41" s="502">
        <v>2513.1521439105445</v>
      </c>
      <c r="H41" s="506">
        <v>2011</v>
      </c>
      <c r="I41" s="451"/>
      <c r="J41" s="438"/>
    </row>
    <row r="42" spans="2:10" ht="13.8">
      <c r="B42" s="505" t="s">
        <v>611</v>
      </c>
      <c r="C42" s="492" t="s">
        <v>588</v>
      </c>
      <c r="D42" s="509">
        <v>388.60436258281067</v>
      </c>
      <c r="E42" s="508">
        <v>469.8964481049706</v>
      </c>
      <c r="F42" s="508">
        <v>469.8964481049706</v>
      </c>
      <c r="G42" s="508">
        <v>469.8964481049706</v>
      </c>
      <c r="H42" s="506">
        <v>2011</v>
      </c>
      <c r="I42" s="459"/>
      <c r="J42" s="438"/>
    </row>
    <row r="43" spans="2:10" ht="13.8">
      <c r="B43" s="505"/>
      <c r="C43" s="492"/>
      <c r="D43" s="497"/>
      <c r="E43" s="496"/>
      <c r="F43" s="496"/>
      <c r="G43" s="496"/>
      <c r="H43" s="506"/>
      <c r="I43" s="451"/>
      <c r="J43" s="438"/>
    </row>
    <row r="44" spans="2:10" ht="13.8">
      <c r="B44" s="505" t="s">
        <v>610</v>
      </c>
      <c r="C44" s="492" t="s">
        <v>588</v>
      </c>
      <c r="D44" s="507">
        <v>0</v>
      </c>
      <c r="E44" s="501">
        <v>0</v>
      </c>
      <c r="F44" s="501">
        <v>0</v>
      </c>
      <c r="G44" s="501">
        <v>0</v>
      </c>
      <c r="H44" s="506">
        <v>2011</v>
      </c>
      <c r="I44" s="451"/>
      <c r="J44" s="438"/>
    </row>
    <row r="45" spans="2:10" ht="13.8">
      <c r="B45" s="505"/>
      <c r="C45" s="492"/>
      <c r="D45" s="497"/>
      <c r="E45" s="496"/>
      <c r="F45" s="496"/>
      <c r="G45" s="496"/>
      <c r="H45" s="496"/>
      <c r="I45" s="451"/>
      <c r="J45" s="438"/>
    </row>
    <row r="46" spans="2:10" ht="13.8">
      <c r="B46" s="504" t="s">
        <v>609</v>
      </c>
      <c r="C46" s="492"/>
      <c r="D46" s="497"/>
      <c r="E46" s="496"/>
      <c r="F46" s="496"/>
      <c r="G46" s="496"/>
      <c r="H46" s="503"/>
      <c r="I46" s="451"/>
      <c r="J46" s="438"/>
    </row>
    <row r="47" spans="2:10" ht="13.8">
      <c r="B47" s="498" t="s">
        <v>608</v>
      </c>
      <c r="C47" s="492"/>
      <c r="D47" s="497"/>
      <c r="E47" s="496"/>
      <c r="F47" s="496"/>
      <c r="G47" s="496"/>
      <c r="H47" s="502"/>
      <c r="I47" s="451"/>
      <c r="J47" s="438"/>
    </row>
    <row r="48" spans="2:10" ht="13.8">
      <c r="B48" s="441" t="s">
        <v>556</v>
      </c>
      <c r="C48" s="492" t="s">
        <v>605</v>
      </c>
      <c r="D48" s="495"/>
      <c r="E48" s="494"/>
      <c r="F48" s="494"/>
      <c r="G48" s="494"/>
      <c r="H48" s="502"/>
      <c r="I48" s="451"/>
      <c r="J48" s="461" t="s">
        <v>606</v>
      </c>
    </row>
    <row r="49" spans="2:10" ht="13.8">
      <c r="B49" s="441" t="s">
        <v>555</v>
      </c>
      <c r="C49" s="492" t="s">
        <v>605</v>
      </c>
      <c r="D49" s="500">
        <v>0</v>
      </c>
      <c r="E49" s="499">
        <v>0</v>
      </c>
      <c r="F49" s="499">
        <v>0</v>
      </c>
      <c r="G49" s="499">
        <v>0</v>
      </c>
      <c r="H49" s="493"/>
      <c r="I49" s="451"/>
      <c r="J49" s="438"/>
    </row>
    <row r="50" spans="2:10" ht="13.8">
      <c r="B50" s="441" t="s">
        <v>554</v>
      </c>
      <c r="C50" s="492" t="s">
        <v>605</v>
      </c>
      <c r="D50" s="500">
        <v>0</v>
      </c>
      <c r="E50" s="499">
        <v>0</v>
      </c>
      <c r="F50" s="499">
        <v>0</v>
      </c>
      <c r="G50" s="499">
        <v>0</v>
      </c>
      <c r="H50" s="496"/>
      <c r="I50" s="451"/>
      <c r="J50" s="438"/>
    </row>
    <row r="51" spans="2:10" ht="13.8">
      <c r="B51" s="441" t="s">
        <v>553</v>
      </c>
      <c r="C51" s="492" t="s">
        <v>605</v>
      </c>
      <c r="D51" s="500">
        <v>0</v>
      </c>
      <c r="E51" s="499">
        <v>0</v>
      </c>
      <c r="F51" s="499">
        <v>0</v>
      </c>
      <c r="G51" s="499">
        <v>0</v>
      </c>
      <c r="H51" s="501"/>
      <c r="I51" s="451"/>
      <c r="J51" s="438"/>
    </row>
    <row r="52" spans="2:10" ht="13.8">
      <c r="B52" s="441" t="s">
        <v>552</v>
      </c>
      <c r="C52" s="492" t="s">
        <v>605</v>
      </c>
      <c r="D52" s="500">
        <v>0</v>
      </c>
      <c r="E52" s="499">
        <v>0</v>
      </c>
      <c r="F52" s="499">
        <v>0</v>
      </c>
      <c r="G52" s="499">
        <v>0</v>
      </c>
      <c r="H52" s="496"/>
      <c r="I52" s="451"/>
      <c r="J52" s="438"/>
    </row>
    <row r="53" spans="2:10" ht="13.8">
      <c r="B53" s="441" t="s">
        <v>551</v>
      </c>
      <c r="C53" s="492" t="s">
        <v>605</v>
      </c>
      <c r="D53" s="500">
        <v>0</v>
      </c>
      <c r="E53" s="499">
        <v>0</v>
      </c>
      <c r="F53" s="499">
        <v>0</v>
      </c>
      <c r="G53" s="499">
        <v>0</v>
      </c>
      <c r="H53" s="496"/>
      <c r="I53" s="451"/>
      <c r="J53" s="438"/>
    </row>
    <row r="54" spans="2:10" ht="13.8">
      <c r="B54" s="441"/>
      <c r="C54" s="492"/>
      <c r="D54" s="497"/>
      <c r="E54" s="439"/>
      <c r="F54" s="439"/>
      <c r="G54" s="439"/>
      <c r="H54" s="496"/>
      <c r="I54" s="451"/>
      <c r="J54" s="438"/>
    </row>
    <row r="55" spans="2:10" ht="13.8">
      <c r="B55" s="498" t="s">
        <v>607</v>
      </c>
      <c r="C55" s="492"/>
      <c r="D55" s="497"/>
      <c r="E55" s="496"/>
      <c r="F55" s="496"/>
      <c r="G55" s="496"/>
      <c r="H55" s="493"/>
      <c r="I55" s="451"/>
      <c r="J55" s="438"/>
    </row>
    <row r="56" spans="2:10" ht="13.8">
      <c r="B56" s="441" t="s">
        <v>556</v>
      </c>
      <c r="C56" s="492" t="s">
        <v>605</v>
      </c>
      <c r="D56" s="495"/>
      <c r="E56" s="494"/>
      <c r="F56" s="494"/>
      <c r="G56" s="494"/>
      <c r="H56" s="493"/>
      <c r="I56" s="451"/>
      <c r="J56" s="461" t="s">
        <v>606</v>
      </c>
    </row>
    <row r="57" spans="2:10" ht="13.8">
      <c r="B57" s="441" t="s">
        <v>555</v>
      </c>
      <c r="C57" s="492" t="s">
        <v>605</v>
      </c>
      <c r="D57" s="491">
        <v>0</v>
      </c>
      <c r="E57" s="490">
        <v>0</v>
      </c>
      <c r="F57" s="490">
        <v>0</v>
      </c>
      <c r="G57" s="490">
        <v>0</v>
      </c>
      <c r="H57" s="489"/>
      <c r="I57" s="451"/>
      <c r="J57" s="438"/>
    </row>
    <row r="58" spans="2:10" ht="13.8">
      <c r="B58" s="441" t="s">
        <v>554</v>
      </c>
      <c r="C58" s="492" t="s">
        <v>605</v>
      </c>
      <c r="D58" s="491">
        <v>0</v>
      </c>
      <c r="E58" s="490">
        <v>0</v>
      </c>
      <c r="F58" s="490">
        <v>0</v>
      </c>
      <c r="G58" s="490">
        <v>0</v>
      </c>
      <c r="H58" s="489"/>
      <c r="I58" s="451"/>
      <c r="J58" s="438"/>
    </row>
    <row r="59" spans="2:10" ht="13.8">
      <c r="B59" s="441" t="s">
        <v>553</v>
      </c>
      <c r="C59" s="492" t="s">
        <v>605</v>
      </c>
      <c r="D59" s="491">
        <v>0</v>
      </c>
      <c r="E59" s="490">
        <v>0</v>
      </c>
      <c r="F59" s="490">
        <v>0</v>
      </c>
      <c r="G59" s="490">
        <v>0</v>
      </c>
      <c r="H59" s="489"/>
      <c r="I59" s="451"/>
      <c r="J59" s="438"/>
    </row>
    <row r="60" spans="2:10" ht="13.8">
      <c r="B60" s="441" t="s">
        <v>552</v>
      </c>
      <c r="C60" s="492" t="s">
        <v>605</v>
      </c>
      <c r="D60" s="491">
        <v>0</v>
      </c>
      <c r="E60" s="490">
        <v>0</v>
      </c>
      <c r="F60" s="490">
        <v>0</v>
      </c>
      <c r="G60" s="490">
        <v>0</v>
      </c>
      <c r="H60" s="489"/>
      <c r="I60" s="451"/>
      <c r="J60" s="438"/>
    </row>
    <row r="61" spans="2:10" ht="13.8">
      <c r="B61" s="441" t="s">
        <v>551</v>
      </c>
      <c r="C61" s="492" t="s">
        <v>605</v>
      </c>
      <c r="D61" s="491">
        <v>0</v>
      </c>
      <c r="E61" s="490">
        <v>0</v>
      </c>
      <c r="F61" s="490">
        <v>0</v>
      </c>
      <c r="G61" s="490">
        <v>0</v>
      </c>
      <c r="H61" s="489"/>
      <c r="I61" s="451"/>
      <c r="J61" s="438"/>
    </row>
    <row r="62" spans="2:10" ht="14.4" thickBot="1">
      <c r="B62" s="488"/>
      <c r="C62" s="487"/>
      <c r="D62" s="486"/>
      <c r="E62" s="436"/>
      <c r="F62" s="436"/>
      <c r="G62" s="436"/>
      <c r="H62" s="448"/>
      <c r="I62" s="448"/>
      <c r="J62" s="435"/>
    </row>
    <row r="63" spans="2:10" ht="13.8">
      <c r="I63" s="447"/>
    </row>
    <row r="64" spans="2:10" ht="13.8">
      <c r="D64" s="485"/>
      <c r="I64" s="447"/>
    </row>
    <row r="65" spans="2:10" ht="16.2" thickBot="1">
      <c r="B65" s="446" t="s">
        <v>604</v>
      </c>
      <c r="I65" s="447"/>
    </row>
    <row r="66" spans="2:10" ht="13.8">
      <c r="B66" s="445"/>
      <c r="C66" s="484"/>
      <c r="D66" s="483"/>
      <c r="E66" s="443"/>
      <c r="F66" s="443"/>
      <c r="G66" s="443"/>
      <c r="H66" s="443"/>
      <c r="I66" s="443" t="s">
        <v>287</v>
      </c>
      <c r="J66" s="442" t="s">
        <v>288</v>
      </c>
    </row>
    <row r="67" spans="2:10" ht="13.8">
      <c r="B67" s="482"/>
      <c r="C67" s="481" t="s">
        <v>603</v>
      </c>
      <c r="D67" s="480">
        <v>2015</v>
      </c>
      <c r="E67" s="479">
        <v>2020</v>
      </c>
      <c r="F67" s="479">
        <v>2035</v>
      </c>
      <c r="G67" s="479">
        <v>2050</v>
      </c>
      <c r="H67" s="439"/>
      <c r="I67" s="439"/>
      <c r="J67" s="478"/>
    </row>
    <row r="68" spans="2:10" ht="13.8">
      <c r="B68" s="441" t="s">
        <v>602</v>
      </c>
      <c r="C68" s="453" t="s">
        <v>600</v>
      </c>
      <c r="D68" s="477">
        <v>0.42330970992366412</v>
      </c>
      <c r="E68" s="477">
        <v>0.35007713010687019</v>
      </c>
      <c r="F68" s="477">
        <v>0.35007713010687019</v>
      </c>
      <c r="G68" s="477">
        <v>0.35007713010687019</v>
      </c>
      <c r="H68" s="439"/>
      <c r="I68" s="439"/>
      <c r="J68" s="438"/>
    </row>
    <row r="69" spans="2:10" ht="13.8">
      <c r="B69" s="441" t="s">
        <v>601</v>
      </c>
      <c r="C69" s="453" t="s">
        <v>600</v>
      </c>
      <c r="D69" s="476">
        <v>0.38034000000000001</v>
      </c>
      <c r="E69" s="476"/>
      <c r="F69" s="476"/>
      <c r="G69" s="476"/>
      <c r="H69" s="451"/>
      <c r="I69" s="451"/>
      <c r="J69" s="438"/>
    </row>
    <row r="70" spans="2:10" ht="13.8">
      <c r="B70" s="441" t="s">
        <v>599</v>
      </c>
      <c r="C70" s="453" t="s">
        <v>596</v>
      </c>
      <c r="D70" s="475">
        <v>1458</v>
      </c>
      <c r="E70" s="475"/>
      <c r="F70" s="475"/>
      <c r="G70" s="475"/>
      <c r="H70" s="451"/>
      <c r="I70" s="451" t="s">
        <v>559</v>
      </c>
      <c r="J70" s="438" t="s">
        <v>598</v>
      </c>
    </row>
    <row r="71" spans="2:10" ht="13.8">
      <c r="B71" s="441" t="s">
        <v>597</v>
      </c>
      <c r="C71" s="453" t="s">
        <v>596</v>
      </c>
      <c r="D71" s="474">
        <v>1310</v>
      </c>
      <c r="E71" s="474"/>
      <c r="F71" s="474"/>
      <c r="G71" s="474"/>
      <c r="H71" s="439"/>
      <c r="I71" s="439"/>
      <c r="J71" s="438"/>
    </row>
    <row r="72" spans="2:10" ht="13.8">
      <c r="B72" s="441" t="s">
        <v>595</v>
      </c>
      <c r="C72" s="453" t="s">
        <v>580</v>
      </c>
      <c r="D72" s="473"/>
      <c r="E72" s="472">
        <v>0.17299999999999999</v>
      </c>
      <c r="F72" s="471"/>
      <c r="G72" s="471"/>
      <c r="H72" s="451"/>
      <c r="I72" s="451" t="s">
        <v>559</v>
      </c>
      <c r="J72" s="438" t="s">
        <v>594</v>
      </c>
    </row>
    <row r="73" spans="2:10" ht="13.8">
      <c r="B73" s="441" t="s">
        <v>593</v>
      </c>
      <c r="C73" s="453" t="s">
        <v>592</v>
      </c>
      <c r="D73" s="470">
        <v>18000</v>
      </c>
      <c r="E73" s="469">
        <v>18000</v>
      </c>
      <c r="F73" s="469">
        <v>18000</v>
      </c>
      <c r="G73" s="469">
        <v>18000</v>
      </c>
      <c r="H73" s="439"/>
      <c r="I73" s="439"/>
      <c r="J73" s="438"/>
    </row>
    <row r="74" spans="2:10" ht="13.8">
      <c r="B74" s="441" t="s">
        <v>591</v>
      </c>
      <c r="C74" s="453" t="s">
        <v>590</v>
      </c>
      <c r="D74" s="463">
        <v>7.619574778625954</v>
      </c>
      <c r="E74" s="439">
        <v>6.3013883419236638</v>
      </c>
      <c r="F74" s="439">
        <v>6.3013883419236638</v>
      </c>
      <c r="G74" s="439">
        <v>6.3013883419236638</v>
      </c>
      <c r="H74" s="439"/>
      <c r="I74" s="439"/>
      <c r="J74" s="438" t="s">
        <v>589</v>
      </c>
    </row>
    <row r="75" spans="2:10" ht="13.8">
      <c r="B75" s="441" t="s">
        <v>587</v>
      </c>
      <c r="C75" s="453" t="s">
        <v>588</v>
      </c>
      <c r="D75" s="468">
        <v>388.60436258281067</v>
      </c>
      <c r="E75" s="466">
        <v>469.8964481049706</v>
      </c>
      <c r="F75" s="466">
        <v>469.8964481049706</v>
      </c>
      <c r="G75" s="466">
        <v>469.8964481049706</v>
      </c>
      <c r="H75" s="439"/>
      <c r="I75" s="439"/>
      <c r="J75" s="438"/>
    </row>
    <row r="76" spans="2:10" ht="13.8">
      <c r="B76" s="441" t="s">
        <v>587</v>
      </c>
      <c r="C76" s="453" t="s">
        <v>582</v>
      </c>
      <c r="D76" s="467">
        <v>0.16449999999999998</v>
      </c>
      <c r="E76" s="467">
        <v>0.16449999999999998</v>
      </c>
      <c r="F76" s="467">
        <v>0.16449999999999998</v>
      </c>
      <c r="G76" s="466">
        <v>0.16449999999999998</v>
      </c>
      <c r="H76" s="459"/>
      <c r="I76" s="459"/>
      <c r="J76" s="461"/>
    </row>
    <row r="77" spans="2:10" ht="13.8">
      <c r="B77" s="441" t="s">
        <v>587</v>
      </c>
      <c r="C77" s="453" t="s">
        <v>586</v>
      </c>
      <c r="D77" s="465">
        <v>0.47</v>
      </c>
      <c r="E77" s="465">
        <v>0.47</v>
      </c>
      <c r="F77" s="465">
        <v>0.47</v>
      </c>
      <c r="G77" s="465">
        <v>0.47</v>
      </c>
      <c r="H77" s="439"/>
      <c r="I77" s="439" t="s">
        <v>585</v>
      </c>
      <c r="J77" s="461" t="s">
        <v>584</v>
      </c>
    </row>
    <row r="78" spans="2:10" ht="13.8">
      <c r="B78" s="441" t="s">
        <v>583</v>
      </c>
      <c r="C78" s="453" t="s">
        <v>582</v>
      </c>
      <c r="D78" s="464">
        <v>0.35</v>
      </c>
      <c r="E78" s="464">
        <v>0.35</v>
      </c>
      <c r="F78" s="464">
        <v>0.35</v>
      </c>
      <c r="G78" s="464">
        <v>0.35</v>
      </c>
      <c r="H78" s="459"/>
      <c r="I78" s="459"/>
      <c r="J78" s="461"/>
    </row>
    <row r="79" spans="2:10" ht="13.8">
      <c r="B79" s="441" t="s">
        <v>581</v>
      </c>
      <c r="C79" s="453" t="s">
        <v>580</v>
      </c>
      <c r="D79" s="463"/>
      <c r="E79" s="454">
        <v>0.2</v>
      </c>
      <c r="F79" s="454">
        <v>0.4</v>
      </c>
      <c r="G79" s="454">
        <v>0.4</v>
      </c>
      <c r="H79" s="459"/>
      <c r="I79" s="459"/>
      <c r="J79" s="438" t="s">
        <v>579</v>
      </c>
    </row>
    <row r="80" spans="2:10" ht="13.8">
      <c r="B80" s="441"/>
      <c r="C80" s="453"/>
      <c r="D80" s="439"/>
      <c r="E80" s="452"/>
      <c r="F80" s="452"/>
      <c r="G80" s="452"/>
      <c r="H80" s="459"/>
      <c r="I80" s="459"/>
      <c r="J80" s="438"/>
    </row>
    <row r="81" spans="2:12" ht="13.8">
      <c r="B81" s="441" t="s">
        <v>578</v>
      </c>
      <c r="C81" s="453" t="s">
        <v>563</v>
      </c>
      <c r="D81" s="462">
        <v>304687</v>
      </c>
      <c r="E81" s="462">
        <v>204336</v>
      </c>
      <c r="F81" s="462">
        <v>173739</v>
      </c>
      <c r="G81" s="462">
        <v>173739</v>
      </c>
      <c r="H81" s="459"/>
      <c r="I81" s="459"/>
      <c r="J81" s="438"/>
    </row>
    <row r="82" spans="2:12" ht="13.8">
      <c r="B82" s="441" t="s">
        <v>577</v>
      </c>
      <c r="C82" s="453" t="s">
        <v>563</v>
      </c>
      <c r="D82" s="458">
        <v>193387</v>
      </c>
      <c r="E82" s="458">
        <v>160836</v>
      </c>
      <c r="F82" s="458">
        <v>151864</v>
      </c>
      <c r="G82" s="458">
        <v>151864</v>
      </c>
      <c r="H82" s="451"/>
      <c r="I82" s="451" t="s">
        <v>573</v>
      </c>
      <c r="J82" s="461" t="s">
        <v>576</v>
      </c>
    </row>
    <row r="83" spans="2:12" ht="13.8">
      <c r="B83" s="441" t="s">
        <v>575</v>
      </c>
      <c r="C83" s="453" t="s">
        <v>563</v>
      </c>
      <c r="D83" s="460">
        <v>105000</v>
      </c>
      <c r="E83" s="460">
        <v>41250</v>
      </c>
      <c r="F83" s="460">
        <v>20625</v>
      </c>
      <c r="G83" s="460">
        <v>20625</v>
      </c>
      <c r="H83" s="459"/>
      <c r="I83" s="459"/>
      <c r="J83" s="438"/>
    </row>
    <row r="84" spans="2:12" ht="13.8">
      <c r="B84" s="441" t="s">
        <v>574</v>
      </c>
      <c r="C84" s="453" t="s">
        <v>563</v>
      </c>
      <c r="D84" s="458">
        <v>1500</v>
      </c>
      <c r="E84" s="458">
        <v>750</v>
      </c>
      <c r="F84" s="458">
        <v>375</v>
      </c>
      <c r="G84" s="458">
        <v>375</v>
      </c>
      <c r="H84" s="451"/>
      <c r="I84" s="451" t="s">
        <v>573</v>
      </c>
      <c r="J84" s="438" t="s">
        <v>572</v>
      </c>
    </row>
    <row r="85" spans="2:12" ht="13.8">
      <c r="B85" s="441" t="s">
        <v>571</v>
      </c>
      <c r="C85" s="453" t="s">
        <v>563</v>
      </c>
      <c r="D85" s="452">
        <v>70</v>
      </c>
      <c r="E85" s="452">
        <v>55</v>
      </c>
      <c r="F85" s="452">
        <v>55</v>
      </c>
      <c r="G85" s="452">
        <v>55</v>
      </c>
      <c r="H85" s="451"/>
      <c r="I85" s="451" t="s">
        <v>559</v>
      </c>
      <c r="J85" s="438" t="s">
        <v>562</v>
      </c>
    </row>
    <row r="86" spans="2:12" ht="13.8">
      <c r="B86" s="441" t="s">
        <v>570</v>
      </c>
      <c r="C86" s="453" t="s">
        <v>563</v>
      </c>
      <c r="D86" s="457"/>
      <c r="E86" s="457"/>
      <c r="F86" s="457"/>
      <c r="G86" s="457"/>
      <c r="H86" s="451"/>
      <c r="I86" s="451"/>
      <c r="J86" s="438"/>
    </row>
    <row r="87" spans="2:12" ht="13.8">
      <c r="B87" s="441" t="s">
        <v>569</v>
      </c>
      <c r="C87" s="453" t="s">
        <v>563</v>
      </c>
      <c r="D87" s="452"/>
      <c r="E87" s="452"/>
      <c r="F87" s="452"/>
      <c r="G87" s="452"/>
      <c r="H87" s="451"/>
      <c r="I87" s="451"/>
      <c r="J87" s="438"/>
    </row>
    <row r="88" spans="2:12" ht="13.8">
      <c r="B88" s="441" t="s">
        <v>568</v>
      </c>
      <c r="C88" s="453" t="s">
        <v>563</v>
      </c>
      <c r="D88" s="457"/>
      <c r="E88" s="457"/>
      <c r="F88" s="457"/>
      <c r="G88" s="457"/>
      <c r="H88" s="451"/>
      <c r="I88" s="451"/>
      <c r="J88" s="438"/>
    </row>
    <row r="89" spans="2:12" ht="13.8">
      <c r="B89" s="441" t="s">
        <v>567</v>
      </c>
      <c r="C89" s="453" t="s">
        <v>563</v>
      </c>
      <c r="D89" s="456">
        <v>6300</v>
      </c>
      <c r="E89" s="456">
        <v>2250</v>
      </c>
      <c r="F89" s="456">
        <v>1250</v>
      </c>
      <c r="G89" s="456">
        <v>1250</v>
      </c>
      <c r="H89" s="451"/>
      <c r="I89" s="451"/>
      <c r="J89" s="438"/>
      <c r="L89" s="455"/>
    </row>
    <row r="90" spans="2:12" ht="13.8">
      <c r="B90" s="441" t="s">
        <v>566</v>
      </c>
      <c r="C90" s="453" t="s">
        <v>563</v>
      </c>
      <c r="D90" s="454">
        <v>4500</v>
      </c>
      <c r="E90" s="454">
        <v>2250</v>
      </c>
      <c r="F90" s="454">
        <v>1250</v>
      </c>
      <c r="G90" s="454">
        <v>1250</v>
      </c>
      <c r="H90" s="451"/>
      <c r="I90" s="451"/>
      <c r="J90" s="438" t="s">
        <v>565</v>
      </c>
    </row>
    <row r="91" spans="2:12" ht="13.8">
      <c r="B91" s="441" t="s">
        <v>564</v>
      </c>
      <c r="C91" s="453" t="s">
        <v>563</v>
      </c>
      <c r="D91" s="452">
        <v>1.4</v>
      </c>
      <c r="E91" s="452">
        <v>1</v>
      </c>
      <c r="F91" s="452">
        <v>1</v>
      </c>
      <c r="G91" s="452">
        <v>1</v>
      </c>
      <c r="H91" s="451"/>
      <c r="I91" s="451" t="s">
        <v>559</v>
      </c>
      <c r="J91" s="438" t="s">
        <v>562</v>
      </c>
    </row>
    <row r="92" spans="2:12" ht="13.8">
      <c r="B92" s="441"/>
      <c r="C92" s="453"/>
      <c r="D92" s="452"/>
      <c r="E92" s="452"/>
      <c r="F92" s="452"/>
      <c r="G92" s="452"/>
      <c r="H92" s="451"/>
      <c r="I92" s="451"/>
      <c r="J92" s="438"/>
    </row>
    <row r="93" spans="2:12" ht="13.8">
      <c r="B93" s="441" t="s">
        <v>561</v>
      </c>
      <c r="C93" s="453" t="s">
        <v>560</v>
      </c>
      <c r="D93" s="452">
        <v>0.74990000000000001</v>
      </c>
      <c r="E93" s="452">
        <v>0.53849999999999998</v>
      </c>
      <c r="F93" s="452">
        <v>0.53849999999999998</v>
      </c>
      <c r="G93" s="452">
        <v>0.53849999999999998</v>
      </c>
      <c r="H93" s="451"/>
      <c r="I93" s="451" t="s">
        <v>559</v>
      </c>
      <c r="J93" s="438" t="s">
        <v>558</v>
      </c>
    </row>
    <row r="94" spans="2:12" ht="13.8">
      <c r="B94" s="441"/>
      <c r="C94" s="453"/>
      <c r="D94" s="452"/>
      <c r="E94" s="452"/>
      <c r="F94" s="452"/>
      <c r="G94" s="452"/>
      <c r="H94" s="451"/>
      <c r="I94" s="451"/>
      <c r="J94" s="438"/>
    </row>
    <row r="95" spans="2:12" ht="13.8">
      <c r="B95" s="441"/>
      <c r="C95" s="453"/>
      <c r="D95" s="452"/>
      <c r="E95" s="452"/>
      <c r="F95" s="452"/>
      <c r="G95" s="452"/>
      <c r="H95" s="451"/>
      <c r="I95" s="451"/>
      <c r="J95" s="438"/>
    </row>
    <row r="96" spans="2:12" ht="14.4" thickBot="1">
      <c r="B96" s="437"/>
      <c r="C96" s="450"/>
      <c r="D96" s="449"/>
      <c r="E96" s="449"/>
      <c r="F96" s="449"/>
      <c r="G96" s="449"/>
      <c r="H96" s="448"/>
      <c r="I96" s="448"/>
      <c r="J96" s="435"/>
    </row>
    <row r="97" spans="2:10" ht="13.8">
      <c r="H97" s="447"/>
      <c r="I97" s="447"/>
    </row>
    <row r="98" spans="2:10" ht="16.2" thickBot="1">
      <c r="B98" s="446" t="s">
        <v>557</v>
      </c>
    </row>
    <row r="99" spans="2:10" ht="13.8">
      <c r="B99" s="445"/>
      <c r="C99" s="443"/>
      <c r="D99" s="444"/>
      <c r="E99" s="444"/>
      <c r="F99" s="444"/>
      <c r="G99" s="444"/>
      <c r="H99" s="443"/>
      <c r="I99" s="443"/>
      <c r="J99" s="442"/>
    </row>
    <row r="100" spans="2:10" ht="13.8">
      <c r="B100" s="441"/>
      <c r="C100" s="439"/>
      <c r="D100" s="439"/>
      <c r="E100" s="439"/>
      <c r="F100" s="439"/>
      <c r="G100" s="439"/>
      <c r="H100" s="439"/>
      <c r="I100" s="439"/>
      <c r="J100" s="438"/>
    </row>
    <row r="101" spans="2:10" ht="13.8">
      <c r="B101" s="441" t="s">
        <v>556</v>
      </c>
      <c r="C101" s="439" t="s">
        <v>550</v>
      </c>
      <c r="D101" s="440">
        <v>0</v>
      </c>
      <c r="E101" s="440">
        <v>0</v>
      </c>
      <c r="F101" s="440">
        <v>0</v>
      </c>
      <c r="G101" s="440"/>
      <c r="H101" s="439"/>
      <c r="I101" s="439"/>
      <c r="J101" s="438"/>
    </row>
    <row r="102" spans="2:10" ht="13.8">
      <c r="B102" s="441" t="s">
        <v>555</v>
      </c>
      <c r="C102" s="439" t="s">
        <v>550</v>
      </c>
      <c r="D102" s="440">
        <v>0</v>
      </c>
      <c r="E102" s="440">
        <v>0</v>
      </c>
      <c r="F102" s="440">
        <v>0</v>
      </c>
      <c r="G102" s="440"/>
      <c r="H102" s="439"/>
      <c r="I102" s="439"/>
      <c r="J102" s="438"/>
    </row>
    <row r="103" spans="2:10" ht="13.8">
      <c r="B103" s="441" t="s">
        <v>554</v>
      </c>
      <c r="C103" s="439" t="s">
        <v>550</v>
      </c>
      <c r="D103" s="440">
        <v>0</v>
      </c>
      <c r="E103" s="440">
        <v>0</v>
      </c>
      <c r="F103" s="440">
        <v>0</v>
      </c>
      <c r="G103" s="440"/>
      <c r="H103" s="439"/>
      <c r="I103" s="439"/>
      <c r="J103" s="438"/>
    </row>
    <row r="104" spans="2:10" ht="13.8">
      <c r="B104" s="441" t="s">
        <v>553</v>
      </c>
      <c r="C104" s="439" t="s">
        <v>550</v>
      </c>
      <c r="D104" s="440">
        <v>0</v>
      </c>
      <c r="E104" s="440">
        <v>0</v>
      </c>
      <c r="F104" s="440">
        <v>0</v>
      </c>
      <c r="G104" s="440"/>
      <c r="H104" s="439"/>
      <c r="I104" s="439"/>
      <c r="J104" s="438"/>
    </row>
    <row r="105" spans="2:10" ht="13.8">
      <c r="B105" s="441" t="s">
        <v>552</v>
      </c>
      <c r="C105" s="439" t="s">
        <v>550</v>
      </c>
      <c r="D105" s="440">
        <v>0</v>
      </c>
      <c r="E105" s="440">
        <v>0</v>
      </c>
      <c r="F105" s="440">
        <v>0</v>
      </c>
      <c r="G105" s="440"/>
      <c r="H105" s="439"/>
      <c r="I105" s="439"/>
      <c r="J105" s="438"/>
    </row>
    <row r="106" spans="2:10" ht="13.8">
      <c r="B106" s="441" t="s">
        <v>551</v>
      </c>
      <c r="C106" s="439" t="s">
        <v>550</v>
      </c>
      <c r="D106" s="440">
        <v>0</v>
      </c>
      <c r="E106" s="440">
        <v>0</v>
      </c>
      <c r="F106" s="440">
        <v>0</v>
      </c>
      <c r="G106" s="440"/>
      <c r="H106" s="439"/>
      <c r="I106" s="439"/>
      <c r="J106" s="438"/>
    </row>
    <row r="107" spans="2:10" ht="14.4" thickBot="1">
      <c r="B107" s="437"/>
      <c r="C107" s="436"/>
      <c r="D107" s="436"/>
      <c r="E107" s="436"/>
      <c r="F107" s="436"/>
      <c r="G107" s="436"/>
      <c r="H107" s="436"/>
      <c r="I107" s="436"/>
      <c r="J107" s="43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0DC6F-BF84-4D0C-85A2-6A5D2BAE2167}">
  <sheetPr>
    <tabColor theme="6" tint="-0.499984740745262"/>
  </sheetPr>
  <dimension ref="B3:O32"/>
  <sheetViews>
    <sheetView zoomScale="62" zoomScaleNormal="55" workbookViewId="0">
      <selection activeCell="B3" sqref="B3"/>
    </sheetView>
  </sheetViews>
  <sheetFormatPr defaultColWidth="9.109375" defaultRowHeight="13.8"/>
  <cols>
    <col min="1" max="1" width="9.109375" style="7"/>
    <col min="2" max="2" width="65.6640625" style="7" customWidth="1"/>
    <col min="3" max="3" width="33" style="7" bestFit="1" customWidth="1"/>
    <col min="4" max="4" width="11.6640625" style="7" bestFit="1" customWidth="1"/>
    <col min="5" max="5" width="12.6640625" style="7" bestFit="1" customWidth="1"/>
    <col min="6" max="6" width="13.33203125" style="7" bestFit="1" customWidth="1"/>
    <col min="7" max="7" width="12.6640625" style="7" customWidth="1"/>
    <col min="8" max="8" width="12.6640625" style="7" bestFit="1" customWidth="1"/>
    <col min="9" max="9" width="14" style="7" bestFit="1" customWidth="1"/>
    <col min="10" max="10" width="12.109375" style="7" customWidth="1"/>
    <col min="11" max="11" width="12.6640625" style="7" bestFit="1" customWidth="1"/>
    <col min="12" max="12" width="19.6640625" style="7" bestFit="1" customWidth="1"/>
    <col min="13" max="13" width="38.33203125" style="7" customWidth="1"/>
    <col min="14" max="14" width="33.44140625" style="7" customWidth="1"/>
    <col min="15" max="15" width="27" style="7" customWidth="1"/>
    <col min="16" max="16" width="8.6640625" style="7" customWidth="1"/>
    <col min="17" max="17" width="20.33203125" style="7" customWidth="1"/>
    <col min="18" max="18" width="21.88671875" style="7" customWidth="1"/>
    <col min="19" max="19" width="9.109375" style="7"/>
    <col min="20" max="20" width="15.6640625" style="7" customWidth="1"/>
    <col min="21" max="16384" width="9.109375" style="7"/>
  </cols>
  <sheetData>
    <row r="3" spans="2:15">
      <c r="B3" s="566" t="s">
        <v>664</v>
      </c>
      <c r="C3" s="565"/>
      <c r="D3" s="565"/>
      <c r="E3" s="565"/>
      <c r="F3" s="565"/>
      <c r="G3" s="565"/>
      <c r="H3" s="565"/>
      <c r="I3" s="565"/>
      <c r="J3" s="565"/>
      <c r="K3" s="565"/>
      <c r="L3" s="565"/>
    </row>
    <row r="4" spans="2:15">
      <c r="B4" s="563" t="s">
        <v>296</v>
      </c>
      <c r="C4" s="1329" t="s">
        <v>664</v>
      </c>
      <c r="D4" s="1330"/>
      <c r="E4" s="1330"/>
      <c r="F4" s="1330"/>
      <c r="G4" s="1330"/>
      <c r="H4" s="1330"/>
      <c r="I4" s="1330"/>
      <c r="J4" s="1330"/>
      <c r="K4" s="1330"/>
      <c r="L4" s="1331"/>
    </row>
    <row r="5" spans="2:15">
      <c r="B5" s="550"/>
      <c r="C5" s="552">
        <v>2015</v>
      </c>
      <c r="D5" s="552">
        <v>2020</v>
      </c>
      <c r="E5" s="564">
        <v>2030</v>
      </c>
      <c r="F5" s="552">
        <v>2050</v>
      </c>
      <c r="G5" s="1332" t="s">
        <v>290</v>
      </c>
      <c r="H5" s="1333"/>
      <c r="I5" s="1332" t="s">
        <v>289</v>
      </c>
      <c r="J5" s="1333"/>
      <c r="K5" s="563" t="s">
        <v>288</v>
      </c>
      <c r="L5" s="563" t="s">
        <v>287</v>
      </c>
    </row>
    <row r="6" spans="2:15">
      <c r="B6" s="550"/>
      <c r="C6" s="550"/>
      <c r="D6" s="550"/>
      <c r="E6" s="550"/>
      <c r="F6" s="550"/>
      <c r="G6" s="563" t="s">
        <v>284</v>
      </c>
      <c r="H6" s="563" t="s">
        <v>283</v>
      </c>
      <c r="I6" s="563" t="s">
        <v>284</v>
      </c>
      <c r="J6" s="551" t="s">
        <v>283</v>
      </c>
      <c r="K6" s="550"/>
      <c r="L6" s="550"/>
    </row>
    <row r="7" spans="2:15">
      <c r="B7" s="1326" t="s">
        <v>282</v>
      </c>
      <c r="C7" s="1327"/>
      <c r="D7" s="1327"/>
      <c r="E7" s="1327"/>
      <c r="F7" s="1327"/>
      <c r="G7" s="1327"/>
      <c r="H7" s="1327"/>
      <c r="I7" s="1327"/>
      <c r="J7" s="1327"/>
      <c r="K7" s="1327"/>
      <c r="L7" s="1328"/>
      <c r="N7" s="7" t="s">
        <v>663</v>
      </c>
    </row>
    <row r="8" spans="2:15">
      <c r="B8" s="553" t="s">
        <v>281</v>
      </c>
      <c r="C8" s="552">
        <v>100</v>
      </c>
      <c r="D8" s="552">
        <v>100</v>
      </c>
      <c r="E8" s="559">
        <v>200</v>
      </c>
      <c r="F8" s="552">
        <v>300</v>
      </c>
      <c r="G8" s="556">
        <v>0.5</v>
      </c>
      <c r="H8" s="556">
        <v>2</v>
      </c>
      <c r="I8" s="556">
        <v>0.5</v>
      </c>
      <c r="J8" s="555">
        <v>1.25</v>
      </c>
      <c r="K8" s="554" t="s">
        <v>280</v>
      </c>
      <c r="L8" s="554" t="s">
        <v>661</v>
      </c>
      <c r="N8" s="7">
        <v>130</v>
      </c>
      <c r="O8" s="7" t="s">
        <v>662</v>
      </c>
    </row>
    <row r="9" spans="2:15">
      <c r="B9" s="553" t="s">
        <v>278</v>
      </c>
      <c r="C9" s="552">
        <v>65</v>
      </c>
      <c r="D9" s="552">
        <v>65</v>
      </c>
      <c r="E9" s="559">
        <v>130</v>
      </c>
      <c r="F9" s="552">
        <v>195</v>
      </c>
      <c r="G9" s="556">
        <v>0.5</v>
      </c>
      <c r="H9" s="556">
        <v>2</v>
      </c>
      <c r="I9" s="556">
        <v>0.5</v>
      </c>
      <c r="J9" s="555">
        <v>1.25</v>
      </c>
      <c r="K9" s="554" t="s">
        <v>280</v>
      </c>
      <c r="L9" s="554" t="s">
        <v>661</v>
      </c>
    </row>
    <row r="10" spans="2:15">
      <c r="B10" s="1317" t="s">
        <v>275</v>
      </c>
      <c r="C10" s="1318"/>
      <c r="D10" s="1318"/>
      <c r="E10" s="1318"/>
      <c r="F10" s="1318"/>
      <c r="G10" s="1318"/>
      <c r="H10" s="1318"/>
      <c r="I10" s="1318"/>
      <c r="J10" s="1318"/>
      <c r="K10" s="1318"/>
      <c r="L10" s="1319"/>
      <c r="N10" s="50"/>
    </row>
    <row r="11" spans="2:15">
      <c r="B11" s="553" t="s">
        <v>660</v>
      </c>
      <c r="C11" s="557">
        <v>2.2000000000000002</v>
      </c>
      <c r="D11" s="557">
        <v>2.2000000000000002</v>
      </c>
      <c r="E11" s="561">
        <v>2</v>
      </c>
      <c r="F11" s="557">
        <v>1.8</v>
      </c>
      <c r="G11" s="556">
        <v>0.9</v>
      </c>
      <c r="H11" s="556">
        <v>1.5</v>
      </c>
      <c r="I11" s="556">
        <v>0.9</v>
      </c>
      <c r="J11" s="555">
        <v>1.2</v>
      </c>
      <c r="K11" s="550"/>
      <c r="L11" s="552">
        <v>1</v>
      </c>
      <c r="N11" s="50" t="s">
        <v>659</v>
      </c>
    </row>
    <row r="12" spans="2:15">
      <c r="B12" s="553" t="s">
        <v>658</v>
      </c>
      <c r="C12" s="557">
        <v>0.27</v>
      </c>
      <c r="D12" s="557">
        <v>0.27</v>
      </c>
      <c r="E12" s="558">
        <v>0.24</v>
      </c>
      <c r="F12" s="557">
        <v>0.22</v>
      </c>
      <c r="G12" s="556">
        <v>0</v>
      </c>
      <c r="H12" s="556">
        <v>1</v>
      </c>
      <c r="I12" s="556">
        <v>0</v>
      </c>
      <c r="J12" s="555">
        <v>1</v>
      </c>
      <c r="K12" s="554" t="s">
        <v>272</v>
      </c>
      <c r="L12" s="552">
        <v>1</v>
      </c>
      <c r="N12" s="7">
        <v>22.7</v>
      </c>
      <c r="O12" s="7" t="s">
        <v>426</v>
      </c>
    </row>
    <row r="13" spans="2:15">
      <c r="B13" s="1317" t="s">
        <v>271</v>
      </c>
      <c r="C13" s="1318"/>
      <c r="D13" s="1318"/>
      <c r="E13" s="1318"/>
      <c r="F13" s="1318"/>
      <c r="G13" s="1318"/>
      <c r="H13" s="1318"/>
      <c r="I13" s="1318"/>
      <c r="J13" s="1318"/>
      <c r="K13" s="1318"/>
      <c r="L13" s="1319"/>
      <c r="N13" s="7">
        <v>18</v>
      </c>
      <c r="O13" s="7" t="s">
        <v>657</v>
      </c>
    </row>
    <row r="14" spans="2:15">
      <c r="B14" s="553" t="s">
        <v>656</v>
      </c>
      <c r="C14" s="557">
        <v>0.75</v>
      </c>
      <c r="D14" s="557">
        <v>0.75</v>
      </c>
      <c r="E14" s="558">
        <v>0.75</v>
      </c>
      <c r="F14" s="557">
        <v>0.75</v>
      </c>
      <c r="G14" s="556">
        <v>1</v>
      </c>
      <c r="H14" s="556">
        <v>1.33</v>
      </c>
      <c r="I14" s="556">
        <v>1</v>
      </c>
      <c r="J14" s="555">
        <v>1.33</v>
      </c>
      <c r="K14" s="554" t="s">
        <v>269</v>
      </c>
      <c r="L14" s="552">
        <v>1</v>
      </c>
    </row>
    <row r="15" spans="2:15">
      <c r="B15" s="553" t="s">
        <v>655</v>
      </c>
      <c r="C15" s="557">
        <v>0.25</v>
      </c>
      <c r="D15" s="557">
        <v>0.25</v>
      </c>
      <c r="E15" s="558">
        <v>0.25</v>
      </c>
      <c r="F15" s="557">
        <v>0.25</v>
      </c>
      <c r="G15" s="556">
        <v>0</v>
      </c>
      <c r="H15" s="556">
        <v>1</v>
      </c>
      <c r="I15" s="556">
        <v>0</v>
      </c>
      <c r="J15" s="555">
        <v>1</v>
      </c>
      <c r="K15" s="554" t="s">
        <v>269</v>
      </c>
      <c r="L15" s="552">
        <v>1</v>
      </c>
    </row>
    <row r="16" spans="2:15">
      <c r="B16" s="550"/>
      <c r="C16" s="550"/>
      <c r="D16" s="550"/>
      <c r="E16" s="550"/>
      <c r="F16" s="550"/>
      <c r="G16" s="550"/>
      <c r="H16" s="550"/>
      <c r="I16" s="550"/>
      <c r="J16" s="550"/>
      <c r="K16" s="550"/>
      <c r="L16" s="550"/>
    </row>
    <row r="17" spans="2:14">
      <c r="B17" s="553" t="s">
        <v>59</v>
      </c>
      <c r="C17" s="552">
        <v>0</v>
      </c>
      <c r="D17" s="552">
        <v>0</v>
      </c>
      <c r="E17" s="552">
        <v>0</v>
      </c>
      <c r="F17" s="552">
        <v>0</v>
      </c>
      <c r="G17" s="550"/>
      <c r="H17" s="550"/>
      <c r="I17" s="550"/>
      <c r="J17" s="550"/>
      <c r="K17" s="550"/>
      <c r="L17" s="550"/>
    </row>
    <row r="18" spans="2:14">
      <c r="B18" s="553" t="s">
        <v>92</v>
      </c>
      <c r="C18" s="1320">
        <v>2</v>
      </c>
      <c r="D18" s="1321"/>
      <c r="E18" s="1321"/>
      <c r="F18" s="1322"/>
      <c r="G18" s="550"/>
      <c r="H18" s="550"/>
      <c r="I18" s="550"/>
      <c r="J18" s="550"/>
      <c r="K18" s="550"/>
      <c r="L18" s="550"/>
    </row>
    <row r="19" spans="2:14">
      <c r="B19" s="553" t="s">
        <v>58</v>
      </c>
      <c r="C19" s="1320">
        <v>25</v>
      </c>
      <c r="D19" s="1321"/>
      <c r="E19" s="1321"/>
      <c r="F19" s="1322"/>
      <c r="G19" s="550"/>
      <c r="H19" s="550"/>
      <c r="I19" s="550"/>
      <c r="J19" s="550"/>
      <c r="K19" s="550"/>
      <c r="L19" s="550"/>
    </row>
    <row r="20" spans="2:14">
      <c r="B20" s="553" t="s">
        <v>60</v>
      </c>
      <c r="C20" s="1323" t="s">
        <v>654</v>
      </c>
      <c r="D20" s="1324"/>
      <c r="E20" s="1324"/>
      <c r="F20" s="1325"/>
      <c r="G20" s="550"/>
      <c r="H20" s="550"/>
      <c r="I20" s="550"/>
      <c r="J20" s="550"/>
      <c r="K20" s="550"/>
      <c r="L20" s="550"/>
      <c r="N20" s="7" t="s">
        <v>653</v>
      </c>
    </row>
    <row r="21" spans="2:14">
      <c r="B21" s="1326" t="s">
        <v>652</v>
      </c>
      <c r="C21" s="1327"/>
      <c r="D21" s="1327"/>
      <c r="E21" s="1327"/>
      <c r="F21" s="1327"/>
      <c r="G21" s="1327"/>
      <c r="H21" s="1327"/>
      <c r="I21" s="1327"/>
      <c r="J21" s="1327"/>
      <c r="K21" s="1327"/>
      <c r="L21" s="1328"/>
      <c r="N21" s="7">
        <v>7.45</v>
      </c>
    </row>
    <row r="22" spans="2:14" ht="20.399999999999999">
      <c r="B22" s="553" t="s">
        <v>651</v>
      </c>
      <c r="C22" s="562">
        <v>2.7</v>
      </c>
      <c r="D22" s="562">
        <v>2.7</v>
      </c>
      <c r="E22" s="561">
        <v>1.5</v>
      </c>
      <c r="F22" s="557">
        <v>0.75</v>
      </c>
      <c r="G22" s="556">
        <v>0.5</v>
      </c>
      <c r="H22" s="556">
        <v>1</v>
      </c>
      <c r="I22" s="556">
        <v>0.8</v>
      </c>
      <c r="J22" s="555">
        <v>1.2</v>
      </c>
      <c r="K22" s="550"/>
      <c r="L22" s="560" t="s">
        <v>649</v>
      </c>
    </row>
    <row r="23" spans="2:14" ht="20.399999999999999">
      <c r="B23" s="553" t="s">
        <v>650</v>
      </c>
      <c r="C23" s="562">
        <f>C22*$N$8/C9</f>
        <v>5.4</v>
      </c>
      <c r="D23" s="562">
        <f>D22*$N$8/D9</f>
        <v>5.4</v>
      </c>
      <c r="E23" s="561">
        <f>E22*$N$8/E9*E9/D9</f>
        <v>3</v>
      </c>
      <c r="F23" s="561">
        <f>F22*$N$8/F9*F9/D9</f>
        <v>1.5</v>
      </c>
      <c r="G23" s="556">
        <v>0.5</v>
      </c>
      <c r="H23" s="556">
        <v>1</v>
      </c>
      <c r="I23" s="556">
        <v>0.8</v>
      </c>
      <c r="J23" s="555">
        <v>1.2</v>
      </c>
      <c r="K23" s="550"/>
      <c r="L23" s="560" t="s">
        <v>649</v>
      </c>
    </row>
    <row r="24" spans="2:14">
      <c r="B24" s="553" t="s">
        <v>252</v>
      </c>
      <c r="C24" s="552">
        <v>75</v>
      </c>
      <c r="D24" s="552">
        <v>75</v>
      </c>
      <c r="E24" s="559">
        <v>75</v>
      </c>
      <c r="F24" s="552">
        <v>75</v>
      </c>
      <c r="G24" s="550"/>
      <c r="H24" s="550"/>
      <c r="I24" s="550"/>
      <c r="J24" s="550"/>
      <c r="K24" s="550"/>
      <c r="L24" s="550"/>
    </row>
    <row r="25" spans="2:14">
      <c r="B25" s="553" t="s">
        <v>648</v>
      </c>
      <c r="C25" s="552">
        <v>25</v>
      </c>
      <c r="D25" s="552">
        <v>25</v>
      </c>
      <c r="E25" s="559">
        <v>25</v>
      </c>
      <c r="F25" s="552">
        <v>25</v>
      </c>
      <c r="G25" s="550"/>
      <c r="H25" s="550"/>
      <c r="I25" s="550"/>
      <c r="J25" s="550"/>
      <c r="K25" s="550"/>
      <c r="L25" s="550"/>
    </row>
    <row r="26" spans="2:14">
      <c r="B26" s="553" t="s">
        <v>647</v>
      </c>
      <c r="C26" s="557">
        <v>0.03</v>
      </c>
      <c r="D26" s="557">
        <v>0.03</v>
      </c>
      <c r="E26" s="558">
        <v>0.02</v>
      </c>
      <c r="F26" s="557">
        <v>0.02</v>
      </c>
      <c r="G26" s="556">
        <v>0.9</v>
      </c>
      <c r="H26" s="556">
        <v>1.1000000000000001</v>
      </c>
      <c r="I26" s="556">
        <v>0.9</v>
      </c>
      <c r="J26" s="555">
        <v>1.1000000000000001</v>
      </c>
      <c r="K26" s="554" t="s">
        <v>266</v>
      </c>
      <c r="L26" s="552">
        <v>1</v>
      </c>
    </row>
    <row r="27" spans="2:14">
      <c r="B27" s="553" t="s">
        <v>646</v>
      </c>
      <c r="C27" s="557">
        <f>C26*$N$8/C9</f>
        <v>0.06</v>
      </c>
      <c r="D27" s="557">
        <f>D26*$N$8/D9</f>
        <v>0.06</v>
      </c>
      <c r="E27" s="557">
        <f>E26*$N$8/E9*E9/D9</f>
        <v>0.04</v>
      </c>
      <c r="F27" s="557">
        <f>F26*$N$8/F9*F9/D9</f>
        <v>0.04</v>
      </c>
      <c r="G27" s="556">
        <v>0.9</v>
      </c>
      <c r="H27" s="556">
        <v>1.1000000000000001</v>
      </c>
      <c r="I27" s="556">
        <v>0.9</v>
      </c>
      <c r="J27" s="555">
        <v>1.1000000000000001</v>
      </c>
      <c r="K27" s="554" t="s">
        <v>266</v>
      </c>
      <c r="L27" s="552">
        <v>1</v>
      </c>
    </row>
    <row r="28" spans="2:14">
      <c r="B28" s="553" t="s">
        <v>645</v>
      </c>
      <c r="C28" s="557">
        <v>0.09</v>
      </c>
      <c r="D28" s="557">
        <v>0.09</v>
      </c>
      <c r="E28" s="558">
        <v>0.06</v>
      </c>
      <c r="F28" s="557">
        <v>0.06</v>
      </c>
      <c r="G28" s="556">
        <v>0.9</v>
      </c>
      <c r="H28" s="556">
        <v>1.1000000000000001</v>
      </c>
      <c r="I28" s="556">
        <v>0.9</v>
      </c>
      <c r="J28" s="555">
        <v>1.1000000000000001</v>
      </c>
      <c r="K28" s="554" t="s">
        <v>266</v>
      </c>
      <c r="L28" s="552">
        <v>1</v>
      </c>
    </row>
    <row r="29" spans="2:14">
      <c r="B29" s="553" t="s">
        <v>644</v>
      </c>
      <c r="C29" s="557">
        <f>C28/$N$13*1000</f>
        <v>5</v>
      </c>
      <c r="D29" s="557">
        <f>D28/$N$13*1000</f>
        <v>5</v>
      </c>
      <c r="E29" s="557">
        <f>E28/$N$13*1000</f>
        <v>3.333333333333333</v>
      </c>
      <c r="F29" s="557">
        <f>F28/$N$13*1000</f>
        <v>3.333333333333333</v>
      </c>
      <c r="G29" s="556">
        <v>0.9</v>
      </c>
      <c r="H29" s="556">
        <v>1.1000000000000001</v>
      </c>
      <c r="I29" s="556">
        <v>0.9</v>
      </c>
      <c r="J29" s="555">
        <v>1.1000000000000001</v>
      </c>
      <c r="K29" s="554" t="s">
        <v>266</v>
      </c>
      <c r="L29" s="552">
        <v>1</v>
      </c>
    </row>
    <row r="30" spans="2:14">
      <c r="B30" s="553" t="s">
        <v>643</v>
      </c>
      <c r="C30" s="552">
        <v>0</v>
      </c>
      <c r="D30" s="552">
        <v>0</v>
      </c>
      <c r="E30" s="552">
        <v>0</v>
      </c>
      <c r="F30" s="552">
        <v>0</v>
      </c>
      <c r="G30" s="550"/>
      <c r="H30" s="550"/>
      <c r="I30" s="550"/>
      <c r="J30" s="550"/>
      <c r="K30" s="550"/>
      <c r="L30" s="550"/>
    </row>
    <row r="31" spans="2:14">
      <c r="B31" s="551" t="s">
        <v>642</v>
      </c>
      <c r="C31" s="550"/>
      <c r="D31" s="550"/>
      <c r="E31" s="550"/>
      <c r="F31" s="550"/>
      <c r="G31" s="550"/>
      <c r="H31" s="550"/>
      <c r="I31" s="550"/>
      <c r="J31" s="550"/>
      <c r="K31" s="550"/>
      <c r="L31" s="550"/>
    </row>
    <row r="32" spans="2:14">
      <c r="B32" s="550"/>
      <c r="C32" s="550"/>
      <c r="D32" s="550"/>
      <c r="E32" s="550"/>
      <c r="F32" s="550"/>
      <c r="G32" s="550"/>
      <c r="H32" s="550"/>
      <c r="I32" s="550"/>
      <c r="J32" s="550"/>
      <c r="K32" s="550"/>
      <c r="L32" s="550"/>
    </row>
  </sheetData>
  <mergeCells count="10">
    <mergeCell ref="C4:L4"/>
    <mergeCell ref="G5:H5"/>
    <mergeCell ref="I5:J5"/>
    <mergeCell ref="B7:L7"/>
    <mergeCell ref="B10:L10"/>
    <mergeCell ref="B13:L13"/>
    <mergeCell ref="C18:F18"/>
    <mergeCell ref="C19:F19"/>
    <mergeCell ref="C20:F20"/>
    <mergeCell ref="B21:L21"/>
  </mergeCells>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A8D05-D44E-4614-8A66-27E4E663742D}">
  <sheetPr>
    <tabColor theme="3" tint="0.59999389629810485"/>
  </sheetPr>
  <dimension ref="A1:V80"/>
  <sheetViews>
    <sheetView zoomScale="85" zoomScaleNormal="85" workbookViewId="0">
      <selection activeCell="G30" sqref="G30"/>
    </sheetView>
  </sheetViews>
  <sheetFormatPr defaultColWidth="9.109375" defaultRowHeight="13.2"/>
  <cols>
    <col min="1" max="1" width="4.44140625" style="69" customWidth="1"/>
    <col min="2" max="2" width="1" style="69" customWidth="1"/>
    <col min="3" max="5" width="0" style="69" hidden="1" customWidth="1"/>
    <col min="6" max="6" width="43.44140625" style="69" customWidth="1"/>
    <col min="7" max="7" width="9" style="69" customWidth="1"/>
    <col min="8" max="8" width="9.109375" style="69" customWidth="1"/>
    <col min="9" max="9" width="8.33203125" style="69" customWidth="1"/>
    <col min="10" max="13" width="8.44140625" style="69" customWidth="1"/>
    <col min="14" max="14" width="8.109375" style="69" customWidth="1"/>
    <col min="15" max="15" width="6.44140625" style="69" customWidth="1"/>
    <col min="16" max="16" width="9.88671875" style="69" customWidth="1"/>
    <col min="17" max="17" width="9.109375" style="69"/>
    <col min="18" max="18" width="30.88671875" style="69" bestFit="1" customWidth="1"/>
    <col min="19" max="16384" width="9.109375" style="69"/>
  </cols>
  <sheetData>
    <row r="1" spans="1:22" ht="21">
      <c r="A1" s="567"/>
      <c r="F1" s="650" t="s">
        <v>749</v>
      </c>
      <c r="G1" s="1344" t="s">
        <v>747</v>
      </c>
      <c r="H1" s="1345"/>
      <c r="I1" s="1345"/>
      <c r="J1" s="1345"/>
      <c r="K1" s="1345"/>
      <c r="L1" s="1345"/>
      <c r="M1" s="1345"/>
      <c r="N1" s="1345"/>
      <c r="O1" s="1345"/>
      <c r="P1" s="649"/>
    </row>
    <row r="2" spans="1:22">
      <c r="A2" s="567"/>
      <c r="R2" s="69" t="s">
        <v>748</v>
      </c>
    </row>
    <row r="3" spans="1:22">
      <c r="A3" s="567"/>
      <c r="F3" s="618" t="s">
        <v>296</v>
      </c>
      <c r="G3" s="1346" t="s">
        <v>747</v>
      </c>
      <c r="H3" s="1347"/>
      <c r="I3" s="1347"/>
      <c r="J3" s="1347"/>
      <c r="K3" s="1347"/>
      <c r="L3" s="1347"/>
      <c r="M3" s="1347"/>
      <c r="N3" s="1347"/>
      <c r="O3" s="1347"/>
      <c r="P3" s="1348"/>
      <c r="R3" s="303"/>
      <c r="S3" s="142" t="s">
        <v>746</v>
      </c>
      <c r="T3" s="302" t="s">
        <v>745</v>
      </c>
    </row>
    <row r="4" spans="1:22">
      <c r="A4" s="567"/>
      <c r="F4" s="609"/>
      <c r="G4" s="648">
        <v>2015</v>
      </c>
      <c r="H4" s="648">
        <v>2020</v>
      </c>
      <c r="I4" s="648">
        <v>2030</v>
      </c>
      <c r="J4" s="648">
        <v>2050</v>
      </c>
      <c r="K4" s="1346" t="s">
        <v>290</v>
      </c>
      <c r="L4" s="1349"/>
      <c r="M4" s="1346" t="s">
        <v>289</v>
      </c>
      <c r="N4" s="1349"/>
      <c r="O4" s="648" t="s">
        <v>288</v>
      </c>
      <c r="P4" s="648" t="s">
        <v>287</v>
      </c>
      <c r="R4" s="315" t="s">
        <v>744</v>
      </c>
      <c r="S4" s="69" t="s">
        <v>743</v>
      </c>
      <c r="T4" s="314">
        <v>0.47</v>
      </c>
    </row>
    <row r="5" spans="1:22">
      <c r="A5" s="567"/>
      <c r="F5" s="647" t="s">
        <v>282</v>
      </c>
      <c r="G5" s="594"/>
      <c r="H5" s="594"/>
      <c r="I5" s="594"/>
      <c r="J5" s="594"/>
      <c r="K5" s="594" t="s">
        <v>284</v>
      </c>
      <c r="L5" s="594" t="s">
        <v>283</v>
      </c>
      <c r="M5" s="594" t="s">
        <v>284</v>
      </c>
      <c r="N5" s="594" t="s">
        <v>283</v>
      </c>
      <c r="O5" s="594"/>
      <c r="P5" s="646"/>
      <c r="R5" s="315" t="s">
        <v>742</v>
      </c>
      <c r="S5" s="69" t="s">
        <v>725</v>
      </c>
      <c r="T5" s="314">
        <v>6</v>
      </c>
    </row>
    <row r="6" spans="1:22">
      <c r="A6" s="567"/>
      <c r="F6" s="645" t="s">
        <v>741</v>
      </c>
      <c r="K6" s="644"/>
      <c r="L6" s="644"/>
      <c r="M6" s="644"/>
      <c r="N6" s="644"/>
      <c r="R6" s="315" t="s">
        <v>740</v>
      </c>
      <c r="S6" s="69" t="s">
        <v>725</v>
      </c>
      <c r="T6" s="314">
        <v>1.21</v>
      </c>
    </row>
    <row r="7" spans="1:22">
      <c r="A7" s="567"/>
      <c r="F7" s="613" t="s">
        <v>739</v>
      </c>
      <c r="G7" s="638">
        <v>9.2417432910061201</v>
      </c>
      <c r="H7" s="638">
        <v>8.6829269484640879</v>
      </c>
      <c r="I7" s="638">
        <v>8.6829269484640879</v>
      </c>
      <c r="J7" s="638">
        <v>8.6829269484640879</v>
      </c>
      <c r="K7" s="638">
        <v>8.3175689619055078</v>
      </c>
      <c r="L7" s="638">
        <v>9.5512196433104979</v>
      </c>
      <c r="M7" s="638">
        <v>8.3175689619055078</v>
      </c>
      <c r="N7" s="638">
        <v>9.5512196433104979</v>
      </c>
      <c r="O7" s="588" t="s">
        <v>694</v>
      </c>
      <c r="P7" s="624"/>
      <c r="R7" s="315" t="s">
        <v>671</v>
      </c>
      <c r="S7" s="69" t="s">
        <v>725</v>
      </c>
      <c r="T7" s="314">
        <v>2.83</v>
      </c>
    </row>
    <row r="8" spans="1:22">
      <c r="A8" s="567"/>
      <c r="F8" s="245"/>
      <c r="G8" s="245"/>
      <c r="H8" s="245"/>
      <c r="I8" s="643"/>
      <c r="J8" s="588"/>
      <c r="K8" s="588"/>
      <c r="L8" s="588"/>
      <c r="M8" s="588"/>
      <c r="N8" s="588"/>
      <c r="O8" s="588"/>
      <c r="P8" s="588"/>
      <c r="R8" s="315" t="s">
        <v>738</v>
      </c>
      <c r="S8" s="69" t="s">
        <v>725</v>
      </c>
      <c r="T8" s="314">
        <v>74.8</v>
      </c>
    </row>
    <row r="9" spans="1:22">
      <c r="A9" s="567"/>
      <c r="F9" s="642" t="s">
        <v>737</v>
      </c>
      <c r="G9" s="588"/>
      <c r="H9" s="588"/>
      <c r="I9" s="588"/>
      <c r="J9" s="588"/>
      <c r="K9" s="588"/>
      <c r="L9" s="588"/>
      <c r="M9" s="588"/>
      <c r="N9" s="588"/>
      <c r="O9" s="588"/>
      <c r="P9" s="588"/>
      <c r="R9" s="315" t="s">
        <v>736</v>
      </c>
      <c r="S9" s="69" t="s">
        <v>725</v>
      </c>
      <c r="T9" s="314">
        <v>60.7</v>
      </c>
    </row>
    <row r="10" spans="1:22">
      <c r="A10" s="567"/>
      <c r="F10" s="615" t="s">
        <v>735</v>
      </c>
      <c r="G10" s="641">
        <v>365000</v>
      </c>
      <c r="H10" s="641">
        <v>365000</v>
      </c>
      <c r="I10" s="641">
        <v>365000</v>
      </c>
      <c r="J10" s="641">
        <v>365000</v>
      </c>
      <c r="K10" s="641">
        <v>365000</v>
      </c>
      <c r="L10" s="641">
        <v>365000</v>
      </c>
      <c r="M10" s="641">
        <v>365000</v>
      </c>
      <c r="N10" s="641">
        <v>365000</v>
      </c>
      <c r="O10" s="588" t="s">
        <v>734</v>
      </c>
      <c r="P10" s="624" t="s">
        <v>727</v>
      </c>
      <c r="R10" s="315" t="s">
        <v>272</v>
      </c>
      <c r="S10" s="69" t="s">
        <v>725</v>
      </c>
      <c r="T10" s="314">
        <v>34.5</v>
      </c>
    </row>
    <row r="11" spans="1:22">
      <c r="A11" s="567"/>
      <c r="F11" s="631" t="s">
        <v>733</v>
      </c>
      <c r="G11" s="638">
        <v>3.6969498399920031</v>
      </c>
      <c r="H11" s="638">
        <v>3.8195864970641451</v>
      </c>
      <c r="I11" s="638">
        <v>3.8195864970641451</v>
      </c>
      <c r="J11" s="638">
        <v>3.8195864970641451</v>
      </c>
      <c r="K11" s="638">
        <v>1.9194756290809074</v>
      </c>
      <c r="L11" s="638">
        <v>6.7181647017831763</v>
      </c>
      <c r="M11" s="638">
        <v>1.9194756290809074</v>
      </c>
      <c r="N11" s="638">
        <v>6.7181647017831763</v>
      </c>
      <c r="O11" s="622" t="s">
        <v>694</v>
      </c>
      <c r="P11" s="624" t="s">
        <v>727</v>
      </c>
      <c r="R11" s="315" t="s">
        <v>732</v>
      </c>
      <c r="S11" s="69" t="s">
        <v>729</v>
      </c>
      <c r="T11" s="314">
        <v>31</v>
      </c>
    </row>
    <row r="12" spans="1:22">
      <c r="A12" s="567"/>
      <c r="F12" s="640" t="s">
        <v>731</v>
      </c>
      <c r="G12" s="638">
        <v>8.1999027314237374</v>
      </c>
      <c r="H12" s="638">
        <v>7.9596457265634744</v>
      </c>
      <c r="I12" s="638">
        <v>7.9596457265634744</v>
      </c>
      <c r="J12" s="638">
        <v>7.9596457265634744</v>
      </c>
      <c r="K12" s="638">
        <f>K11*G12/G11</f>
        <v>4.257432244153974</v>
      </c>
      <c r="L12" s="638">
        <f>L11*H12/H11</f>
        <v>14</v>
      </c>
      <c r="M12" s="638">
        <f>M11*I12/I11</f>
        <v>4</v>
      </c>
      <c r="N12" s="638">
        <f>N11*J12/J11</f>
        <v>14</v>
      </c>
      <c r="O12" s="622"/>
      <c r="P12" s="624"/>
      <c r="R12" s="315" t="s">
        <v>730</v>
      </c>
      <c r="S12" s="69" t="s">
        <v>729</v>
      </c>
      <c r="T12" s="314">
        <v>90.8</v>
      </c>
    </row>
    <row r="13" spans="1:22">
      <c r="A13" s="567"/>
      <c r="F13" s="245" t="s">
        <v>728</v>
      </c>
      <c r="G13" s="638">
        <v>8.3858637444973674</v>
      </c>
      <c r="H13" s="638">
        <v>8.9255616752262199</v>
      </c>
      <c r="I13" s="638">
        <v>8.9255616752262199</v>
      </c>
      <c r="J13" s="638">
        <v>8.9255616752262199</v>
      </c>
      <c r="K13" s="638">
        <v>7.1980336090534029</v>
      </c>
      <c r="L13" s="638">
        <v>11.996722681755671</v>
      </c>
      <c r="M13" s="638">
        <v>7.1980336090534029</v>
      </c>
      <c r="N13" s="638">
        <v>11.996722681755671</v>
      </c>
      <c r="O13" s="597" t="s">
        <v>694</v>
      </c>
      <c r="P13" s="624" t="s">
        <v>727</v>
      </c>
      <c r="R13" s="315" t="s">
        <v>726</v>
      </c>
      <c r="S13" s="69" t="s">
        <v>725</v>
      </c>
      <c r="T13" s="314">
        <v>4.2</v>
      </c>
    </row>
    <row r="14" spans="1:22" ht="14.4">
      <c r="A14" s="567"/>
      <c r="F14" s="639" t="s">
        <v>724</v>
      </c>
      <c r="G14" s="638">
        <v>18.600000000000001</v>
      </c>
      <c r="H14" s="638">
        <v>18.600000000000001</v>
      </c>
      <c r="I14" s="638">
        <v>18.600000000000001</v>
      </c>
      <c r="J14" s="638">
        <v>18.600000000000001</v>
      </c>
      <c r="K14" s="638">
        <f>K13*G14/G13</f>
        <v>15.965370915577404</v>
      </c>
      <c r="L14" s="638">
        <f>L13*H14/H13</f>
        <v>25</v>
      </c>
      <c r="M14" s="638">
        <f>M13*I14/I13</f>
        <v>15</v>
      </c>
      <c r="N14" s="638">
        <f>N13*J14/J13</f>
        <v>25</v>
      </c>
      <c r="O14" s="597"/>
      <c r="P14" s="245"/>
      <c r="R14" s="317" t="s">
        <v>723</v>
      </c>
      <c r="S14" s="70" t="s">
        <v>580</v>
      </c>
      <c r="T14" s="637">
        <f>(1002-66)/1002</f>
        <v>0.93413173652694614</v>
      </c>
    </row>
    <row r="15" spans="1:22" ht="14.4">
      <c r="A15" s="567"/>
      <c r="F15" s="615"/>
      <c r="G15" s="636"/>
      <c r="H15" s="636"/>
      <c r="I15" s="636"/>
      <c r="J15" s="636"/>
      <c r="K15" s="635"/>
      <c r="L15" s="635"/>
      <c r="M15" s="622"/>
      <c r="N15" s="622"/>
      <c r="O15" s="622"/>
      <c r="P15" s="622"/>
      <c r="R15" s="634" t="s">
        <v>722</v>
      </c>
      <c r="T15" s="630"/>
    </row>
    <row r="16" spans="1:22" ht="14.4">
      <c r="A16" s="567"/>
      <c r="F16" s="633" t="s">
        <v>721</v>
      </c>
      <c r="G16" s="632"/>
      <c r="H16" s="632"/>
      <c r="I16" s="631"/>
      <c r="J16" s="631"/>
      <c r="K16" s="622"/>
      <c r="L16" s="622"/>
      <c r="M16" s="622"/>
      <c r="N16" s="622"/>
      <c r="O16" s="622"/>
      <c r="P16" s="623"/>
      <c r="T16" s="630"/>
      <c r="V16" s="629"/>
    </row>
    <row r="17" spans="1:19">
      <c r="A17" s="567"/>
      <c r="F17" s="628" t="s">
        <v>720</v>
      </c>
      <c r="G17" s="608">
        <v>100</v>
      </c>
      <c r="H17" s="608">
        <v>100</v>
      </c>
      <c r="I17" s="608">
        <v>100</v>
      </c>
      <c r="J17" s="608">
        <v>100</v>
      </c>
      <c r="K17" s="608">
        <v>95.792225493464429</v>
      </c>
      <c r="L17" s="608">
        <v>110.00000000000001</v>
      </c>
      <c r="M17" s="627">
        <v>95.792225493464429</v>
      </c>
      <c r="N17" s="627">
        <v>110.00000000000001</v>
      </c>
      <c r="O17" s="622" t="s">
        <v>255</v>
      </c>
      <c r="P17" s="626"/>
      <c r="R17" s="69" t="s">
        <v>719</v>
      </c>
      <c r="S17" s="69" t="s">
        <v>718</v>
      </c>
    </row>
    <row r="18" spans="1:19">
      <c r="A18" s="567"/>
      <c r="F18" s="615" t="s">
        <v>717</v>
      </c>
      <c r="G18" s="625">
        <v>0.79848662034292872</v>
      </c>
      <c r="H18" s="625">
        <v>0.75020488834729715</v>
      </c>
      <c r="I18" s="625">
        <v>0.75020488834729715</v>
      </c>
      <c r="J18" s="625">
        <v>0.75020488834729715</v>
      </c>
      <c r="K18" s="625">
        <v>0.71863795830863586</v>
      </c>
      <c r="L18" s="625">
        <v>0.82522537718202693</v>
      </c>
      <c r="M18" s="625">
        <v>0.71863795830863586</v>
      </c>
      <c r="N18" s="625">
        <v>0.82522537718202693</v>
      </c>
      <c r="O18" s="622" t="s">
        <v>389</v>
      </c>
      <c r="P18" s="624" t="s">
        <v>716</v>
      </c>
      <c r="R18" s="245" t="s">
        <v>715</v>
      </c>
      <c r="S18" s="245">
        <v>12.93</v>
      </c>
    </row>
    <row r="19" spans="1:19">
      <c r="A19" s="567"/>
      <c r="F19" s="615" t="s">
        <v>714</v>
      </c>
      <c r="G19" s="245"/>
      <c r="H19" s="245"/>
      <c r="I19" s="245"/>
      <c r="J19" s="245"/>
      <c r="K19" s="245"/>
      <c r="L19" s="245"/>
      <c r="M19" s="245"/>
      <c r="N19" s="245"/>
      <c r="O19" s="622" t="s">
        <v>673</v>
      </c>
      <c r="P19" s="623"/>
    </row>
    <row r="20" spans="1:19">
      <c r="A20" s="567"/>
      <c r="F20" s="615"/>
      <c r="G20" s="245"/>
      <c r="H20" s="245"/>
      <c r="I20" s="245"/>
      <c r="J20" s="245"/>
      <c r="K20" s="245"/>
      <c r="L20" s="245"/>
      <c r="M20" s="245"/>
      <c r="N20" s="245"/>
      <c r="O20" s="622"/>
      <c r="P20" s="623"/>
      <c r="R20" s="245" t="s">
        <v>713</v>
      </c>
      <c r="S20" s="245">
        <f>S18*(1-T14)</f>
        <v>0.85167664670658638</v>
      </c>
    </row>
    <row r="21" spans="1:19">
      <c r="A21" s="567"/>
      <c r="F21" s="615" t="s">
        <v>59</v>
      </c>
      <c r="G21" s="622">
        <v>0</v>
      </c>
      <c r="H21" s="622">
        <v>0</v>
      </c>
      <c r="I21" s="621">
        <v>0</v>
      </c>
      <c r="J21" s="620">
        <v>0</v>
      </c>
      <c r="K21" s="622"/>
      <c r="L21" s="622"/>
      <c r="M21" s="622"/>
      <c r="N21" s="622"/>
      <c r="O21" s="622"/>
      <c r="P21" s="623"/>
    </row>
    <row r="22" spans="1:19">
      <c r="A22" s="567"/>
      <c r="F22" s="615" t="s">
        <v>712</v>
      </c>
      <c r="G22" s="622">
        <v>10</v>
      </c>
      <c r="H22" s="622">
        <v>10</v>
      </c>
      <c r="I22" s="621">
        <v>10</v>
      </c>
      <c r="J22" s="620">
        <v>10</v>
      </c>
      <c r="K22" s="622"/>
      <c r="L22" s="622"/>
      <c r="M22" s="622"/>
      <c r="N22" s="622"/>
      <c r="O22" s="622"/>
      <c r="P22" s="622"/>
    </row>
    <row r="23" spans="1:19">
      <c r="A23" s="567"/>
      <c r="F23" s="613" t="s">
        <v>58</v>
      </c>
      <c r="G23" s="622">
        <v>20</v>
      </c>
      <c r="H23" s="622">
        <v>20</v>
      </c>
      <c r="I23" s="621">
        <v>20</v>
      </c>
      <c r="J23" s="620">
        <v>20</v>
      </c>
      <c r="K23" s="588"/>
      <c r="L23" s="588"/>
      <c r="M23" s="588"/>
      <c r="N23" s="588"/>
      <c r="O23" s="588"/>
      <c r="P23" s="588"/>
    </row>
    <row r="24" spans="1:19">
      <c r="A24" s="567"/>
      <c r="F24" s="613" t="s">
        <v>60</v>
      </c>
      <c r="G24" s="622">
        <v>1</v>
      </c>
      <c r="H24" s="622">
        <v>1</v>
      </c>
      <c r="I24" s="621">
        <v>1</v>
      </c>
      <c r="J24" s="620">
        <v>1</v>
      </c>
      <c r="K24" s="588"/>
      <c r="L24" s="588"/>
      <c r="M24" s="588"/>
      <c r="N24" s="588"/>
      <c r="O24" s="588"/>
      <c r="P24" s="588"/>
    </row>
    <row r="25" spans="1:19">
      <c r="A25" s="567"/>
      <c r="F25" s="613"/>
      <c r="G25" s="588"/>
      <c r="H25" s="588"/>
      <c r="I25" s="588"/>
      <c r="J25" s="588"/>
      <c r="K25" s="588"/>
      <c r="L25" s="588"/>
      <c r="M25" s="588"/>
      <c r="N25" s="588"/>
      <c r="O25" s="588"/>
      <c r="P25" s="588"/>
    </row>
    <row r="26" spans="1:19">
      <c r="A26" s="567"/>
      <c r="F26" s="618" t="s">
        <v>264</v>
      </c>
      <c r="G26" s="618"/>
      <c r="H26" s="618"/>
      <c r="I26" s="618"/>
      <c r="J26" s="618"/>
      <c r="K26" s="618"/>
      <c r="L26" s="618"/>
      <c r="M26" s="618"/>
      <c r="N26" s="618"/>
      <c r="O26" s="619"/>
      <c r="P26" s="618"/>
    </row>
    <row r="27" spans="1:19">
      <c r="A27" s="567"/>
      <c r="F27" s="613" t="s">
        <v>711</v>
      </c>
      <c r="G27" s="617">
        <v>1.8141415733691493</v>
      </c>
      <c r="H27" s="617">
        <v>1.7106920331911744</v>
      </c>
      <c r="I27" s="617">
        <v>1.5396228298720569</v>
      </c>
      <c r="J27" s="617">
        <v>1.3856605468848513</v>
      </c>
      <c r="K27" s="617">
        <v>1.5396228298720569</v>
      </c>
      <c r="L27" s="617">
        <v>1.9007689257679714</v>
      </c>
      <c r="M27" s="617">
        <v>1.2470944921963663</v>
      </c>
      <c r="N27" s="617">
        <v>1.5396228298720569</v>
      </c>
      <c r="O27" s="588" t="s">
        <v>710</v>
      </c>
      <c r="P27" s="616" t="s">
        <v>709</v>
      </c>
    </row>
    <row r="28" spans="1:19">
      <c r="A28" s="567"/>
      <c r="F28" s="615" t="s">
        <v>708</v>
      </c>
      <c r="G28" s="614" t="s">
        <v>706</v>
      </c>
      <c r="H28" s="614" t="s">
        <v>706</v>
      </c>
      <c r="I28" s="588"/>
      <c r="J28" s="588"/>
      <c r="K28" s="588"/>
      <c r="L28" s="588"/>
      <c r="M28" s="588"/>
      <c r="N28" s="588"/>
      <c r="O28" s="588"/>
      <c r="P28" s="588"/>
    </row>
    <row r="29" spans="1:19">
      <c r="A29" s="567"/>
      <c r="F29" s="613" t="s">
        <v>707</v>
      </c>
      <c r="G29" s="614" t="s">
        <v>706</v>
      </c>
      <c r="H29" s="614" t="s">
        <v>706</v>
      </c>
      <c r="I29" s="588"/>
      <c r="J29" s="588"/>
      <c r="K29" s="588"/>
      <c r="L29" s="588"/>
      <c r="M29" s="588"/>
      <c r="N29" s="588"/>
      <c r="O29" s="588"/>
      <c r="P29" s="588"/>
    </row>
    <row r="30" spans="1:19">
      <c r="A30" s="567"/>
      <c r="F30" s="613" t="s">
        <v>705</v>
      </c>
      <c r="G30" s="608">
        <f t="shared" ref="G30:N30" si="0">G31*$G$10/G7</f>
        <v>198785.17939696187</v>
      </c>
      <c r="H30" s="608">
        <f t="shared" si="0"/>
        <v>194715.0214064848</v>
      </c>
      <c r="I30" s="608">
        <f t="shared" si="0"/>
        <v>197702.43921954936</v>
      </c>
      <c r="J30" s="608">
        <f t="shared" si="0"/>
        <v>195722.30695110411</v>
      </c>
      <c r="K30" s="608">
        <f t="shared" si="0"/>
        <v>154397.58718954289</v>
      </c>
      <c r="L30" s="608">
        <f t="shared" si="0"/>
        <v>245575.03674852804</v>
      </c>
      <c r="M30" s="608">
        <f t="shared" si="0"/>
        <v>150000.99028005442</v>
      </c>
      <c r="N30" s="608">
        <f t="shared" si="0"/>
        <v>252438.88699442198</v>
      </c>
      <c r="O30" s="588"/>
      <c r="P30" s="588"/>
    </row>
    <row r="31" spans="1:19">
      <c r="A31" s="567"/>
      <c r="F31" s="609" t="s">
        <v>704</v>
      </c>
      <c r="G31" s="604">
        <f t="shared" ref="G31:N31" si="1">SUM(G32:G34)</f>
        <v>5.0332098576529329</v>
      </c>
      <c r="H31" s="604">
        <f t="shared" si="1"/>
        <v>4.6320446757291194</v>
      </c>
      <c r="I31" s="604">
        <f t="shared" si="1"/>
        <v>4.7031118829493384</v>
      </c>
      <c r="J31" s="604">
        <f t="shared" si="1"/>
        <v>4.6560068313460325</v>
      </c>
      <c r="K31" s="612">
        <f t="shared" si="1"/>
        <v>3.5183906273995653</v>
      </c>
      <c r="L31" s="612">
        <f t="shared" si="1"/>
        <v>6.4261400408198313</v>
      </c>
      <c r="M31" s="612">
        <f t="shared" si="1"/>
        <v>3.4182015918040287</v>
      </c>
      <c r="N31" s="612">
        <f t="shared" si="1"/>
        <v>6.6057513868398958</v>
      </c>
      <c r="O31" s="588" t="s">
        <v>702</v>
      </c>
      <c r="P31" s="611" t="s">
        <v>701</v>
      </c>
    </row>
    <row r="32" spans="1:19">
      <c r="A32" s="567"/>
      <c r="F32" s="610" t="s">
        <v>703</v>
      </c>
      <c r="G32" s="604">
        <v>4.1066159855732369</v>
      </c>
      <c r="H32" s="604">
        <v>3.6728291205962398</v>
      </c>
      <c r="I32" s="604">
        <v>3.4891876645664275</v>
      </c>
      <c r="J32" s="604">
        <v>3.3147282813381058</v>
      </c>
      <c r="K32" s="612">
        <v>2.8146278025529408</v>
      </c>
      <c r="L32" s="612">
        <v>5.0501400408198309</v>
      </c>
      <c r="M32" s="612">
        <v>2.5402015918040286</v>
      </c>
      <c r="N32" s="612">
        <v>4.5577513868398958</v>
      </c>
      <c r="O32" s="588" t="s">
        <v>702</v>
      </c>
      <c r="P32" s="611" t="s">
        <v>701</v>
      </c>
    </row>
    <row r="33" spans="1:16">
      <c r="A33" s="567"/>
      <c r="F33" s="610" t="s">
        <v>700</v>
      </c>
      <c r="G33" s="604">
        <f>G12*0.063</f>
        <v>0.51659387207969543</v>
      </c>
      <c r="H33" s="604">
        <f>H12*0.069</f>
        <v>0.54921555513287978</v>
      </c>
      <c r="I33" s="604">
        <f>I12*0.101</f>
        <v>0.80392421838291095</v>
      </c>
      <c r="J33" s="604">
        <f>J12*0.117</f>
        <v>0.93127855000792659</v>
      </c>
      <c r="K33" s="604">
        <f>K12*0.069</f>
        <v>0.29376282484662425</v>
      </c>
      <c r="L33" s="604">
        <f>L12*0.069</f>
        <v>0.96600000000000008</v>
      </c>
      <c r="M33" s="604">
        <f>M12*0.117</f>
        <v>0.46800000000000003</v>
      </c>
      <c r="N33" s="604">
        <f>N12*0.117</f>
        <v>1.6380000000000001</v>
      </c>
      <c r="O33" s="588" t="s">
        <v>671</v>
      </c>
      <c r="P33" s="607"/>
    </row>
    <row r="34" spans="1:16">
      <c r="A34" s="567"/>
      <c r="F34" s="610" t="s">
        <v>699</v>
      </c>
      <c r="G34" s="604">
        <v>0.41</v>
      </c>
      <c r="H34" s="604">
        <v>0.41</v>
      </c>
      <c r="I34" s="604">
        <v>0.41</v>
      </c>
      <c r="J34" s="604">
        <v>0.41</v>
      </c>
      <c r="K34" s="604">
        <v>0.41</v>
      </c>
      <c r="L34" s="604">
        <v>0.41</v>
      </c>
      <c r="M34" s="604">
        <v>0.41</v>
      </c>
      <c r="N34" s="604">
        <v>0.41</v>
      </c>
      <c r="O34" s="588"/>
      <c r="P34" s="607"/>
    </row>
    <row r="35" spans="1:16">
      <c r="A35" s="567"/>
      <c r="F35" s="609"/>
      <c r="G35" s="608"/>
      <c r="H35" s="608"/>
      <c r="I35" s="608"/>
      <c r="J35" s="608"/>
      <c r="K35" s="608"/>
      <c r="L35" s="608"/>
      <c r="M35" s="608"/>
      <c r="N35" s="608"/>
      <c r="O35" s="588"/>
      <c r="P35" s="607"/>
    </row>
    <row r="36" spans="1:16">
      <c r="A36" s="567"/>
      <c r="F36" s="606" t="s">
        <v>698</v>
      </c>
      <c r="G36" s="605"/>
      <c r="H36" s="605"/>
      <c r="I36" s="605"/>
      <c r="J36" s="605"/>
      <c r="K36" s="601"/>
      <c r="L36" s="601"/>
      <c r="M36" s="245"/>
      <c r="N36" s="245"/>
      <c r="O36" s="597"/>
      <c r="P36" s="596"/>
    </row>
    <row r="37" spans="1:16">
      <c r="A37" s="567"/>
      <c r="F37" s="591" t="s">
        <v>697</v>
      </c>
      <c r="G37" s="604">
        <v>0.44</v>
      </c>
      <c r="H37" s="604">
        <v>0.42</v>
      </c>
      <c r="I37" s="604">
        <v>0.42</v>
      </c>
      <c r="J37" s="604">
        <v>0.42</v>
      </c>
      <c r="K37" s="598">
        <v>0.17</v>
      </c>
      <c r="L37" s="598">
        <v>0.88</v>
      </c>
      <c r="M37" s="598">
        <v>0.17</v>
      </c>
      <c r="N37" s="598">
        <v>0.88</v>
      </c>
      <c r="O37" s="597" t="s">
        <v>673</v>
      </c>
      <c r="P37" s="596" t="s">
        <v>696</v>
      </c>
    </row>
    <row r="38" spans="1:16">
      <c r="A38" s="567"/>
      <c r="B38" s="243"/>
      <c r="C38" s="243"/>
      <c r="D38" s="243"/>
      <c r="E38" s="243"/>
      <c r="F38" s="600"/>
      <c r="G38" s="599"/>
      <c r="H38" s="599"/>
      <c r="I38" s="603"/>
      <c r="J38" s="603"/>
      <c r="K38" s="588"/>
      <c r="L38" s="588"/>
      <c r="M38" s="588"/>
      <c r="N38" s="588"/>
      <c r="O38" s="588"/>
      <c r="P38" s="596"/>
    </row>
    <row r="39" spans="1:16">
      <c r="A39" s="567"/>
      <c r="F39" s="600"/>
      <c r="G39" s="599"/>
      <c r="H39" s="599"/>
      <c r="I39" s="599"/>
      <c r="J39" s="599"/>
      <c r="K39" s="598"/>
      <c r="L39" s="598"/>
      <c r="M39" s="245"/>
      <c r="N39" s="245"/>
      <c r="O39" s="597"/>
      <c r="P39" s="596"/>
    </row>
    <row r="40" spans="1:16">
      <c r="A40" s="567"/>
      <c r="F40" s="602"/>
      <c r="G40" s="599"/>
      <c r="H40" s="599"/>
      <c r="I40" s="599"/>
      <c r="J40" s="599"/>
      <c r="K40" s="601"/>
      <c r="L40" s="601"/>
      <c r="M40" s="245"/>
      <c r="N40" s="245"/>
      <c r="O40" s="597"/>
      <c r="P40" s="596"/>
    </row>
    <row r="41" spans="1:16">
      <c r="A41" s="567"/>
      <c r="F41" s="600"/>
      <c r="G41" s="599"/>
      <c r="H41" s="599"/>
      <c r="I41" s="599"/>
      <c r="J41" s="599"/>
      <c r="K41" s="598"/>
      <c r="L41" s="598"/>
      <c r="M41" s="598"/>
      <c r="N41" s="598"/>
      <c r="O41" s="597"/>
      <c r="P41" s="596"/>
    </row>
    <row r="42" spans="1:16">
      <c r="A42" s="567"/>
      <c r="F42" s="591"/>
      <c r="G42" s="588"/>
      <c r="H42" s="594"/>
      <c r="I42" s="594"/>
      <c r="J42" s="594"/>
      <c r="K42" s="594"/>
      <c r="L42" s="594"/>
      <c r="M42" s="595"/>
      <c r="N42" s="595"/>
      <c r="O42" s="594"/>
      <c r="P42" s="593"/>
    </row>
    <row r="43" spans="1:16">
      <c r="A43" s="567"/>
      <c r="F43" s="591"/>
      <c r="G43" s="588"/>
      <c r="H43" s="588"/>
      <c r="I43" s="588"/>
      <c r="J43" s="588"/>
      <c r="K43" s="588"/>
      <c r="L43" s="588"/>
      <c r="M43" s="589"/>
      <c r="N43" s="589"/>
      <c r="O43" s="588"/>
      <c r="P43" s="593"/>
    </row>
    <row r="44" spans="1:16">
      <c r="A44" s="567"/>
      <c r="F44" s="591"/>
      <c r="G44" s="588"/>
      <c r="H44" s="588"/>
      <c r="I44" s="588"/>
      <c r="J44" s="588"/>
      <c r="K44" s="588"/>
      <c r="L44" s="588"/>
      <c r="M44" s="589"/>
      <c r="N44" s="589"/>
      <c r="O44" s="589"/>
      <c r="P44" s="588"/>
    </row>
    <row r="45" spans="1:16">
      <c r="A45" s="567"/>
      <c r="F45" s="591"/>
      <c r="G45" s="588"/>
      <c r="H45" s="588"/>
      <c r="I45" s="588"/>
      <c r="J45" s="588"/>
      <c r="K45" s="588"/>
      <c r="L45" s="588"/>
      <c r="M45" s="592"/>
      <c r="N45" s="592"/>
      <c r="O45" s="589"/>
      <c r="P45" s="588"/>
    </row>
    <row r="46" spans="1:16">
      <c r="A46" s="567"/>
      <c r="F46" s="591"/>
      <c r="G46" s="588"/>
      <c r="H46" s="588"/>
      <c r="I46" s="588"/>
      <c r="J46" s="588"/>
      <c r="K46" s="588"/>
      <c r="L46" s="588"/>
      <c r="M46" s="590"/>
      <c r="N46" s="590"/>
      <c r="O46" s="589"/>
      <c r="P46" s="588"/>
    </row>
    <row r="47" spans="1:16">
      <c r="A47" s="567"/>
    </row>
    <row r="48" spans="1:16">
      <c r="A48" s="587"/>
      <c r="B48" s="586"/>
      <c r="C48" s="583"/>
      <c r="D48" s="583"/>
      <c r="E48" s="583"/>
      <c r="F48" s="583"/>
      <c r="G48" s="583"/>
      <c r="H48" s="583"/>
      <c r="I48" s="583"/>
      <c r="J48" s="583"/>
      <c r="K48" s="583"/>
      <c r="L48" s="583"/>
    </row>
    <row r="49" spans="1:16">
      <c r="A49" s="584"/>
      <c r="B49" s="583"/>
      <c r="C49" s="583"/>
      <c r="D49" s="583"/>
      <c r="E49" s="583"/>
      <c r="F49" s="1340"/>
      <c r="G49" s="1340"/>
      <c r="H49" s="1340"/>
      <c r="I49" s="1340"/>
      <c r="J49" s="1340"/>
      <c r="K49" s="1340"/>
      <c r="L49" s="1340"/>
      <c r="M49" s="1340"/>
      <c r="N49" s="1340"/>
      <c r="O49" s="1340"/>
      <c r="P49" s="1340"/>
    </row>
    <row r="50" spans="1:16">
      <c r="A50" s="584"/>
      <c r="B50" s="1340"/>
      <c r="C50" s="1341"/>
      <c r="D50" s="1341"/>
      <c r="E50" s="1341"/>
      <c r="F50" s="1341"/>
      <c r="G50" s="1341"/>
      <c r="H50" s="1341"/>
      <c r="I50" s="1341"/>
      <c r="J50" s="1341"/>
      <c r="K50" s="1341"/>
      <c r="L50" s="1341"/>
    </row>
    <row r="51" spans="1:16">
      <c r="A51" s="584"/>
      <c r="B51" s="1340"/>
      <c r="C51" s="1341"/>
      <c r="D51" s="1341"/>
      <c r="E51" s="1341"/>
      <c r="F51" s="1341"/>
      <c r="G51" s="1341"/>
      <c r="H51" s="1341"/>
      <c r="I51" s="1341"/>
      <c r="J51" s="1341"/>
      <c r="K51" s="1341"/>
      <c r="L51" s="1341"/>
    </row>
    <row r="52" spans="1:16">
      <c r="A52" s="585"/>
      <c r="B52" s="1340"/>
      <c r="C52" s="1341"/>
      <c r="D52" s="1341"/>
      <c r="E52" s="1341"/>
      <c r="F52" s="1341"/>
      <c r="G52" s="1341"/>
      <c r="H52" s="1341"/>
      <c r="I52" s="1341"/>
      <c r="J52" s="1341"/>
      <c r="K52" s="1341"/>
      <c r="L52" s="1341"/>
      <c r="M52" s="1342"/>
      <c r="N52" s="1342"/>
      <c r="O52" s="1342"/>
      <c r="P52" s="1342"/>
    </row>
    <row r="53" spans="1:16">
      <c r="A53" s="584"/>
      <c r="B53" s="1340"/>
      <c r="C53" s="1341"/>
      <c r="D53" s="1341"/>
      <c r="E53" s="1341"/>
      <c r="F53" s="1341"/>
      <c r="G53" s="1341"/>
      <c r="H53" s="1341"/>
      <c r="I53" s="1341"/>
      <c r="J53" s="1341"/>
      <c r="K53" s="1341"/>
      <c r="L53" s="1341"/>
      <c r="M53" s="1342"/>
      <c r="N53" s="1342"/>
      <c r="O53" s="1342"/>
      <c r="P53" s="1342"/>
    </row>
    <row r="54" spans="1:16">
      <c r="A54" s="584"/>
      <c r="B54" s="583"/>
      <c r="C54" s="583"/>
      <c r="D54" s="583"/>
      <c r="E54" s="583"/>
      <c r="F54" s="583"/>
      <c r="G54" s="583"/>
      <c r="H54" s="583"/>
      <c r="I54" s="583"/>
      <c r="J54" s="583"/>
      <c r="K54" s="583"/>
      <c r="L54" s="583"/>
    </row>
    <row r="55" spans="1:16">
      <c r="A55" s="571" t="s">
        <v>695</v>
      </c>
      <c r="B55" s="583"/>
      <c r="C55" s="582"/>
      <c r="D55" s="582"/>
      <c r="E55" s="582"/>
      <c r="F55" s="582"/>
      <c r="G55" s="582"/>
      <c r="H55" s="582"/>
      <c r="I55" s="582"/>
      <c r="J55" s="582"/>
      <c r="K55" s="582"/>
      <c r="L55" s="582"/>
    </row>
    <row r="56" spans="1:16">
      <c r="A56" s="574" t="s">
        <v>694</v>
      </c>
      <c r="B56" s="1343" t="s">
        <v>693</v>
      </c>
      <c r="C56" s="1343"/>
      <c r="D56" s="1343"/>
      <c r="E56" s="1343"/>
      <c r="F56" s="1343"/>
      <c r="G56" s="1343"/>
      <c r="H56" s="1343"/>
      <c r="I56" s="1343"/>
      <c r="J56" s="1343"/>
      <c r="K56" s="1343"/>
      <c r="L56" s="1343"/>
      <c r="M56" s="1343"/>
      <c r="N56" s="1343"/>
      <c r="O56" s="1343"/>
      <c r="P56" s="1343"/>
    </row>
    <row r="57" spans="1:16">
      <c r="A57" s="574" t="s">
        <v>692</v>
      </c>
      <c r="B57" s="1335" t="s">
        <v>691</v>
      </c>
      <c r="C57" s="1335"/>
      <c r="D57" s="1335"/>
      <c r="E57" s="1335"/>
      <c r="F57" s="1335"/>
      <c r="G57" s="1335"/>
      <c r="H57" s="1335"/>
      <c r="I57" s="1335"/>
      <c r="J57" s="1335"/>
      <c r="K57" s="1335"/>
      <c r="L57" s="1335"/>
    </row>
    <row r="58" spans="1:16">
      <c r="A58" s="574" t="s">
        <v>272</v>
      </c>
      <c r="B58" s="1335" t="s">
        <v>690</v>
      </c>
      <c r="C58" s="1342"/>
      <c r="D58" s="1342"/>
      <c r="E58" s="1342"/>
      <c r="F58" s="1342"/>
      <c r="G58" s="1342"/>
      <c r="H58" s="1342"/>
      <c r="I58" s="1342"/>
      <c r="J58" s="1342"/>
      <c r="K58" s="1342"/>
      <c r="L58" s="1342"/>
      <c r="M58" s="1342"/>
      <c r="N58" s="1342"/>
      <c r="O58" s="1342"/>
      <c r="P58" s="1342"/>
    </row>
    <row r="59" spans="1:16">
      <c r="A59" s="574" t="s">
        <v>269</v>
      </c>
      <c r="B59" s="1335" t="s">
        <v>689</v>
      </c>
      <c r="C59" s="1335"/>
      <c r="D59" s="1335"/>
      <c r="E59" s="1335"/>
      <c r="F59" s="1335"/>
      <c r="G59" s="1335"/>
      <c r="H59" s="1335"/>
      <c r="I59" s="1335"/>
      <c r="J59" s="1335"/>
      <c r="K59" s="1335"/>
      <c r="L59" s="1335"/>
    </row>
    <row r="60" spans="1:16" ht="52.8">
      <c r="A60" s="567"/>
      <c r="F60" s="245" t="s">
        <v>688</v>
      </c>
      <c r="G60" s="581" t="s">
        <v>687</v>
      </c>
      <c r="H60" s="581" t="s">
        <v>686</v>
      </c>
      <c r="I60" s="580" t="s">
        <v>685</v>
      </c>
    </row>
    <row r="61" spans="1:16" ht="14.4">
      <c r="A61" s="567"/>
      <c r="F61" s="245" t="s">
        <v>684</v>
      </c>
      <c r="G61" s="576">
        <v>0.79800000000000004</v>
      </c>
      <c r="H61" s="576">
        <v>0.83789139679172331</v>
      </c>
      <c r="I61" s="579">
        <v>3.3557046979865772</v>
      </c>
    </row>
    <row r="62" spans="1:16" ht="14.4">
      <c r="A62" s="567"/>
      <c r="F62" s="245" t="s">
        <v>683</v>
      </c>
      <c r="G62" s="576">
        <v>0.08</v>
      </c>
      <c r="H62" s="576">
        <v>8.4638327610316366E-2</v>
      </c>
      <c r="I62" s="579">
        <v>6.7114093959731544</v>
      </c>
    </row>
    <row r="63" spans="1:16" ht="14.4">
      <c r="A63" s="567"/>
      <c r="F63" s="245" t="s">
        <v>436</v>
      </c>
      <c r="G63" s="576">
        <v>6.0999999999999999E-2</v>
      </c>
      <c r="H63" s="576">
        <v>2.4390632528287944E-3</v>
      </c>
      <c r="I63" s="579">
        <v>6.7114093959731544</v>
      </c>
    </row>
    <row r="64" spans="1:16" ht="14.4">
      <c r="A64" s="567"/>
      <c r="F64" s="245" t="s">
        <v>437</v>
      </c>
      <c r="G64" s="576">
        <v>0</v>
      </c>
      <c r="H64" s="576">
        <v>0</v>
      </c>
      <c r="I64" s="575">
        <v>67.382550335570471</v>
      </c>
    </row>
    <row r="65" spans="1:16" ht="14.4">
      <c r="A65" s="567"/>
      <c r="F65" s="245" t="s">
        <v>682</v>
      </c>
      <c r="G65" s="576">
        <v>0.01</v>
      </c>
      <c r="H65" s="576">
        <v>1.2008799662457062E-2</v>
      </c>
      <c r="I65" s="575">
        <v>40.268456375838923</v>
      </c>
    </row>
    <row r="66" spans="1:16" ht="14.4">
      <c r="A66" s="574"/>
      <c r="B66" s="577"/>
      <c r="C66" s="577"/>
      <c r="D66" s="577"/>
      <c r="E66" s="577"/>
      <c r="F66" s="245" t="s">
        <v>681</v>
      </c>
      <c r="G66" s="576">
        <v>1.6E-2</v>
      </c>
      <c r="H66" s="576">
        <v>1.2462465427483218E-2</v>
      </c>
      <c r="I66" s="575">
        <v>18.859060402684563</v>
      </c>
    </row>
    <row r="67" spans="1:16" ht="14.4">
      <c r="A67" s="574"/>
      <c r="B67" s="577"/>
      <c r="C67" s="577"/>
      <c r="D67" s="577"/>
      <c r="E67" s="577"/>
      <c r="F67" s="245" t="s">
        <v>680</v>
      </c>
      <c r="G67" s="576">
        <v>0</v>
      </c>
      <c r="H67" s="578">
        <v>0</v>
      </c>
      <c r="I67" s="575">
        <v>34.899328859060404</v>
      </c>
    </row>
    <row r="68" spans="1:16" ht="14.4">
      <c r="A68" s="574"/>
      <c r="B68" s="577"/>
      <c r="C68" s="577"/>
      <c r="D68" s="577"/>
      <c r="E68" s="577"/>
      <c r="F68" s="245" t="s">
        <v>679</v>
      </c>
      <c r="G68" s="576">
        <v>3.5000000000000003E-2</v>
      </c>
      <c r="H68" s="576">
        <v>5.0559947255191202E-2</v>
      </c>
      <c r="I68" s="575">
        <v>27.919463087248321</v>
      </c>
    </row>
    <row r="69" spans="1:16">
      <c r="A69" s="567"/>
    </row>
    <row r="70" spans="1:16">
      <c r="A70" s="574" t="s">
        <v>255</v>
      </c>
      <c r="B70" s="1335" t="s">
        <v>678</v>
      </c>
      <c r="C70" s="1335"/>
      <c r="D70" s="1335"/>
      <c r="E70" s="1335"/>
      <c r="F70" s="1335"/>
      <c r="G70" s="1335"/>
      <c r="H70" s="1335"/>
      <c r="I70" s="1335"/>
      <c r="J70" s="1335"/>
      <c r="K70" s="1335"/>
      <c r="L70" s="1335"/>
      <c r="M70" s="1335"/>
      <c r="N70" s="1335"/>
      <c r="O70" s="1335"/>
      <c r="P70" s="1335"/>
    </row>
    <row r="71" spans="1:16">
      <c r="A71" s="574" t="s">
        <v>389</v>
      </c>
      <c r="B71" s="1335" t="s">
        <v>677</v>
      </c>
      <c r="C71" s="1335"/>
      <c r="D71" s="1335"/>
      <c r="E71" s="1335"/>
      <c r="F71" s="1335"/>
      <c r="G71" s="1335"/>
      <c r="H71" s="1335"/>
      <c r="I71" s="1335"/>
      <c r="J71" s="1335"/>
      <c r="K71" s="1335"/>
      <c r="L71" s="1335"/>
      <c r="M71" s="1335"/>
      <c r="N71" s="1335"/>
      <c r="O71" s="1335"/>
      <c r="P71" s="1335"/>
    </row>
    <row r="72" spans="1:16" ht="13.8">
      <c r="A72" s="574" t="s">
        <v>393</v>
      </c>
      <c r="B72" s="1335" t="s">
        <v>676</v>
      </c>
      <c r="C72" s="1335"/>
      <c r="D72" s="1335"/>
      <c r="E72" s="1335"/>
      <c r="F72" s="1335"/>
      <c r="G72" s="1335"/>
      <c r="H72" s="1335"/>
      <c r="I72" s="1335"/>
      <c r="J72" s="1335"/>
      <c r="K72" s="1335"/>
      <c r="L72" s="1335"/>
      <c r="M72" s="1335"/>
      <c r="N72" s="1335"/>
      <c r="O72" s="568"/>
      <c r="P72" s="568"/>
    </row>
    <row r="73" spans="1:16" ht="13.8">
      <c r="A73" s="574" t="s">
        <v>675</v>
      </c>
      <c r="B73" s="1335" t="s">
        <v>674</v>
      </c>
      <c r="C73" s="1335"/>
      <c r="D73" s="1335"/>
      <c r="E73" s="1335"/>
      <c r="F73" s="1335"/>
      <c r="G73" s="1335"/>
      <c r="H73" s="1335"/>
      <c r="I73" s="1335"/>
      <c r="J73" s="1335"/>
      <c r="K73" s="1335"/>
      <c r="L73" s="1335"/>
      <c r="M73" s="1335"/>
      <c r="N73" s="1335"/>
      <c r="O73" s="568"/>
      <c r="P73" s="568"/>
    </row>
    <row r="74" spans="1:16" ht="13.8">
      <c r="A74" s="573" t="s">
        <v>673</v>
      </c>
      <c r="B74" s="1338" t="s">
        <v>672</v>
      </c>
      <c r="C74" s="1339"/>
      <c r="D74" s="1339"/>
      <c r="E74" s="1339"/>
      <c r="F74" s="1339"/>
      <c r="G74" s="1339"/>
      <c r="H74" s="1339"/>
      <c r="I74" s="1339"/>
      <c r="J74" s="1339"/>
      <c r="K74" s="1339"/>
      <c r="L74" s="1339"/>
      <c r="M74" s="1339"/>
      <c r="N74" s="1339"/>
      <c r="O74" s="568"/>
      <c r="P74" s="568"/>
    </row>
    <row r="75" spans="1:16" ht="13.8">
      <c r="A75" s="572" t="s">
        <v>671</v>
      </c>
      <c r="B75" s="1336" t="s">
        <v>670</v>
      </c>
      <c r="C75" s="1337"/>
      <c r="D75" s="1337"/>
      <c r="E75" s="1337"/>
      <c r="F75" s="1337"/>
      <c r="G75" s="1337"/>
      <c r="H75" s="1337"/>
      <c r="I75" s="1337"/>
      <c r="J75" s="1337"/>
      <c r="K75" s="1337"/>
      <c r="L75" s="1337"/>
      <c r="M75" s="1337"/>
      <c r="N75" s="1337"/>
      <c r="O75" s="568"/>
      <c r="P75" s="568"/>
    </row>
    <row r="76" spans="1:16" ht="13.8">
      <c r="A76" s="571" t="s">
        <v>669</v>
      </c>
      <c r="B76" s="570"/>
      <c r="C76" s="569"/>
      <c r="D76" s="569"/>
      <c r="E76" s="569"/>
      <c r="F76" s="569"/>
      <c r="G76" s="569"/>
      <c r="H76" s="569"/>
      <c r="I76" s="569"/>
      <c r="J76" s="569"/>
      <c r="K76" s="569"/>
      <c r="L76" s="569"/>
      <c r="M76" s="569"/>
      <c r="N76" s="569"/>
      <c r="O76" s="568"/>
      <c r="P76" s="568"/>
    </row>
    <row r="77" spans="1:16">
      <c r="A77" s="567">
        <v>5</v>
      </c>
      <c r="F77" s="1334" t="s">
        <v>668</v>
      </c>
      <c r="G77" s="1334"/>
      <c r="H77" s="1334"/>
      <c r="I77" s="1334"/>
      <c r="J77" s="1334"/>
      <c r="K77" s="1334"/>
      <c r="L77" s="1334"/>
      <c r="M77" s="1334"/>
      <c r="N77" s="1334"/>
    </row>
    <row r="78" spans="1:16">
      <c r="A78" s="567">
        <v>8</v>
      </c>
      <c r="F78" s="1334" t="s">
        <v>667</v>
      </c>
      <c r="G78" s="1334"/>
      <c r="H78" s="1334"/>
      <c r="I78" s="1334"/>
      <c r="J78" s="1334"/>
      <c r="K78" s="1334"/>
      <c r="L78" s="1334"/>
    </row>
    <row r="79" spans="1:16">
      <c r="A79" s="567">
        <v>9</v>
      </c>
      <c r="F79" s="1334" t="s">
        <v>666</v>
      </c>
      <c r="G79" s="1334"/>
      <c r="H79" s="1334"/>
      <c r="I79" s="1334"/>
      <c r="J79" s="1334"/>
      <c r="K79" s="1334"/>
      <c r="L79" s="1334"/>
      <c r="M79" s="1334"/>
      <c r="N79" s="1334"/>
    </row>
    <row r="80" spans="1:16">
      <c r="A80" s="567">
        <v>12</v>
      </c>
      <c r="F80" s="1334" t="s">
        <v>665</v>
      </c>
      <c r="G80" s="1334"/>
      <c r="H80" s="1334"/>
      <c r="I80" s="1334"/>
      <c r="J80" s="1334"/>
      <c r="K80" s="1334"/>
      <c r="L80" s="1334"/>
      <c r="M80" s="1334"/>
      <c r="N80" s="1334"/>
    </row>
  </sheetData>
  <mergeCells count="23">
    <mergeCell ref="G1:O1"/>
    <mergeCell ref="G3:P3"/>
    <mergeCell ref="K4:L4"/>
    <mergeCell ref="M4:N4"/>
    <mergeCell ref="F49:P49"/>
    <mergeCell ref="B59:L59"/>
    <mergeCell ref="B70:P70"/>
    <mergeCell ref="B71:P71"/>
    <mergeCell ref="B50:L50"/>
    <mergeCell ref="B51:L51"/>
    <mergeCell ref="B52:P52"/>
    <mergeCell ref="B53:P53"/>
    <mergeCell ref="B56:P56"/>
    <mergeCell ref="B57:L57"/>
    <mergeCell ref="B58:P58"/>
    <mergeCell ref="F80:N80"/>
    <mergeCell ref="B72:N72"/>
    <mergeCell ref="B73:N73"/>
    <mergeCell ref="B75:N75"/>
    <mergeCell ref="F77:N77"/>
    <mergeCell ref="F78:L78"/>
    <mergeCell ref="F79:N79"/>
    <mergeCell ref="B74:N74"/>
  </mergeCells>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9A20B-FDB6-4C2A-9593-3DD4C7B8FCA3}">
  <sheetPr>
    <tabColor theme="3" tint="0.59999389629810485"/>
  </sheetPr>
  <dimension ref="A1:AA67"/>
  <sheetViews>
    <sheetView workbookViewId="0">
      <selection activeCell="X17" sqref="X17"/>
    </sheetView>
  </sheetViews>
  <sheetFormatPr defaultColWidth="9.109375" defaultRowHeight="13.2"/>
  <cols>
    <col min="1" max="1" width="4.44140625" style="69" customWidth="1"/>
    <col min="2" max="2" width="9.109375" style="69" customWidth="1"/>
    <col min="3" max="3" width="41.88671875" style="69" customWidth="1"/>
    <col min="4" max="4" width="9" style="69" customWidth="1"/>
    <col min="5" max="5" width="8.33203125" style="69" customWidth="1"/>
    <col min="6" max="6" width="8.44140625" style="69" customWidth="1"/>
    <col min="7" max="7" width="10.109375" style="69" customWidth="1"/>
    <col min="8" max="8" width="8.88671875" style="69" customWidth="1"/>
    <col min="9" max="9" width="9.33203125" style="69" customWidth="1"/>
    <col min="10" max="10" width="8.44140625" style="69" customWidth="1"/>
    <col min="11" max="11" width="8.109375" style="69" customWidth="1"/>
    <col min="12" max="12" width="5.33203125" style="69" customWidth="1"/>
    <col min="13" max="13" width="12.88671875" style="69" customWidth="1"/>
    <col min="14" max="14" width="9.109375" style="69"/>
    <col min="15" max="15" width="15.109375" style="69" bestFit="1" customWidth="1"/>
    <col min="16" max="16" width="15.33203125" style="69" customWidth="1"/>
    <col min="17" max="18" width="9.5546875" style="69" bestFit="1" customWidth="1"/>
    <col min="19" max="19" width="9.5546875" style="69" customWidth="1"/>
    <col min="20" max="16384" width="9.109375" style="69"/>
  </cols>
  <sheetData>
    <row r="1" spans="1:27" ht="21">
      <c r="A1" s="567"/>
      <c r="C1" s="650" t="s">
        <v>749</v>
      </c>
      <c r="D1" s="1344" t="s">
        <v>783</v>
      </c>
      <c r="E1" s="1345"/>
      <c r="F1" s="1345"/>
      <c r="G1" s="1345"/>
      <c r="H1" s="1345"/>
      <c r="I1" s="1345"/>
      <c r="J1" s="1345"/>
      <c r="K1" s="1345"/>
      <c r="L1" s="1345"/>
      <c r="M1" s="649"/>
    </row>
    <row r="2" spans="1:27">
      <c r="A2" s="567"/>
    </row>
    <row r="3" spans="1:27" ht="12.75" customHeight="1">
      <c r="A3" s="567"/>
      <c r="C3" s="618" t="s">
        <v>296</v>
      </c>
      <c r="D3" s="1360" t="s">
        <v>783</v>
      </c>
      <c r="E3" s="1361"/>
      <c r="F3" s="1361"/>
      <c r="G3" s="1361"/>
      <c r="H3" s="1361"/>
      <c r="I3" s="1361"/>
      <c r="J3" s="1361"/>
      <c r="K3" s="1361"/>
      <c r="L3" s="1361"/>
      <c r="M3" s="1361"/>
    </row>
    <row r="4" spans="1:27" ht="12.75" customHeight="1">
      <c r="A4" s="567"/>
      <c r="C4" s="658"/>
      <c r="D4" s="619">
        <v>2015</v>
      </c>
      <c r="E4" s="619">
        <v>2020</v>
      </c>
      <c r="F4" s="619">
        <v>2030</v>
      </c>
      <c r="G4" s="619">
        <v>2050</v>
      </c>
      <c r="H4" s="1360" t="s">
        <v>290</v>
      </c>
      <c r="I4" s="1360"/>
      <c r="J4" s="1360" t="s">
        <v>289</v>
      </c>
      <c r="K4" s="1360"/>
      <c r="L4" s="619" t="s">
        <v>288</v>
      </c>
      <c r="M4" s="619" t="s">
        <v>287</v>
      </c>
      <c r="P4" s="69" t="s">
        <v>782</v>
      </c>
    </row>
    <row r="5" spans="1:27" ht="13.8" thickBot="1">
      <c r="A5" s="567"/>
      <c r="C5" s="618" t="s">
        <v>282</v>
      </c>
      <c r="D5" s="618"/>
      <c r="E5" s="618"/>
      <c r="F5" s="618"/>
      <c r="G5" s="618"/>
      <c r="H5" s="618" t="s">
        <v>284</v>
      </c>
      <c r="I5" s="618" t="s">
        <v>283</v>
      </c>
      <c r="J5" s="618" t="s">
        <v>284</v>
      </c>
      <c r="K5" s="618" t="s">
        <v>283</v>
      </c>
      <c r="L5" s="618"/>
      <c r="M5" s="618"/>
    </row>
    <row r="6" spans="1:27" ht="12.75" customHeight="1">
      <c r="A6" s="567"/>
      <c r="C6" s="658" t="s">
        <v>781</v>
      </c>
      <c r="D6" s="1362">
        <v>1</v>
      </c>
      <c r="E6" s="1363"/>
      <c r="F6" s="1363"/>
      <c r="G6" s="1363"/>
      <c r="H6" s="588"/>
      <c r="I6" s="588"/>
      <c r="J6" s="588"/>
      <c r="K6" s="588"/>
      <c r="L6" s="588" t="s">
        <v>734</v>
      </c>
      <c r="M6" s="624"/>
      <c r="P6" s="304" t="s">
        <v>437</v>
      </c>
      <c r="Q6" s="305"/>
    </row>
    <row r="7" spans="1:27" ht="14.4">
      <c r="A7" s="567"/>
      <c r="C7" s="658"/>
      <c r="D7" s="1358"/>
      <c r="E7" s="1359"/>
      <c r="F7" s="1359"/>
      <c r="G7" s="1359"/>
      <c r="H7" s="588"/>
      <c r="I7" s="588"/>
      <c r="J7" s="588"/>
      <c r="K7" s="588"/>
      <c r="L7" s="588"/>
      <c r="M7" s="588"/>
      <c r="P7" s="687" t="s">
        <v>780</v>
      </c>
      <c r="Q7" s="700">
        <f>D18*D9</f>
        <v>14.497171554832166</v>
      </c>
    </row>
    <row r="8" spans="1:27" ht="13.8" thickBot="1">
      <c r="A8" s="567"/>
      <c r="C8" s="699" t="s">
        <v>737</v>
      </c>
      <c r="D8" s="588"/>
      <c r="E8" s="588"/>
      <c r="F8" s="588"/>
      <c r="G8" s="588"/>
      <c r="H8" s="588"/>
      <c r="I8" s="588"/>
      <c r="J8" s="588"/>
      <c r="K8" s="588"/>
      <c r="L8" s="588"/>
      <c r="M8" s="588"/>
      <c r="P8" s="698"/>
      <c r="Q8" s="330"/>
    </row>
    <row r="9" spans="1:27">
      <c r="A9" s="567"/>
      <c r="C9" s="631" t="s">
        <v>779</v>
      </c>
      <c r="D9" s="636">
        <v>1.9941088796192801</v>
      </c>
      <c r="E9" s="636">
        <v>1.8192614557560789</v>
      </c>
      <c r="F9" s="636">
        <v>1.8192614557560789</v>
      </c>
      <c r="G9" s="636">
        <v>1.8192614557560789</v>
      </c>
      <c r="H9" s="697"/>
      <c r="I9" s="622"/>
      <c r="J9" s="622"/>
      <c r="K9" s="622"/>
      <c r="L9" s="622" t="s">
        <v>734</v>
      </c>
      <c r="M9" s="624" t="s">
        <v>727</v>
      </c>
    </row>
    <row r="10" spans="1:27">
      <c r="A10" s="567"/>
      <c r="C10" s="640" t="s">
        <v>778</v>
      </c>
      <c r="D10" s="696">
        <v>4336.98052604645</v>
      </c>
      <c r="E10" s="696">
        <v>3956.7054668085311</v>
      </c>
      <c r="F10" s="696">
        <v>3956.7054668085311</v>
      </c>
      <c r="G10" s="696">
        <v>3956.7054668085311</v>
      </c>
      <c r="H10" s="622"/>
      <c r="I10" s="622"/>
      <c r="J10" s="622"/>
      <c r="K10" s="622"/>
      <c r="L10" s="622"/>
      <c r="M10" s="245"/>
    </row>
    <row r="11" spans="1:27">
      <c r="A11" s="567"/>
      <c r="C11" s="631" t="s">
        <v>766</v>
      </c>
      <c r="D11" s="694">
        <v>3.1240122282366525E-2</v>
      </c>
      <c r="E11" s="694">
        <v>2.8500926364796616E-2</v>
      </c>
      <c r="F11" s="694">
        <v>2.8500926364796616E-2</v>
      </c>
      <c r="G11" s="694">
        <v>2.8500926364796616E-2</v>
      </c>
      <c r="H11" s="695"/>
      <c r="I11" s="622"/>
      <c r="J11" s="622"/>
      <c r="K11" s="622"/>
      <c r="L11" s="622"/>
      <c r="M11" s="624" t="s">
        <v>727</v>
      </c>
    </row>
    <row r="12" spans="1:27" ht="13.8" thickBot="1">
      <c r="A12" s="567"/>
      <c r="C12" s="640" t="s">
        <v>777</v>
      </c>
      <c r="D12" s="693">
        <v>63</v>
      </c>
      <c r="E12" s="693">
        <v>63</v>
      </c>
      <c r="F12" s="693">
        <v>63</v>
      </c>
      <c r="G12" s="693">
        <v>63</v>
      </c>
      <c r="H12" s="622"/>
      <c r="I12" s="622"/>
      <c r="J12" s="622"/>
      <c r="K12" s="622"/>
      <c r="L12" s="622" t="s">
        <v>694</v>
      </c>
      <c r="M12" s="245"/>
      <c r="P12" s="69" t="s">
        <v>776</v>
      </c>
    </row>
    <row r="13" spans="1:27">
      <c r="A13" s="567"/>
      <c r="C13" s="631" t="s">
        <v>764</v>
      </c>
      <c r="D13" s="694">
        <v>9.2086572813314966E-3</v>
      </c>
      <c r="E13" s="694">
        <v>8.4012239363742813E-3</v>
      </c>
      <c r="F13" s="694">
        <v>8.4012239363742813E-3</v>
      </c>
      <c r="G13" s="694">
        <v>8.4012239363742813E-3</v>
      </c>
      <c r="H13" s="622"/>
      <c r="I13" s="622"/>
      <c r="J13" s="622"/>
      <c r="K13" s="622"/>
      <c r="L13" s="622"/>
      <c r="M13" s="624" t="s">
        <v>727</v>
      </c>
      <c r="O13" s="304"/>
      <c r="P13" s="1350" t="s">
        <v>775</v>
      </c>
      <c r="Q13" s="1351"/>
      <c r="R13" s="1351"/>
      <c r="S13" s="1352"/>
      <c r="T13" s="1351" t="s">
        <v>774</v>
      </c>
      <c r="U13" s="1351"/>
      <c r="V13" s="1351"/>
      <c r="W13" s="1351"/>
      <c r="X13" s="1350" t="s">
        <v>773</v>
      </c>
      <c r="Y13" s="1351"/>
      <c r="Z13" s="1351"/>
      <c r="AA13" s="1352"/>
    </row>
    <row r="14" spans="1:27">
      <c r="A14" s="567"/>
      <c r="C14" s="640" t="s">
        <v>772</v>
      </c>
      <c r="D14" s="693">
        <v>18.600000000000001</v>
      </c>
      <c r="E14" s="693">
        <v>18.600000000000001</v>
      </c>
      <c r="F14" s="693">
        <v>18.600000000000001</v>
      </c>
      <c r="G14" s="693">
        <v>18.600000000000001</v>
      </c>
      <c r="H14" s="245"/>
      <c r="I14" s="245"/>
      <c r="J14" s="245"/>
      <c r="K14" s="245"/>
      <c r="L14" s="597" t="s">
        <v>694</v>
      </c>
      <c r="M14" s="622"/>
      <c r="O14" s="687"/>
      <c r="P14" s="690">
        <v>2015</v>
      </c>
      <c r="Q14" s="245">
        <v>2020</v>
      </c>
      <c r="R14" s="245">
        <v>2030</v>
      </c>
      <c r="S14" s="689">
        <v>2050</v>
      </c>
      <c r="T14" s="692">
        <v>2015</v>
      </c>
      <c r="U14" s="245">
        <v>2020</v>
      </c>
      <c r="V14" s="245">
        <v>2030</v>
      </c>
      <c r="W14" s="691">
        <v>2050</v>
      </c>
      <c r="X14" s="690">
        <v>2015</v>
      </c>
      <c r="Y14" s="245">
        <v>2020</v>
      </c>
      <c r="Z14" s="245">
        <v>2030</v>
      </c>
      <c r="AA14" s="689">
        <v>2050</v>
      </c>
    </row>
    <row r="15" spans="1:27" ht="13.8">
      <c r="A15" s="567"/>
      <c r="C15" s="688"/>
      <c r="D15" s="245"/>
      <c r="E15" s="245"/>
      <c r="F15" s="245"/>
      <c r="G15" s="245"/>
      <c r="H15" s="245"/>
      <c r="I15" s="245"/>
      <c r="J15" s="245"/>
      <c r="K15" s="245"/>
      <c r="L15" s="597"/>
      <c r="M15" s="623"/>
      <c r="O15" s="687" t="s">
        <v>771</v>
      </c>
      <c r="P15" s="686">
        <f>D6</f>
        <v>1</v>
      </c>
      <c r="Q15" s="685">
        <f>P15</f>
        <v>1</v>
      </c>
      <c r="R15" s="685">
        <f>Q15</f>
        <v>1</v>
      </c>
      <c r="S15" s="684">
        <f>R15</f>
        <v>1</v>
      </c>
      <c r="T15" s="681">
        <f>'81 Biogas Plant, Basic conf.'!G7</f>
        <v>9.2417432910061201</v>
      </c>
      <c r="U15" s="579">
        <f>'81 Biogas Plant, Basic conf.'!H7</f>
        <v>8.6829269484640879</v>
      </c>
      <c r="V15" s="579">
        <f>'81 Biogas Plant, Basic conf.'!I7</f>
        <v>8.6829269484640879</v>
      </c>
      <c r="W15" s="680">
        <f>'81 Biogas Plant, Basic conf.'!J7</f>
        <v>8.6829269484640879</v>
      </c>
      <c r="X15" s="686">
        <f>T15+P15</f>
        <v>10.24174329100612</v>
      </c>
      <c r="Y15" s="685">
        <f>U15+Q15</f>
        <v>9.6829269484640879</v>
      </c>
      <c r="Z15" s="685">
        <f>V15+R15</f>
        <v>9.6829269484640879</v>
      </c>
      <c r="AA15" s="684">
        <f>W15+S15</f>
        <v>9.6829269484640879</v>
      </c>
    </row>
    <row r="16" spans="1:27" ht="26.4">
      <c r="A16" s="567"/>
      <c r="C16" s="683" t="s">
        <v>721</v>
      </c>
      <c r="D16" s="632"/>
      <c r="E16" s="632"/>
      <c r="F16" s="631"/>
      <c r="G16" s="631"/>
      <c r="H16" s="622"/>
      <c r="I16" s="622"/>
      <c r="J16" s="622"/>
      <c r="K16" s="622"/>
      <c r="L16" s="622"/>
      <c r="M16" s="626"/>
      <c r="O16" s="682" t="s">
        <v>770</v>
      </c>
      <c r="P16" s="679">
        <f>D27/1000000</f>
        <v>0.40767616944836599</v>
      </c>
      <c r="Q16" s="579">
        <f>E27/1000000</f>
        <v>0.37193031388000197</v>
      </c>
      <c r="R16" s="579">
        <f>F27/1000000</f>
        <v>0.37193031388000197</v>
      </c>
      <c r="S16" s="678">
        <f>G27/1000000</f>
        <v>0.37193031388000197</v>
      </c>
      <c r="T16" s="681">
        <f>'81 Biogas Plant, Basic conf.'!G27</f>
        <v>1.8141415733691493</v>
      </c>
      <c r="U16" s="579">
        <f>'81 Biogas Plant, Basic conf.'!H27</f>
        <v>1.7106920331911744</v>
      </c>
      <c r="V16" s="579">
        <f>'81 Biogas Plant, Basic conf.'!I27</f>
        <v>1.5396228298720569</v>
      </c>
      <c r="W16" s="680">
        <f>'81 Biogas Plant, Basic conf.'!J27</f>
        <v>1.3856605468848513</v>
      </c>
      <c r="X16" s="679">
        <f>(T16*T15+P16*P15)/X15</f>
        <v>1.6768148152228202</v>
      </c>
      <c r="Y16" s="579">
        <f t="shared" ref="X16:AA17" si="0">(U16*U15+Q16*Q15)/Y15</f>
        <v>1.5724320084655383</v>
      </c>
      <c r="Z16" s="579">
        <f t="shared" si="0"/>
        <v>1.4190299014933836</v>
      </c>
      <c r="AA16" s="678">
        <f t="shared" si="0"/>
        <v>1.2809680052184444</v>
      </c>
    </row>
    <row r="17" spans="1:27" ht="27" thickBot="1">
      <c r="A17" s="567"/>
      <c r="C17" s="677" t="s">
        <v>720</v>
      </c>
      <c r="D17" s="676">
        <v>1</v>
      </c>
      <c r="E17" s="676">
        <v>1</v>
      </c>
      <c r="F17" s="676">
        <v>1</v>
      </c>
      <c r="G17" s="676">
        <v>1</v>
      </c>
      <c r="H17" s="622"/>
      <c r="I17" s="622"/>
      <c r="J17" s="622"/>
      <c r="K17" s="622"/>
      <c r="L17" s="622" t="s">
        <v>767</v>
      </c>
      <c r="M17" s="245"/>
      <c r="O17" s="675" t="s">
        <v>769</v>
      </c>
      <c r="P17" s="673">
        <f>D29/1000000</f>
        <v>4.7386621139570456E-2</v>
      </c>
      <c r="Q17" s="672">
        <f>E29/1000000</f>
        <v>4.4727302826015725E-2</v>
      </c>
      <c r="R17" s="672">
        <f>F29/1000000</f>
        <v>5.2704021047101715E-2</v>
      </c>
      <c r="S17" s="671">
        <f>G29/1000000</f>
        <v>5.6692380157644717E-2</v>
      </c>
      <c r="T17" s="674">
        <f>'81 Biogas Plant, Basic conf.'!G30/1000000</f>
        <v>0.19878517939696189</v>
      </c>
      <c r="U17" s="672">
        <f>'81 Biogas Plant, Basic conf.'!H30/1000000</f>
        <v>0.19471502140648481</v>
      </c>
      <c r="V17" s="672">
        <f>'81 Biogas Plant, Basic conf.'!I30/1000000</f>
        <v>0.19770243921954936</v>
      </c>
      <c r="W17" s="310">
        <f>'81 Biogas Plant, Basic conf.'!J30/1000000</f>
        <v>0.1957223069511041</v>
      </c>
      <c r="X17" s="673">
        <f t="shared" si="0"/>
        <v>0.22658605521234387</v>
      </c>
      <c r="Y17" s="672">
        <f t="shared" si="0"/>
        <v>0.22241526104718271</v>
      </c>
      <c r="Z17" s="672">
        <f t="shared" si="0"/>
        <v>0.22831753699737548</v>
      </c>
      <c r="AA17" s="671">
        <f t="shared" si="0"/>
        <v>0.22817923042833871</v>
      </c>
    </row>
    <row r="18" spans="1:27" ht="52.8">
      <c r="A18" s="567"/>
      <c r="C18" s="640" t="s">
        <v>768</v>
      </c>
      <c r="D18" s="632">
        <v>7.27</v>
      </c>
      <c r="E18" s="632">
        <v>7.97</v>
      </c>
      <c r="F18" s="632">
        <v>7.97</v>
      </c>
      <c r="G18" s="632">
        <v>7.97</v>
      </c>
      <c r="H18" s="622"/>
      <c r="I18" s="622"/>
      <c r="J18" s="622"/>
      <c r="K18" s="622"/>
      <c r="L18" s="622" t="s">
        <v>767</v>
      </c>
      <c r="M18" s="624" t="s">
        <v>716</v>
      </c>
      <c r="O18" s="670" t="s">
        <v>766</v>
      </c>
      <c r="P18" s="667">
        <f>D11</f>
        <v>3.1240122282366525E-2</v>
      </c>
      <c r="Q18" s="666">
        <f>E11</f>
        <v>2.8500926364796616E-2</v>
      </c>
      <c r="R18" s="666">
        <f>F11</f>
        <v>2.8500926364796616E-2</v>
      </c>
      <c r="S18" s="665">
        <f>G11</f>
        <v>2.8500926364796616E-2</v>
      </c>
      <c r="T18" s="669">
        <f>'81 Biogas Plant, Basic conf.'!G11/100</f>
        <v>3.6969498399920031E-2</v>
      </c>
      <c r="U18" s="666">
        <f>'81 Biogas Plant, Basic conf.'!H11/100</f>
        <v>3.8195864970641452E-2</v>
      </c>
      <c r="V18" s="666">
        <f>'81 Biogas Plant, Basic conf.'!I11/100</f>
        <v>3.8195864970641452E-2</v>
      </c>
      <c r="W18" s="668">
        <f>'81 Biogas Plant, Basic conf.'!J11/100</f>
        <v>3.8195864970641452E-2</v>
      </c>
      <c r="X18" s="667">
        <f>(T18*T15+P18*P15)/X15</f>
        <v>3.6410084249930072E-2</v>
      </c>
      <c r="Y18" s="666">
        <f>(U18*U15+Q18*Q15)/Y15</f>
        <v>3.7194624472035538E-2</v>
      </c>
      <c r="Z18" s="666">
        <f>(V18*V15+R18*R15)/Z15</f>
        <v>3.7194624472035538E-2</v>
      </c>
      <c r="AA18" s="665">
        <f>(W18*W15+S18*S15)/AA15</f>
        <v>3.7194624472035538E-2</v>
      </c>
    </row>
    <row r="19" spans="1:27" ht="53.4" thickBot="1">
      <c r="A19" s="567"/>
      <c r="C19" s="631" t="s">
        <v>765</v>
      </c>
      <c r="D19" s="632"/>
      <c r="E19" s="632"/>
      <c r="F19" s="632"/>
      <c r="G19" s="632"/>
      <c r="H19" s="622"/>
      <c r="I19" s="622"/>
      <c r="J19" s="622"/>
      <c r="K19" s="622"/>
      <c r="L19" s="622" t="s">
        <v>269</v>
      </c>
      <c r="M19" s="623"/>
      <c r="O19" s="664" t="s">
        <v>764</v>
      </c>
      <c r="P19" s="661">
        <f>D13</f>
        <v>9.2086572813314966E-3</v>
      </c>
      <c r="Q19" s="660">
        <f>E13</f>
        <v>8.4012239363742813E-3</v>
      </c>
      <c r="R19" s="660">
        <f>F13</f>
        <v>8.4012239363742813E-3</v>
      </c>
      <c r="S19" s="659">
        <f>G13</f>
        <v>8.4012239363742813E-3</v>
      </c>
      <c r="T19" s="663">
        <f>'81 Biogas Plant, Basic conf.'!G13/100</f>
        <v>8.3858637444973669E-2</v>
      </c>
      <c r="U19" s="660">
        <f>'81 Biogas Plant, Basic conf.'!H13/100</f>
        <v>8.9255616752262193E-2</v>
      </c>
      <c r="V19" s="660">
        <f>'81 Biogas Plant, Basic conf.'!I13/100</f>
        <v>8.9255616752262193E-2</v>
      </c>
      <c r="W19" s="662">
        <f>'81 Biogas Plant, Basic conf.'!J13/100</f>
        <v>8.9255616752262193E-2</v>
      </c>
      <c r="X19" s="661">
        <f>(T19*T15+P19*P15)/X15</f>
        <v>7.6569841188071128E-2</v>
      </c>
      <c r="Y19" s="660">
        <f>(U19*U15+Q19*Q15)/Y15</f>
        <v>8.0905415078096621E-2</v>
      </c>
      <c r="Z19" s="660">
        <f>(V19*V15+R19*R15)/Z15</f>
        <v>8.0905415078096621E-2</v>
      </c>
      <c r="AA19" s="659">
        <f>(W19*W15+S19*S15)/AA15</f>
        <v>8.0905415078096621E-2</v>
      </c>
    </row>
    <row r="20" spans="1:27">
      <c r="A20" s="567"/>
      <c r="C20" s="631"/>
      <c r="D20" s="632"/>
      <c r="E20" s="632"/>
      <c r="F20" s="632"/>
      <c r="G20" s="632"/>
      <c r="H20" s="622"/>
      <c r="I20" s="622"/>
      <c r="J20" s="622"/>
      <c r="K20" s="622"/>
      <c r="L20" s="622"/>
      <c r="M20" s="623"/>
    </row>
    <row r="21" spans="1:27">
      <c r="A21" s="567"/>
      <c r="C21" s="631" t="s">
        <v>59</v>
      </c>
      <c r="D21" s="622">
        <v>0</v>
      </c>
      <c r="E21" s="622">
        <v>0</v>
      </c>
      <c r="F21" s="621">
        <v>0</v>
      </c>
      <c r="G21" s="620">
        <v>0</v>
      </c>
      <c r="H21" s="622"/>
      <c r="I21" s="622"/>
      <c r="J21" s="622"/>
      <c r="K21" s="622"/>
      <c r="L21" s="622"/>
      <c r="M21" s="622"/>
    </row>
    <row r="22" spans="1:27">
      <c r="A22" s="567"/>
      <c r="C22" s="631" t="s">
        <v>712</v>
      </c>
      <c r="D22" s="622">
        <v>10</v>
      </c>
      <c r="E22" s="622">
        <v>10</v>
      </c>
      <c r="F22" s="621">
        <v>10</v>
      </c>
      <c r="G22" s="620">
        <v>10</v>
      </c>
      <c r="H22" s="622"/>
      <c r="I22" s="622"/>
      <c r="J22" s="622"/>
      <c r="K22" s="622"/>
      <c r="L22" s="622"/>
      <c r="M22" s="588"/>
    </row>
    <row r="23" spans="1:27">
      <c r="A23" s="567"/>
      <c r="C23" s="658" t="s">
        <v>58</v>
      </c>
      <c r="D23" s="622">
        <v>20</v>
      </c>
      <c r="E23" s="622">
        <v>20</v>
      </c>
      <c r="F23" s="621">
        <v>20</v>
      </c>
      <c r="G23" s="620">
        <v>20</v>
      </c>
      <c r="H23" s="588"/>
      <c r="I23" s="588"/>
      <c r="J23" s="588"/>
      <c r="K23" s="588"/>
      <c r="L23" s="588"/>
      <c r="M23" s="588"/>
    </row>
    <row r="24" spans="1:27">
      <c r="A24" s="567"/>
      <c r="C24" s="658" t="s">
        <v>60</v>
      </c>
      <c r="D24" s="622">
        <v>1</v>
      </c>
      <c r="E24" s="622">
        <v>1</v>
      </c>
      <c r="F24" s="621">
        <v>1</v>
      </c>
      <c r="G24" s="620">
        <v>1</v>
      </c>
      <c r="H24" s="588"/>
      <c r="I24" s="588"/>
      <c r="J24" s="588"/>
      <c r="K24" s="588"/>
      <c r="L24" s="588"/>
      <c r="M24" s="588"/>
    </row>
    <row r="25" spans="1:27">
      <c r="A25" s="567"/>
      <c r="C25" s="658"/>
      <c r="D25" s="588"/>
      <c r="E25" s="588"/>
      <c r="F25" s="588"/>
      <c r="G25" s="588"/>
      <c r="H25" s="588"/>
      <c r="I25" s="588"/>
      <c r="J25" s="588"/>
      <c r="K25" s="588"/>
      <c r="L25" s="588"/>
      <c r="M25" s="618"/>
    </row>
    <row r="26" spans="1:27">
      <c r="A26" s="567"/>
      <c r="C26" s="657" t="s">
        <v>264</v>
      </c>
      <c r="D26" s="657"/>
      <c r="E26" s="657"/>
      <c r="F26" s="657"/>
      <c r="G26" s="657"/>
      <c r="H26" s="618"/>
      <c r="I26" s="618"/>
      <c r="J26" s="618"/>
      <c r="K26" s="618"/>
      <c r="L26" s="619"/>
      <c r="M26" s="245"/>
    </row>
    <row r="27" spans="1:27">
      <c r="A27" s="567"/>
      <c r="C27" s="631" t="s">
        <v>763</v>
      </c>
      <c r="D27" s="608">
        <v>407676.16944836598</v>
      </c>
      <c r="E27" s="608">
        <v>371930.31388000195</v>
      </c>
      <c r="F27" s="656">
        <v>371930.31388000195</v>
      </c>
      <c r="G27" s="656">
        <v>371930.31388000195</v>
      </c>
      <c r="H27" s="612"/>
      <c r="I27" s="612"/>
      <c r="J27" s="612"/>
      <c r="K27" s="612"/>
      <c r="L27" s="588" t="s">
        <v>761</v>
      </c>
      <c r="M27" s="616" t="s">
        <v>709</v>
      </c>
    </row>
    <row r="28" spans="1:27">
      <c r="A28" s="567"/>
      <c r="C28" s="640" t="s">
        <v>762</v>
      </c>
      <c r="D28" s="604">
        <v>94</v>
      </c>
      <c r="E28" s="604">
        <v>94</v>
      </c>
      <c r="F28" s="604">
        <v>94</v>
      </c>
      <c r="G28" s="604">
        <v>94</v>
      </c>
      <c r="H28" s="588"/>
      <c r="I28" s="588"/>
      <c r="J28" s="588"/>
      <c r="K28" s="588"/>
      <c r="L28" s="588" t="s">
        <v>761</v>
      </c>
      <c r="M28" s="588"/>
    </row>
    <row r="29" spans="1:27">
      <c r="A29" s="567"/>
      <c r="C29" s="631" t="s">
        <v>705</v>
      </c>
      <c r="D29" s="608">
        <f>D30*D10</f>
        <v>47386.621139570459</v>
      </c>
      <c r="E29" s="608">
        <f>E30*E10</f>
        <v>44727.302826015723</v>
      </c>
      <c r="F29" s="608">
        <f>F30*F10</f>
        <v>52704.021047101713</v>
      </c>
      <c r="G29" s="608">
        <f>G30*G10</f>
        <v>56692.380157644715</v>
      </c>
      <c r="H29" s="588"/>
      <c r="I29" s="588"/>
      <c r="J29" s="588"/>
      <c r="K29" s="588"/>
      <c r="L29" s="588" t="s">
        <v>759</v>
      </c>
      <c r="M29" s="611" t="s">
        <v>701</v>
      </c>
    </row>
    <row r="30" spans="1:27">
      <c r="A30" s="567"/>
      <c r="C30" s="640" t="s">
        <v>760</v>
      </c>
      <c r="D30" s="605">
        <f>SUM(D31:D33)</f>
        <v>10.926177983733686</v>
      </c>
      <c r="E30" s="605">
        <f>SUM(E31:E33)</f>
        <v>11.304177983733688</v>
      </c>
      <c r="F30" s="605">
        <f>SUM(F31:F33)</f>
        <v>13.320177983733686</v>
      </c>
      <c r="G30" s="605">
        <f>SUM(G31:G33)</f>
        <v>14.328177983733687</v>
      </c>
      <c r="H30" s="655"/>
      <c r="I30" s="655"/>
      <c r="J30" s="655"/>
      <c r="K30" s="655"/>
      <c r="L30" s="588" t="s">
        <v>759</v>
      </c>
      <c r="M30" s="653"/>
    </row>
    <row r="31" spans="1:27">
      <c r="A31" s="567"/>
      <c r="C31" s="610" t="s">
        <v>703</v>
      </c>
      <c r="D31" s="604">
        <v>6.5471779837336861</v>
      </c>
      <c r="E31" s="604">
        <v>6.5471779837336861</v>
      </c>
      <c r="F31" s="604">
        <v>6.5471779837336861</v>
      </c>
      <c r="G31" s="604">
        <v>6.5471779837336861</v>
      </c>
      <c r="H31" s="655"/>
      <c r="I31" s="655"/>
      <c r="J31" s="655"/>
      <c r="K31" s="655"/>
      <c r="L31" s="588"/>
      <c r="M31" s="653"/>
    </row>
    <row r="32" spans="1:27">
      <c r="A32" s="567"/>
      <c r="C32" s="610" t="s">
        <v>700</v>
      </c>
      <c r="D32" s="604">
        <f>63*D12/1000</f>
        <v>3.9689999999999999</v>
      </c>
      <c r="E32" s="604">
        <f>69*E12/1000</f>
        <v>4.3470000000000004</v>
      </c>
      <c r="F32" s="604">
        <f>101*F12/1000</f>
        <v>6.3630000000000004</v>
      </c>
      <c r="G32" s="604">
        <f>117*G12/1000</f>
        <v>7.3710000000000004</v>
      </c>
      <c r="H32" s="655"/>
      <c r="I32" s="655"/>
      <c r="J32" s="655"/>
      <c r="K32" s="655"/>
      <c r="L32" s="588" t="s">
        <v>671</v>
      </c>
      <c r="M32" s="653"/>
    </row>
    <row r="33" spans="1:14">
      <c r="A33" s="567"/>
      <c r="C33" s="610" t="s">
        <v>699</v>
      </c>
      <c r="D33" s="604">
        <f>0.0220430107526882*D14</f>
        <v>0.41000000000000059</v>
      </c>
      <c r="E33" s="604">
        <f>0.0220430107526882*E14</f>
        <v>0.41000000000000059</v>
      </c>
      <c r="F33" s="604">
        <f>0.0220430107526882*F14</f>
        <v>0.41000000000000059</v>
      </c>
      <c r="G33" s="604">
        <f>0.0220430107526882*G14</f>
        <v>0.41000000000000059</v>
      </c>
      <c r="H33" s="655"/>
      <c r="I33" s="655"/>
      <c r="J33" s="655"/>
      <c r="K33" s="655"/>
      <c r="L33" s="588"/>
      <c r="M33" s="653"/>
    </row>
    <row r="34" spans="1:14">
      <c r="A34" s="567"/>
      <c r="C34" s="615"/>
      <c r="D34" s="605"/>
      <c r="E34" s="605"/>
      <c r="F34" s="605"/>
      <c r="G34" s="605"/>
      <c r="H34" s="598"/>
      <c r="I34" s="598"/>
      <c r="J34" s="245"/>
      <c r="K34" s="245"/>
      <c r="L34" s="597"/>
      <c r="M34" s="653"/>
    </row>
    <row r="35" spans="1:14">
      <c r="A35" s="567"/>
      <c r="C35" s="654" t="s">
        <v>698</v>
      </c>
      <c r="D35" s="605"/>
      <c r="E35" s="605"/>
      <c r="F35" s="605"/>
      <c r="G35" s="605"/>
      <c r="H35" s="601"/>
      <c r="I35" s="601"/>
      <c r="J35" s="245"/>
      <c r="K35" s="245"/>
      <c r="L35" s="597"/>
      <c r="M35" s="653"/>
    </row>
    <row r="36" spans="1:14">
      <c r="A36" s="567"/>
      <c r="C36" s="631" t="s">
        <v>758</v>
      </c>
      <c r="D36" s="605">
        <v>4</v>
      </c>
      <c r="E36" s="605">
        <v>4.4000000000000004</v>
      </c>
      <c r="F36" s="605">
        <v>4.4000000000000004</v>
      </c>
      <c r="G36" s="605">
        <v>4.4000000000000004</v>
      </c>
      <c r="H36" s="598">
        <v>1.8</v>
      </c>
      <c r="I36" s="598">
        <v>9.1999999999999993</v>
      </c>
      <c r="J36" s="598">
        <v>1.8</v>
      </c>
      <c r="K36" s="598">
        <v>9.1999999999999993</v>
      </c>
      <c r="L36" s="597" t="s">
        <v>393</v>
      </c>
      <c r="M36" s="653" t="s">
        <v>696</v>
      </c>
    </row>
    <row r="37" spans="1:14">
      <c r="A37" s="567"/>
    </row>
    <row r="38" spans="1:14">
      <c r="B38" s="1356" t="s">
        <v>695</v>
      </c>
      <c r="C38" s="1357"/>
      <c r="D38" s="582"/>
      <c r="E38" s="582"/>
      <c r="F38" s="582"/>
      <c r="G38" s="582"/>
      <c r="H38" s="582"/>
      <c r="I38" s="582"/>
      <c r="J38" s="582"/>
      <c r="K38" s="582"/>
      <c r="L38" s="584"/>
      <c r="M38" s="1340"/>
      <c r="N38" s="1340"/>
    </row>
    <row r="39" spans="1:14">
      <c r="B39" s="574" t="s">
        <v>694</v>
      </c>
      <c r="C39" s="1343" t="s">
        <v>757</v>
      </c>
      <c r="D39" s="1353"/>
      <c r="E39" s="1353"/>
      <c r="F39" s="1353"/>
      <c r="G39" s="1353"/>
      <c r="H39" s="1353"/>
      <c r="I39" s="1353"/>
      <c r="J39" s="1353"/>
      <c r="K39" s="1353"/>
      <c r="L39" s="1354"/>
      <c r="M39" s="1354"/>
      <c r="N39" s="1354"/>
    </row>
    <row r="40" spans="1:14" ht="14.4">
      <c r="A40" s="652"/>
      <c r="B40" s="574" t="s">
        <v>692</v>
      </c>
      <c r="C40" s="1343" t="s">
        <v>756</v>
      </c>
      <c r="D40" s="1353"/>
      <c r="E40" s="1353"/>
      <c r="F40" s="1353"/>
      <c r="G40" s="1353"/>
      <c r="H40" s="1353"/>
      <c r="I40" s="1353"/>
      <c r="J40" s="1353"/>
      <c r="K40" s="1353"/>
      <c r="L40" s="1354"/>
      <c r="M40" s="1354"/>
      <c r="N40" s="1354"/>
    </row>
    <row r="41" spans="1:14" ht="34.200000000000003">
      <c r="B41" s="574" t="s">
        <v>272</v>
      </c>
      <c r="C41" s="577" t="s">
        <v>755</v>
      </c>
      <c r="D41" s="1335" t="s">
        <v>755</v>
      </c>
      <c r="E41" s="1354"/>
      <c r="F41" s="1354"/>
      <c r="G41" s="1354"/>
      <c r="H41" s="1354"/>
      <c r="I41" s="1354"/>
      <c r="J41" s="1354"/>
      <c r="K41" s="1354"/>
      <c r="L41" s="1354"/>
      <c r="M41" s="1354"/>
      <c r="N41" s="1354"/>
    </row>
    <row r="42" spans="1:14">
      <c r="B42" s="574" t="s">
        <v>269</v>
      </c>
      <c r="D42" s="1343" t="s">
        <v>754</v>
      </c>
      <c r="E42" s="1353"/>
      <c r="F42" s="1353"/>
      <c r="G42" s="1353"/>
      <c r="H42" s="1353"/>
      <c r="I42" s="1353"/>
      <c r="J42" s="1353"/>
      <c r="K42" s="1353"/>
      <c r="L42" s="1353"/>
      <c r="M42" s="1354"/>
      <c r="N42" s="1354"/>
    </row>
    <row r="43" spans="1:14">
      <c r="B43" s="574" t="s">
        <v>266</v>
      </c>
      <c r="C43" s="1343" t="s">
        <v>753</v>
      </c>
      <c r="D43" s="1353"/>
      <c r="E43" s="1353"/>
      <c r="F43" s="1353"/>
      <c r="G43" s="1353"/>
      <c r="H43" s="1353"/>
      <c r="I43" s="1353"/>
      <c r="J43" s="1353"/>
      <c r="K43" s="1353"/>
      <c r="L43" s="584"/>
      <c r="M43" s="1340"/>
      <c r="N43" s="1340"/>
    </row>
    <row r="44" spans="1:14">
      <c r="B44" s="574" t="s">
        <v>255</v>
      </c>
      <c r="C44" s="1343" t="s">
        <v>752</v>
      </c>
      <c r="D44" s="1353"/>
      <c r="E44" s="1353"/>
      <c r="F44" s="1353"/>
      <c r="G44" s="1353"/>
      <c r="H44" s="1353"/>
      <c r="I44" s="1353"/>
      <c r="J44" s="1353"/>
      <c r="K44" s="1353"/>
      <c r="L44" s="1354"/>
      <c r="M44" s="1354"/>
      <c r="N44" s="1354"/>
    </row>
    <row r="45" spans="1:14">
      <c r="B45" s="574" t="s">
        <v>389</v>
      </c>
      <c r="C45" s="1340" t="s">
        <v>751</v>
      </c>
      <c r="D45" s="1340"/>
      <c r="E45" s="1340"/>
      <c r="F45" s="1340"/>
      <c r="G45" s="1340"/>
      <c r="H45" s="1340"/>
      <c r="I45" s="1340"/>
      <c r="J45" s="1340"/>
      <c r="K45" s="1340"/>
      <c r="L45" s="1355"/>
      <c r="M45" s="1355"/>
      <c r="N45" s="1355"/>
    </row>
    <row r="46" spans="1:14">
      <c r="B46" s="574" t="s">
        <v>393</v>
      </c>
      <c r="C46" s="1340" t="s">
        <v>750</v>
      </c>
      <c r="D46" s="1340"/>
      <c r="E46" s="1340"/>
      <c r="F46" s="1340"/>
      <c r="G46" s="1340"/>
      <c r="H46" s="1340"/>
      <c r="I46" s="1340"/>
      <c r="J46" s="1340"/>
      <c r="K46" s="1340"/>
      <c r="L46" s="1355"/>
    </row>
    <row r="47" spans="1:14">
      <c r="B47" s="574" t="s">
        <v>673</v>
      </c>
      <c r="C47" s="1335" t="s">
        <v>672</v>
      </c>
      <c r="D47" s="1335"/>
      <c r="E47" s="1335"/>
      <c r="F47" s="1335"/>
      <c r="G47" s="1335"/>
      <c r="H47" s="1335"/>
      <c r="I47" s="1335"/>
      <c r="J47" s="1335"/>
      <c r="K47" s="1335"/>
    </row>
    <row r="48" spans="1:14">
      <c r="B48" s="574" t="s">
        <v>671</v>
      </c>
    </row>
    <row r="49" spans="2:14" ht="13.8">
      <c r="B49" s="574"/>
      <c r="C49" s="570"/>
      <c r="D49" s="569"/>
      <c r="E49" s="569"/>
      <c r="F49" s="569"/>
      <c r="G49" s="569"/>
      <c r="H49" s="569"/>
      <c r="I49" s="569"/>
      <c r="J49" s="569"/>
      <c r="K49" s="569"/>
      <c r="L49" s="569"/>
      <c r="M49" s="569"/>
      <c r="N49" s="569"/>
    </row>
    <row r="50" spans="2:14">
      <c r="B50" s="571" t="s">
        <v>669</v>
      </c>
      <c r="C50" s="582"/>
      <c r="D50" s="582"/>
      <c r="E50" s="582"/>
      <c r="F50" s="582"/>
      <c r="G50" s="582"/>
      <c r="H50" s="582"/>
      <c r="I50" s="582"/>
      <c r="J50" s="582"/>
    </row>
    <row r="51" spans="2:14">
      <c r="B51" s="567">
        <v>5</v>
      </c>
      <c r="D51" s="651" t="s">
        <v>668</v>
      </c>
      <c r="E51" s="651"/>
      <c r="F51" s="651"/>
      <c r="G51" s="651"/>
      <c r="H51" s="651"/>
      <c r="I51" s="651"/>
      <c r="J51" s="651"/>
      <c r="K51" s="651"/>
      <c r="L51" s="651"/>
    </row>
    <row r="52" spans="2:14">
      <c r="B52" s="567">
        <v>8</v>
      </c>
      <c r="D52" s="651" t="s">
        <v>667</v>
      </c>
      <c r="E52" s="651"/>
      <c r="F52" s="651"/>
      <c r="G52" s="651"/>
      <c r="H52" s="651"/>
      <c r="I52" s="651"/>
      <c r="J52" s="651"/>
    </row>
    <row r="53" spans="2:14">
      <c r="B53" s="567">
        <v>9</v>
      </c>
      <c r="D53" s="651" t="s">
        <v>666</v>
      </c>
      <c r="E53" s="651"/>
      <c r="F53" s="651"/>
      <c r="G53" s="651"/>
      <c r="H53" s="651"/>
      <c r="I53" s="651"/>
      <c r="J53" s="651"/>
      <c r="K53" s="651"/>
      <c r="L53" s="651"/>
    </row>
    <row r="54" spans="2:14">
      <c r="B54" s="567">
        <v>12</v>
      </c>
      <c r="D54" s="651" t="s">
        <v>665</v>
      </c>
      <c r="E54" s="651"/>
      <c r="F54" s="651"/>
      <c r="G54" s="651"/>
      <c r="H54" s="651"/>
      <c r="I54" s="651"/>
      <c r="J54" s="651"/>
      <c r="K54" s="651"/>
      <c r="L54" s="651"/>
    </row>
    <row r="57" spans="2:14" ht="13.8" thickBot="1"/>
    <row r="58" spans="2:14">
      <c r="D58" s="304"/>
      <c r="E58" s="104" t="s">
        <v>425</v>
      </c>
      <c r="F58" s="104" t="s">
        <v>426</v>
      </c>
      <c r="G58" s="305" t="s">
        <v>427</v>
      </c>
    </row>
    <row r="59" spans="2:14">
      <c r="D59" s="311" t="s">
        <v>432</v>
      </c>
      <c r="E59" s="312">
        <v>0.73499999999999999</v>
      </c>
      <c r="F59" s="69">
        <v>0.44</v>
      </c>
      <c r="G59" s="313">
        <v>0.44</v>
      </c>
    </row>
    <row r="60" spans="2:14">
      <c r="D60" s="311" t="s">
        <v>434</v>
      </c>
      <c r="E60" s="299">
        <v>0.08</v>
      </c>
      <c r="F60" s="69">
        <v>2</v>
      </c>
      <c r="G60" s="313">
        <v>0.2</v>
      </c>
    </row>
    <row r="61" spans="2:14">
      <c r="D61" s="311" t="s">
        <v>436</v>
      </c>
      <c r="E61" s="312">
        <v>6.0999999999999999E-2</v>
      </c>
      <c r="F61" s="69">
        <v>1.57</v>
      </c>
      <c r="G61" s="313">
        <v>0.12</v>
      </c>
    </row>
    <row r="62" spans="2:14">
      <c r="D62" s="311" t="s">
        <v>437</v>
      </c>
      <c r="E62" s="312">
        <v>6.3E-2</v>
      </c>
      <c r="F62" s="69">
        <v>7.27</v>
      </c>
      <c r="G62" s="316"/>
    </row>
    <row r="63" spans="2:14">
      <c r="D63" s="311" t="s">
        <v>438</v>
      </c>
      <c r="E63" s="299">
        <v>0.01</v>
      </c>
      <c r="F63" s="69">
        <v>4.83</v>
      </c>
      <c r="G63" s="313">
        <v>0.06</v>
      </c>
    </row>
    <row r="64" spans="2:14">
      <c r="D64" s="311" t="s">
        <v>439</v>
      </c>
      <c r="E64" s="312">
        <v>1.6E-2</v>
      </c>
      <c r="F64" s="69">
        <v>3.41</v>
      </c>
      <c r="G64" s="313">
        <v>7.0000000000000007E-2</v>
      </c>
    </row>
    <row r="65" spans="4:7">
      <c r="D65" s="311" t="s">
        <v>440</v>
      </c>
      <c r="F65" s="69">
        <f>(1.5+3.5)/2</f>
        <v>2.5</v>
      </c>
      <c r="G65" s="316"/>
    </row>
    <row r="66" spans="4:7">
      <c r="D66" s="311" t="s">
        <v>441</v>
      </c>
      <c r="E66" s="312">
        <v>3.5000000000000003E-2</v>
      </c>
      <c r="F66" s="69">
        <v>3.5</v>
      </c>
      <c r="G66" s="313">
        <v>0.11</v>
      </c>
    </row>
    <row r="67" spans="4:7" ht="13.8" thickBot="1">
      <c r="D67" s="325"/>
      <c r="E67" s="326">
        <f>SUM(E59:E66)</f>
        <v>0.99999999999999989</v>
      </c>
      <c r="F67" s="107"/>
      <c r="G67" s="327">
        <f>SUM(G59:G66)</f>
        <v>1.0000000000000002</v>
      </c>
    </row>
  </sheetData>
  <mergeCells count="21">
    <mergeCell ref="D7:G7"/>
    <mergeCell ref="D1:L1"/>
    <mergeCell ref="D3:M3"/>
    <mergeCell ref="H4:I4"/>
    <mergeCell ref="J4:K4"/>
    <mergeCell ref="D6:G6"/>
    <mergeCell ref="C44:N44"/>
    <mergeCell ref="C45:N45"/>
    <mergeCell ref="C46:L46"/>
    <mergeCell ref="C47:K47"/>
    <mergeCell ref="B38:C38"/>
    <mergeCell ref="M38:N38"/>
    <mergeCell ref="C39:N39"/>
    <mergeCell ref="C40:N40"/>
    <mergeCell ref="D41:N41"/>
    <mergeCell ref="D42:N42"/>
    <mergeCell ref="X13:AA13"/>
    <mergeCell ref="T13:W13"/>
    <mergeCell ref="P13:S13"/>
    <mergeCell ref="C43:K43"/>
    <mergeCell ref="M43:N43"/>
  </mergeCells>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B64DD-D878-4E63-A4B8-403B75778EDA}">
  <sheetPr>
    <tabColor theme="3" tint="0.59999389629810485"/>
  </sheetPr>
  <dimension ref="A1:AA64"/>
  <sheetViews>
    <sheetView workbookViewId="0">
      <selection activeCell="O20" sqref="O20"/>
    </sheetView>
  </sheetViews>
  <sheetFormatPr defaultColWidth="9.109375" defaultRowHeight="13.2"/>
  <cols>
    <col min="1" max="1" width="4.44140625" style="69" customWidth="1"/>
    <col min="2" max="2" width="0" style="69" hidden="1" customWidth="1"/>
    <col min="3" max="3" width="44.88671875" style="69" customWidth="1"/>
    <col min="4" max="4" width="11.6640625" style="69" customWidth="1"/>
    <col min="5" max="5" width="9.88671875" style="69" customWidth="1"/>
    <col min="6" max="6" width="10.44140625" style="69" customWidth="1"/>
    <col min="7" max="7" width="12.44140625" style="69" customWidth="1"/>
    <col min="8" max="8" width="8.88671875" style="69" customWidth="1"/>
    <col min="9" max="9" width="9.33203125" style="69" customWidth="1"/>
    <col min="10" max="10" width="8.44140625" style="69" customWidth="1"/>
    <col min="11" max="11" width="8.109375" style="69" customWidth="1"/>
    <col min="12" max="12" width="5.33203125" style="69" customWidth="1"/>
    <col min="13" max="13" width="12.88671875" style="69" customWidth="1"/>
    <col min="14" max="14" width="9.109375" style="69"/>
    <col min="15" max="15" width="26.44140625" style="69" customWidth="1"/>
    <col min="16" max="16" width="22.88671875" style="69" bestFit="1" customWidth="1"/>
    <col min="17" max="16384" width="9.109375" style="69"/>
  </cols>
  <sheetData>
    <row r="1" spans="1:27" ht="21">
      <c r="A1" s="567"/>
      <c r="C1" s="650" t="s">
        <v>749</v>
      </c>
      <c r="D1" s="1344" t="s">
        <v>809</v>
      </c>
      <c r="E1" s="1344"/>
      <c r="F1" s="1344"/>
      <c r="G1" s="1344"/>
      <c r="H1" s="1344"/>
      <c r="I1" s="1344"/>
      <c r="J1" s="1344"/>
      <c r="K1" s="1344"/>
      <c r="L1" s="1344"/>
      <c r="M1" s="1344"/>
    </row>
    <row r="2" spans="1:27">
      <c r="A2" s="567"/>
    </row>
    <row r="3" spans="1:27">
      <c r="A3" s="567"/>
      <c r="C3" s="618" t="s">
        <v>296</v>
      </c>
      <c r="D3" s="1346" t="s">
        <v>809</v>
      </c>
      <c r="E3" s="1367"/>
      <c r="F3" s="1367"/>
      <c r="G3" s="1367"/>
      <c r="H3" s="1367"/>
      <c r="I3" s="1367"/>
      <c r="J3" s="1367"/>
      <c r="K3" s="1367"/>
      <c r="L3" s="1367"/>
      <c r="M3" s="1349"/>
    </row>
    <row r="4" spans="1:27">
      <c r="A4" s="567"/>
      <c r="C4" s="613"/>
      <c r="D4" s="619">
        <v>2015</v>
      </c>
      <c r="E4" s="619">
        <v>2020</v>
      </c>
      <c r="F4" s="619">
        <v>2030</v>
      </c>
      <c r="G4" s="619">
        <v>2050</v>
      </c>
      <c r="H4" s="1346" t="s">
        <v>290</v>
      </c>
      <c r="I4" s="1349"/>
      <c r="J4" s="1346" t="s">
        <v>289</v>
      </c>
      <c r="K4" s="1349"/>
      <c r="L4" s="619" t="s">
        <v>288</v>
      </c>
      <c r="M4" s="619" t="s">
        <v>287</v>
      </c>
      <c r="P4" s="69" t="s">
        <v>808</v>
      </c>
    </row>
    <row r="5" spans="1:27" ht="13.8" thickBot="1">
      <c r="A5" s="567"/>
      <c r="C5" s="618" t="s">
        <v>282</v>
      </c>
      <c r="D5" s="618"/>
      <c r="E5" s="618"/>
      <c r="F5" s="618"/>
      <c r="G5" s="618"/>
      <c r="H5" s="618" t="s">
        <v>284</v>
      </c>
      <c r="I5" s="618" t="s">
        <v>283</v>
      </c>
      <c r="J5" s="618" t="s">
        <v>284</v>
      </c>
      <c r="K5" s="618" t="s">
        <v>283</v>
      </c>
      <c r="L5" s="618"/>
      <c r="M5" s="618"/>
    </row>
    <row r="6" spans="1:27">
      <c r="A6" s="567"/>
      <c r="C6" s="613" t="s">
        <v>807</v>
      </c>
      <c r="D6" s="1368">
        <v>1</v>
      </c>
      <c r="E6" s="1369"/>
      <c r="F6" s="1369"/>
      <c r="G6" s="1370"/>
      <c r="H6" s="588"/>
      <c r="I6" s="588"/>
      <c r="J6" s="588"/>
      <c r="K6" s="588"/>
      <c r="L6" s="588" t="s">
        <v>734</v>
      </c>
      <c r="M6" s="588"/>
      <c r="P6" s="304" t="s">
        <v>526</v>
      </c>
      <c r="Q6" s="305"/>
    </row>
    <row r="7" spans="1:27">
      <c r="A7" s="567"/>
      <c r="C7" s="613"/>
      <c r="D7" s="1364"/>
      <c r="E7" s="1365"/>
      <c r="F7" s="1365"/>
      <c r="G7" s="1366"/>
      <c r="H7" s="588"/>
      <c r="I7" s="588"/>
      <c r="J7" s="588"/>
      <c r="K7" s="588"/>
      <c r="L7" s="588"/>
      <c r="M7" s="588"/>
      <c r="P7" s="687" t="s">
        <v>780</v>
      </c>
      <c r="Q7" s="315">
        <v>12.16</v>
      </c>
    </row>
    <row r="8" spans="1:27" ht="13.8" thickBot="1">
      <c r="A8" s="567"/>
      <c r="C8" s="642" t="s">
        <v>737</v>
      </c>
      <c r="D8" s="588"/>
      <c r="E8" s="588"/>
      <c r="F8" s="588"/>
      <c r="G8" s="588"/>
      <c r="H8" s="588"/>
      <c r="I8" s="588"/>
      <c r="J8" s="588"/>
      <c r="K8" s="588"/>
      <c r="L8" s="588"/>
      <c r="M8" s="588"/>
      <c r="P8" s="698"/>
      <c r="Q8" s="330"/>
    </row>
    <row r="9" spans="1:27">
      <c r="A9" s="567"/>
      <c r="C9" s="615" t="s">
        <v>806</v>
      </c>
      <c r="D9" s="712" t="s">
        <v>805</v>
      </c>
      <c r="E9" s="712" t="s">
        <v>805</v>
      </c>
      <c r="F9" s="712" t="s">
        <v>805</v>
      </c>
      <c r="G9" s="712" t="s">
        <v>805</v>
      </c>
      <c r="H9" s="622"/>
      <c r="I9" s="622"/>
      <c r="J9" s="622"/>
      <c r="K9" s="622"/>
      <c r="L9" s="622" t="s">
        <v>786</v>
      </c>
      <c r="M9" s="622"/>
    </row>
    <row r="10" spans="1:27">
      <c r="A10" s="567"/>
      <c r="C10" s="708" t="s">
        <v>804</v>
      </c>
      <c r="D10" s="696">
        <v>6529.1925465838513</v>
      </c>
      <c r="E10" s="696">
        <v>6529.1925465838513</v>
      </c>
      <c r="F10" s="696">
        <v>6529.1925465838513</v>
      </c>
      <c r="G10" s="696">
        <v>6529.1925465838513</v>
      </c>
      <c r="H10" s="622"/>
      <c r="I10" s="622"/>
      <c r="J10" s="622"/>
      <c r="K10" s="622"/>
      <c r="L10" s="622"/>
      <c r="M10" s="622">
        <v>5</v>
      </c>
    </row>
    <row r="11" spans="1:27">
      <c r="A11" s="567"/>
      <c r="C11" s="615" t="s">
        <v>803</v>
      </c>
      <c r="D11" s="694">
        <v>7.6770186335403728E-3</v>
      </c>
      <c r="E11" s="694">
        <v>7.6770186335403728E-3</v>
      </c>
      <c r="F11" s="694">
        <v>7.6770186335403728E-3</v>
      </c>
      <c r="G11" s="694">
        <v>7.6770186335403728E-3</v>
      </c>
      <c r="H11" s="245"/>
      <c r="I11" s="245"/>
      <c r="J11" s="245"/>
      <c r="K11" s="245"/>
      <c r="L11" s="622"/>
      <c r="M11" s="653" t="s">
        <v>800</v>
      </c>
    </row>
    <row r="12" spans="1:27" ht="13.8" thickBot="1">
      <c r="A12" s="567"/>
      <c r="C12" s="708" t="s">
        <v>802</v>
      </c>
      <c r="D12" s="693">
        <v>10.3</v>
      </c>
      <c r="E12" s="693">
        <v>10.3</v>
      </c>
      <c r="F12" s="693">
        <v>10.3</v>
      </c>
      <c r="G12" s="693">
        <v>10.3</v>
      </c>
      <c r="H12" s="245"/>
      <c r="I12" s="245"/>
      <c r="J12" s="245"/>
      <c r="K12" s="245"/>
      <c r="L12" s="622" t="s">
        <v>694</v>
      </c>
      <c r="M12" s="653"/>
      <c r="P12" s="69" t="s">
        <v>776</v>
      </c>
    </row>
    <row r="13" spans="1:27">
      <c r="A13" s="567"/>
      <c r="C13" s="711" t="s">
        <v>801</v>
      </c>
      <c r="D13" s="694">
        <v>1.3863354037267081E-2</v>
      </c>
      <c r="E13" s="694">
        <v>1.3863354037267081E-2</v>
      </c>
      <c r="F13" s="694">
        <v>1.3863354037267081E-2</v>
      </c>
      <c r="G13" s="694">
        <v>1.3863354037267081E-2</v>
      </c>
      <c r="H13" s="635"/>
      <c r="I13" s="635"/>
      <c r="J13" s="622"/>
      <c r="K13" s="622"/>
      <c r="L13" s="622"/>
      <c r="M13" s="624" t="s">
        <v>800</v>
      </c>
      <c r="O13" s="304"/>
      <c r="P13" s="1350" t="s">
        <v>775</v>
      </c>
      <c r="Q13" s="1351"/>
      <c r="R13" s="1351"/>
      <c r="S13" s="1352"/>
      <c r="T13" s="1351" t="s">
        <v>774</v>
      </c>
      <c r="U13" s="1351"/>
      <c r="V13" s="1351"/>
      <c r="W13" s="1351"/>
      <c r="X13" s="1350" t="s">
        <v>773</v>
      </c>
      <c r="Y13" s="1351"/>
      <c r="Z13" s="1351"/>
      <c r="AA13" s="1352"/>
    </row>
    <row r="14" spans="1:27">
      <c r="A14" s="567"/>
      <c r="C14" s="710" t="s">
        <v>799</v>
      </c>
      <c r="D14" s="693">
        <v>18.600000000000001</v>
      </c>
      <c r="E14" s="693">
        <v>18.600000000000001</v>
      </c>
      <c r="F14" s="693">
        <v>18.600000000000001</v>
      </c>
      <c r="G14" s="693">
        <v>18.600000000000001</v>
      </c>
      <c r="H14" s="622"/>
      <c r="I14" s="622"/>
      <c r="J14" s="622"/>
      <c r="K14" s="622"/>
      <c r="L14" s="597" t="s">
        <v>694</v>
      </c>
      <c r="M14" s="624"/>
      <c r="O14" s="687"/>
      <c r="P14" s="690">
        <v>2015</v>
      </c>
      <c r="Q14" s="245">
        <v>2020</v>
      </c>
      <c r="R14" s="245">
        <v>2030</v>
      </c>
      <c r="S14" s="689">
        <v>2050</v>
      </c>
      <c r="T14" s="692">
        <v>2015</v>
      </c>
      <c r="U14" s="245">
        <v>2020</v>
      </c>
      <c r="V14" s="245">
        <v>2030</v>
      </c>
      <c r="W14" s="691">
        <v>2050</v>
      </c>
      <c r="X14" s="690">
        <v>2015</v>
      </c>
      <c r="Y14" s="245">
        <v>2020</v>
      </c>
      <c r="Z14" s="245">
        <v>2030</v>
      </c>
      <c r="AA14" s="689">
        <v>2050</v>
      </c>
    </row>
    <row r="15" spans="1:27">
      <c r="A15" s="567"/>
      <c r="C15" s="245"/>
      <c r="D15" s="245"/>
      <c r="E15" s="245"/>
      <c r="F15" s="245"/>
      <c r="G15" s="245"/>
      <c r="H15" s="622"/>
      <c r="I15" s="622"/>
      <c r="J15" s="622"/>
      <c r="K15" s="622"/>
      <c r="L15" s="597"/>
      <c r="M15" s="245"/>
      <c r="O15" s="687" t="s">
        <v>771</v>
      </c>
      <c r="P15" s="686">
        <f>D6</f>
        <v>1</v>
      </c>
      <c r="Q15" s="685">
        <f>P15</f>
        <v>1</v>
      </c>
      <c r="R15" s="685">
        <f>Q15</f>
        <v>1</v>
      </c>
      <c r="S15" s="684">
        <f>R15</f>
        <v>1</v>
      </c>
      <c r="T15" s="681">
        <f>'81 Biogas Plant, Basic conf.'!G7</f>
        <v>9.2417432910061201</v>
      </c>
      <c r="U15" s="579">
        <f>'81 Biogas Plant, Basic conf.'!H7</f>
        <v>8.6829269484640879</v>
      </c>
      <c r="V15" s="579">
        <f>'81 Biogas Plant, Basic conf.'!I7</f>
        <v>8.6829269484640879</v>
      </c>
      <c r="W15" s="680">
        <f>'81 Biogas Plant, Basic conf.'!J7</f>
        <v>8.6829269484640879</v>
      </c>
      <c r="X15" s="686">
        <f>T15+P15</f>
        <v>10.24174329100612</v>
      </c>
      <c r="Y15" s="685">
        <f>U15+Q15</f>
        <v>9.6829269484640879</v>
      </c>
      <c r="Z15" s="685">
        <f>V15+R15</f>
        <v>9.6829269484640879</v>
      </c>
      <c r="AA15" s="684">
        <f>W15+S15</f>
        <v>9.6829269484640879</v>
      </c>
    </row>
    <row r="16" spans="1:27">
      <c r="A16" s="567"/>
      <c r="C16" s="633" t="s">
        <v>721</v>
      </c>
      <c r="D16" s="632"/>
      <c r="E16" s="632"/>
      <c r="F16" s="631"/>
      <c r="G16" s="631"/>
      <c r="H16" s="622"/>
      <c r="I16" s="622"/>
      <c r="J16" s="622"/>
      <c r="K16" s="622"/>
      <c r="L16" s="622"/>
      <c r="M16" s="623"/>
      <c r="O16" s="682" t="s">
        <v>770</v>
      </c>
      <c r="P16" s="679">
        <f>D27/1000000</f>
        <v>0.27605042016806719</v>
      </c>
      <c r="Q16" s="579">
        <f>E27/1000000</f>
        <v>0.27605042016806719</v>
      </c>
      <c r="R16" s="579">
        <f>F27/1000000</f>
        <v>0.27605042016806719</v>
      </c>
      <c r="S16" s="678">
        <f>G27/1000000</f>
        <v>0.27605042016806719</v>
      </c>
      <c r="T16" s="681">
        <f>'81 Biogas Plant, Basic conf.'!G27</f>
        <v>1.8141415733691493</v>
      </c>
      <c r="U16" s="579">
        <f>'81 Biogas Plant, Basic conf.'!H27</f>
        <v>1.7106920331911744</v>
      </c>
      <c r="V16" s="579">
        <f>'81 Biogas Plant, Basic conf.'!I27</f>
        <v>1.5396228298720569</v>
      </c>
      <c r="W16" s="680">
        <f>'81 Biogas Plant, Basic conf.'!J27</f>
        <v>1.3856605468848513</v>
      </c>
      <c r="X16" s="679">
        <f t="shared" ref="X16:AA17" si="0">(T16*T15+P16*P15)/X15</f>
        <v>1.6639629260921989</v>
      </c>
      <c r="Y16" s="579">
        <f t="shared" si="0"/>
        <v>1.5625300548287671</v>
      </c>
      <c r="Z16" s="579">
        <f t="shared" si="0"/>
        <v>1.4091279478566123</v>
      </c>
      <c r="AA16" s="678">
        <f t="shared" si="0"/>
        <v>1.2710660515816732</v>
      </c>
    </row>
    <row r="17" spans="1:27" ht="13.8" thickBot="1">
      <c r="A17" s="567"/>
      <c r="C17" s="628" t="s">
        <v>798</v>
      </c>
      <c r="D17" s="676">
        <v>1</v>
      </c>
      <c r="E17" s="676">
        <v>1</v>
      </c>
      <c r="F17" s="676">
        <v>1</v>
      </c>
      <c r="G17" s="676">
        <v>1</v>
      </c>
      <c r="H17" s="622"/>
      <c r="I17" s="622"/>
      <c r="J17" s="622"/>
      <c r="K17" s="622"/>
      <c r="L17" s="622" t="s">
        <v>767</v>
      </c>
      <c r="M17" s="626"/>
      <c r="O17" s="675" t="s">
        <v>769</v>
      </c>
      <c r="P17" s="673">
        <f>D29/1000000</f>
        <v>4.95002802219816E-2</v>
      </c>
      <c r="Q17" s="672">
        <f>E29/1000000</f>
        <v>4.990378432136048E-2</v>
      </c>
      <c r="R17" s="672">
        <f>F29/1000000</f>
        <v>5.2055806184714511E-2</v>
      </c>
      <c r="S17" s="671">
        <f>G29/1000000</f>
        <v>5.3131817116391526E-2</v>
      </c>
      <c r="T17" s="674">
        <f>'81 Biogas Plant, Basic conf.'!G30/1000000</f>
        <v>0.19878517939696189</v>
      </c>
      <c r="U17" s="672">
        <f>'81 Biogas Plant, Basic conf.'!H30/1000000</f>
        <v>0.19471502140648481</v>
      </c>
      <c r="V17" s="672">
        <f>'81 Biogas Plant, Basic conf.'!I30/1000000</f>
        <v>0.19770243921954936</v>
      </c>
      <c r="W17" s="310">
        <f>'81 Biogas Plant, Basic conf.'!J30/1000000</f>
        <v>0.1957223069511041</v>
      </c>
      <c r="X17" s="673">
        <f t="shared" si="0"/>
        <v>0.2249383236839311</v>
      </c>
      <c r="Y17" s="672">
        <f t="shared" si="0"/>
        <v>0.22199470366707508</v>
      </c>
      <c r="Z17" s="672">
        <f t="shared" si="0"/>
        <v>0.2262088525021039</v>
      </c>
      <c r="AA17" s="671">
        <f t="shared" si="0"/>
        <v>0.22490706833919052</v>
      </c>
    </row>
    <row r="18" spans="1:27" ht="26.4">
      <c r="A18" s="567"/>
      <c r="C18" s="615" t="s">
        <v>797</v>
      </c>
      <c r="D18" s="632">
        <v>4.83</v>
      </c>
      <c r="E18" s="632">
        <v>4.83</v>
      </c>
      <c r="F18" s="632">
        <v>4.83</v>
      </c>
      <c r="G18" s="632">
        <v>4.83</v>
      </c>
      <c r="H18" s="622"/>
      <c r="I18" s="622"/>
      <c r="J18" s="622"/>
      <c r="K18" s="622"/>
      <c r="L18" s="622" t="s">
        <v>796</v>
      </c>
      <c r="M18" s="624" t="s">
        <v>795</v>
      </c>
      <c r="O18" s="670" t="s">
        <v>766</v>
      </c>
      <c r="P18" s="667">
        <f>D11</f>
        <v>7.6770186335403728E-3</v>
      </c>
      <c r="Q18" s="666">
        <f>E11</f>
        <v>7.6770186335403728E-3</v>
      </c>
      <c r="R18" s="666">
        <f>F11</f>
        <v>7.6770186335403728E-3</v>
      </c>
      <c r="S18" s="665">
        <f>G11</f>
        <v>7.6770186335403728E-3</v>
      </c>
      <c r="T18" s="669">
        <f>'81 Biogas Plant, Basic conf.'!G11/100</f>
        <v>3.6969498399920031E-2</v>
      </c>
      <c r="U18" s="666">
        <f>'81 Biogas Plant, Basic conf.'!H11/100</f>
        <v>3.8195864970641452E-2</v>
      </c>
      <c r="V18" s="666">
        <f>'81 Biogas Plant, Basic conf.'!I11/100</f>
        <v>3.8195864970641452E-2</v>
      </c>
      <c r="W18" s="668">
        <f>'81 Biogas Plant, Basic conf.'!J11/100</f>
        <v>3.8195864970641452E-2</v>
      </c>
      <c r="X18" s="667">
        <f>(T18*T15+P18*P15)/X15</f>
        <v>3.4109391586648982E-2</v>
      </c>
      <c r="Y18" s="666">
        <f>(U18*U15+Q18*Q15)/Y15</f>
        <v>3.5044044606867872E-2</v>
      </c>
      <c r="Z18" s="666">
        <f>(V18*V15+R18*R15)/Z15</f>
        <v>3.5044044606867872E-2</v>
      </c>
      <c r="AA18" s="665">
        <f>(W18*W15+S18*S15)/AA15</f>
        <v>3.5044044606867872E-2</v>
      </c>
    </row>
    <row r="19" spans="1:27" ht="27" thickBot="1">
      <c r="A19" s="567"/>
      <c r="C19" s="615" t="s">
        <v>765</v>
      </c>
      <c r="D19" s="632"/>
      <c r="E19" s="632"/>
      <c r="F19" s="632"/>
      <c r="G19" s="632"/>
      <c r="H19" s="622"/>
      <c r="I19" s="622"/>
      <c r="J19" s="622"/>
      <c r="K19" s="622"/>
      <c r="L19" s="622" t="s">
        <v>269</v>
      </c>
      <c r="M19" s="245"/>
      <c r="O19" s="664" t="s">
        <v>764</v>
      </c>
      <c r="P19" s="661">
        <f>D13</f>
        <v>1.3863354037267081E-2</v>
      </c>
      <c r="Q19" s="660">
        <f>E13</f>
        <v>1.3863354037267081E-2</v>
      </c>
      <c r="R19" s="660">
        <f>F13</f>
        <v>1.3863354037267081E-2</v>
      </c>
      <c r="S19" s="659">
        <f>G13</f>
        <v>1.3863354037267081E-2</v>
      </c>
      <c r="T19" s="663">
        <f>'81 Biogas Plant, Basic conf.'!G13/100</f>
        <v>8.3858637444973669E-2</v>
      </c>
      <c r="U19" s="660">
        <f>'81 Biogas Plant, Basic conf.'!H13/100</f>
        <v>8.9255616752262193E-2</v>
      </c>
      <c r="V19" s="660">
        <f>'81 Biogas Plant, Basic conf.'!I13/100</f>
        <v>8.9255616752262193E-2</v>
      </c>
      <c r="W19" s="662">
        <f>'81 Biogas Plant, Basic conf.'!J13/100</f>
        <v>8.9255616752262193E-2</v>
      </c>
      <c r="X19" s="661">
        <f>(T19*T15+P19*P15)/X15</f>
        <v>7.7024324045498652E-2</v>
      </c>
      <c r="Y19" s="660">
        <f>(U19*U15+Q19*Q15)/Y15</f>
        <v>8.1469514149582353E-2</v>
      </c>
      <c r="Z19" s="660">
        <f>(V19*V15+R19*R15)/Z15</f>
        <v>8.1469514149582353E-2</v>
      </c>
      <c r="AA19" s="659">
        <f>(W19*W15+S19*S15)/AA15</f>
        <v>8.1469514149582353E-2</v>
      </c>
    </row>
    <row r="20" spans="1:27">
      <c r="A20" s="567"/>
      <c r="C20" s="615"/>
      <c r="D20" s="632"/>
      <c r="E20" s="632"/>
      <c r="F20" s="632"/>
      <c r="G20" s="632"/>
      <c r="H20" s="588"/>
      <c r="I20" s="588"/>
      <c r="J20" s="588"/>
      <c r="K20" s="588"/>
      <c r="L20" s="622"/>
      <c r="M20" s="623"/>
    </row>
    <row r="21" spans="1:27">
      <c r="A21" s="567"/>
      <c r="C21" s="615" t="s">
        <v>59</v>
      </c>
      <c r="D21" s="622">
        <v>0</v>
      </c>
      <c r="E21" s="622">
        <v>0</v>
      </c>
      <c r="F21" s="621">
        <v>0</v>
      </c>
      <c r="G21" s="620">
        <v>0</v>
      </c>
      <c r="H21" s="588"/>
      <c r="I21" s="588"/>
      <c r="J21" s="588"/>
      <c r="K21" s="588"/>
      <c r="L21" s="622"/>
      <c r="M21" s="623"/>
    </row>
    <row r="22" spans="1:27">
      <c r="A22" s="567"/>
      <c r="C22" s="615" t="s">
        <v>712</v>
      </c>
      <c r="D22" s="622">
        <v>10</v>
      </c>
      <c r="E22" s="622">
        <v>10</v>
      </c>
      <c r="F22" s="622">
        <v>10</v>
      </c>
      <c r="G22" s="622">
        <v>10</v>
      </c>
      <c r="H22" s="588"/>
      <c r="I22" s="588"/>
      <c r="J22" s="588"/>
      <c r="K22" s="588"/>
      <c r="L22" s="622"/>
      <c r="M22" s="622"/>
    </row>
    <row r="23" spans="1:27">
      <c r="A23" s="567"/>
      <c r="C23" s="613" t="s">
        <v>58</v>
      </c>
      <c r="D23" s="622">
        <v>20</v>
      </c>
      <c r="E23" s="622">
        <v>20</v>
      </c>
      <c r="F23" s="621">
        <v>20</v>
      </c>
      <c r="G23" s="620">
        <v>20</v>
      </c>
      <c r="H23" s="588"/>
      <c r="I23" s="588"/>
      <c r="J23" s="588"/>
      <c r="K23" s="588"/>
      <c r="L23" s="588"/>
      <c r="M23" s="588"/>
    </row>
    <row r="24" spans="1:27">
      <c r="A24" s="567"/>
      <c r="C24" s="613" t="s">
        <v>60</v>
      </c>
      <c r="D24" s="622">
        <v>1</v>
      </c>
      <c r="E24" s="622">
        <v>1</v>
      </c>
      <c r="F24" s="621">
        <v>1</v>
      </c>
      <c r="G24" s="620">
        <v>1</v>
      </c>
      <c r="H24" s="612"/>
      <c r="I24" s="612"/>
      <c r="J24" s="612"/>
      <c r="K24" s="612"/>
      <c r="L24" s="588"/>
      <c r="M24" s="588"/>
    </row>
    <row r="25" spans="1:27">
      <c r="A25" s="567"/>
      <c r="C25" s="613"/>
      <c r="D25" s="588"/>
      <c r="E25" s="588"/>
      <c r="F25" s="588"/>
      <c r="G25" s="588"/>
      <c r="H25" s="588"/>
      <c r="I25" s="588"/>
      <c r="J25" s="588"/>
      <c r="K25" s="588"/>
      <c r="L25" s="588"/>
      <c r="M25" s="588"/>
    </row>
    <row r="26" spans="1:27">
      <c r="A26" s="567"/>
      <c r="C26" s="657" t="s">
        <v>264</v>
      </c>
      <c r="D26" s="709"/>
      <c r="E26" s="709"/>
      <c r="F26" s="709"/>
      <c r="G26" s="709"/>
      <c r="H26" s="588"/>
      <c r="I26" s="588"/>
      <c r="J26" s="588"/>
      <c r="K26" s="588"/>
      <c r="L26" s="619"/>
      <c r="M26" s="618"/>
    </row>
    <row r="27" spans="1:27">
      <c r="A27" s="567"/>
      <c r="C27" s="615" t="s">
        <v>794</v>
      </c>
      <c r="D27" s="614">
        <v>276050.42016806721</v>
      </c>
      <c r="E27" s="614">
        <v>276050.42016806721</v>
      </c>
      <c r="F27" s="614">
        <v>276050.42016806721</v>
      </c>
      <c r="G27" s="614">
        <v>276050.42016806721</v>
      </c>
      <c r="H27" s="655"/>
      <c r="I27" s="655"/>
      <c r="J27" s="655"/>
      <c r="K27" s="655"/>
      <c r="L27" s="588" t="s">
        <v>792</v>
      </c>
      <c r="M27" s="624" t="s">
        <v>701</v>
      </c>
    </row>
    <row r="28" spans="1:27">
      <c r="A28" s="567"/>
      <c r="C28" s="708" t="s">
        <v>793</v>
      </c>
      <c r="D28" s="604">
        <v>42.279411764705877</v>
      </c>
      <c r="E28" s="604">
        <v>42.279411764705877</v>
      </c>
      <c r="F28" s="604">
        <v>42.279411764705877</v>
      </c>
      <c r="G28" s="604">
        <v>42.279411764705877</v>
      </c>
      <c r="H28" s="588"/>
      <c r="I28" s="588"/>
      <c r="J28" s="588"/>
      <c r="K28" s="588"/>
      <c r="L28" s="588" t="s">
        <v>792</v>
      </c>
      <c r="M28" s="707"/>
    </row>
    <row r="29" spans="1:27">
      <c r="A29" s="567"/>
      <c r="C29" s="615" t="s">
        <v>705</v>
      </c>
      <c r="D29" s="614">
        <f>D30*D10</f>
        <v>49500.2802219816</v>
      </c>
      <c r="E29" s="614">
        <f>E30*E10</f>
        <v>49903.784321360479</v>
      </c>
      <c r="F29" s="614">
        <f>F30*F10</f>
        <v>52055.806184714507</v>
      </c>
      <c r="G29" s="614">
        <f>G30*G10</f>
        <v>53131.817116391525</v>
      </c>
      <c r="H29" s="598"/>
      <c r="I29" s="598"/>
      <c r="J29" s="245"/>
      <c r="K29" s="245"/>
      <c r="L29" s="588" t="s">
        <v>790</v>
      </c>
      <c r="M29" s="624" t="s">
        <v>701</v>
      </c>
    </row>
    <row r="30" spans="1:27">
      <c r="A30" s="567"/>
      <c r="C30" s="708" t="s">
        <v>791</v>
      </c>
      <c r="D30" s="605">
        <f>D31+D32+D33</f>
        <v>7.5813785347593576</v>
      </c>
      <c r="E30" s="605">
        <f>E31+E32+E33</f>
        <v>7.6431785347593575</v>
      </c>
      <c r="F30" s="605">
        <f>F31+F32+F33</f>
        <v>7.9727785347593567</v>
      </c>
      <c r="G30" s="605">
        <f>G31+G32+G33</f>
        <v>8.1375785347593563</v>
      </c>
      <c r="H30" s="601"/>
      <c r="I30" s="601"/>
      <c r="J30" s="245"/>
      <c r="K30" s="245"/>
      <c r="L30" s="588" t="s">
        <v>790</v>
      </c>
      <c r="M30" s="707"/>
    </row>
    <row r="31" spans="1:27">
      <c r="A31" s="567"/>
      <c r="C31" s="610" t="s">
        <v>703</v>
      </c>
      <c r="D31" s="605">
        <v>6.5224785347593564</v>
      </c>
      <c r="E31" s="605">
        <v>6.5224785347593564</v>
      </c>
      <c r="F31" s="605">
        <v>6.5224785347593564</v>
      </c>
      <c r="G31" s="605">
        <v>6.5224785347593564</v>
      </c>
      <c r="H31" s="601"/>
      <c r="I31" s="601"/>
      <c r="J31" s="245"/>
      <c r="K31" s="245"/>
      <c r="L31" s="588"/>
      <c r="M31" s="707"/>
    </row>
    <row r="32" spans="1:27">
      <c r="A32" s="567"/>
      <c r="C32" s="610" t="s">
        <v>700</v>
      </c>
      <c r="D32" s="604">
        <f>63*D12/1000</f>
        <v>0.64890000000000014</v>
      </c>
      <c r="E32" s="604">
        <f>69*E12/1000</f>
        <v>0.7107</v>
      </c>
      <c r="F32" s="604">
        <f>101*F12/1000</f>
        <v>1.0403000000000002</v>
      </c>
      <c r="G32" s="604">
        <f>117*G12/1000</f>
        <v>1.2051000000000001</v>
      </c>
      <c r="H32" s="601"/>
      <c r="I32" s="601"/>
      <c r="J32" s="245"/>
      <c r="K32" s="245"/>
      <c r="L32" s="588" t="s">
        <v>671</v>
      </c>
      <c r="M32" s="707"/>
    </row>
    <row r="33" spans="1:13">
      <c r="A33" s="567"/>
      <c r="C33" s="610" t="s">
        <v>699</v>
      </c>
      <c r="D33" s="604">
        <f>0.0220430107526882*D14</f>
        <v>0.41000000000000059</v>
      </c>
      <c r="E33" s="604">
        <f>0.0220430107526882*E14</f>
        <v>0.41000000000000059</v>
      </c>
      <c r="F33" s="604">
        <f>0.0220430107526882*F14</f>
        <v>0.41000000000000059</v>
      </c>
      <c r="G33" s="604">
        <f>0.0220430107526882*G14</f>
        <v>0.41000000000000059</v>
      </c>
      <c r="H33" s="601"/>
      <c r="I33" s="601"/>
      <c r="J33" s="245"/>
      <c r="K33" s="245"/>
      <c r="L33" s="588"/>
      <c r="M33" s="707"/>
    </row>
    <row r="34" spans="1:13">
      <c r="A34" s="567"/>
      <c r="B34" s="243"/>
      <c r="C34" s="613"/>
      <c r="D34" s="605"/>
      <c r="E34" s="605"/>
      <c r="F34" s="706"/>
      <c r="G34" s="706"/>
      <c r="H34" s="598"/>
      <c r="I34" s="598"/>
      <c r="J34" s="245"/>
      <c r="K34" s="245"/>
      <c r="L34" s="597"/>
      <c r="M34" s="624"/>
    </row>
    <row r="35" spans="1:13">
      <c r="A35" s="567"/>
      <c r="C35" s="654" t="s">
        <v>698</v>
      </c>
      <c r="D35" s="605"/>
      <c r="E35" s="605"/>
      <c r="F35" s="605"/>
      <c r="G35" s="605"/>
      <c r="H35" s="601"/>
      <c r="I35" s="601"/>
      <c r="J35" s="245"/>
      <c r="K35" s="245"/>
      <c r="L35" s="597"/>
      <c r="M35" s="653"/>
    </row>
    <row r="36" spans="1:13">
      <c r="A36" s="567"/>
      <c r="C36" s="615" t="s">
        <v>758</v>
      </c>
      <c r="D36" s="605">
        <v>4</v>
      </c>
      <c r="E36" s="605">
        <v>4.4000000000000004</v>
      </c>
      <c r="F36" s="605">
        <v>4.4000000000000004</v>
      </c>
      <c r="G36" s="605">
        <v>4.4000000000000004</v>
      </c>
      <c r="H36" s="598">
        <v>1.8</v>
      </c>
      <c r="I36" s="598">
        <v>9.1999999999999993</v>
      </c>
      <c r="J36" s="598">
        <v>1.8</v>
      </c>
      <c r="K36" s="598">
        <v>9.1999999999999993</v>
      </c>
      <c r="L36" s="597" t="s">
        <v>393</v>
      </c>
      <c r="M36" s="653" t="s">
        <v>696</v>
      </c>
    </row>
    <row r="37" spans="1:13">
      <c r="A37" s="567"/>
      <c r="C37" s="583"/>
      <c r="D37" s="705"/>
      <c r="E37" s="705"/>
      <c r="F37" s="705"/>
      <c r="G37" s="705"/>
      <c r="H37" s="704"/>
      <c r="I37" s="704"/>
      <c r="L37" s="703"/>
      <c r="M37" s="702"/>
    </row>
    <row r="38" spans="1:13">
      <c r="A38" s="1340"/>
      <c r="B38" s="1340"/>
      <c r="C38" s="1340"/>
      <c r="D38" s="1340"/>
      <c r="E38" s="1340"/>
      <c r="F38" s="1340"/>
      <c r="G38" s="1340"/>
      <c r="H38" s="1340"/>
      <c r="I38" s="1340"/>
      <c r="J38" s="583"/>
      <c r="K38" s="584"/>
      <c r="L38" s="1340"/>
      <c r="M38" s="1340"/>
    </row>
    <row r="39" spans="1:13">
      <c r="A39" s="584"/>
      <c r="C39" s="1340"/>
      <c r="D39" s="1340"/>
      <c r="E39" s="1340"/>
      <c r="F39" s="1340"/>
      <c r="G39" s="1340"/>
      <c r="H39" s="1340"/>
      <c r="I39" s="1340"/>
      <c r="J39" s="1340"/>
      <c r="K39" s="1340"/>
      <c r="L39" s="1340"/>
      <c r="M39" s="1340"/>
    </row>
    <row r="40" spans="1:13">
      <c r="A40" s="584"/>
      <c r="B40" s="1340"/>
      <c r="C40" s="1340"/>
      <c r="D40" s="1340"/>
      <c r="E40" s="1340"/>
      <c r="F40" s="1340"/>
      <c r="G40" s="1340"/>
      <c r="H40" s="1340"/>
      <c r="I40" s="1340"/>
      <c r="J40" s="1340"/>
      <c r="K40" s="584"/>
      <c r="L40" s="1340"/>
      <c r="M40" s="1340"/>
    </row>
    <row r="41" spans="1:13">
      <c r="A41" s="585"/>
      <c r="C41" s="1340"/>
      <c r="D41" s="1340"/>
      <c r="E41" s="1340"/>
      <c r="F41" s="1340"/>
      <c r="G41" s="1340"/>
      <c r="H41" s="1340"/>
      <c r="I41" s="1340"/>
      <c r="J41" s="1340"/>
      <c r="K41" s="1340"/>
      <c r="L41" s="1340"/>
      <c r="M41" s="1340"/>
    </row>
    <row r="42" spans="1:13">
      <c r="A42" s="585"/>
      <c r="B42" s="1340"/>
      <c r="C42" s="1340"/>
      <c r="D42" s="1340"/>
      <c r="E42" s="1340"/>
      <c r="F42" s="1340"/>
      <c r="G42" s="1340"/>
      <c r="H42" s="1340"/>
      <c r="I42" s="1340"/>
      <c r="J42" s="1340"/>
      <c r="K42" s="584"/>
      <c r="L42" s="1340"/>
      <c r="M42" s="1340"/>
    </row>
    <row r="43" spans="1:13">
      <c r="A43" s="584"/>
      <c r="B43" s="649"/>
      <c r="C43" s="583"/>
      <c r="D43" s="583"/>
      <c r="E43" s="583"/>
      <c r="F43" s="583"/>
      <c r="G43" s="583"/>
      <c r="H43" s="583"/>
      <c r="I43" s="583"/>
      <c r="J43" s="583"/>
      <c r="K43" s="584"/>
      <c r="L43" s="1340"/>
      <c r="M43" s="1340"/>
    </row>
    <row r="44" spans="1:13">
      <c r="A44" s="584"/>
      <c r="B44" s="583"/>
      <c r="C44" s="583"/>
      <c r="D44" s="583"/>
      <c r="E44" s="583"/>
      <c r="F44" s="583"/>
      <c r="G44" s="583"/>
      <c r="H44" s="583"/>
      <c r="I44" s="583"/>
      <c r="J44" s="583"/>
      <c r="K44" s="584"/>
      <c r="L44" s="1340"/>
      <c r="M44" s="1340"/>
    </row>
    <row r="45" spans="1:13">
      <c r="A45" s="1340"/>
      <c r="B45" s="1340"/>
      <c r="C45" s="582"/>
      <c r="D45" s="582"/>
      <c r="E45" s="582"/>
      <c r="F45" s="582"/>
      <c r="G45" s="582"/>
      <c r="H45" s="582"/>
      <c r="I45" s="582"/>
      <c r="J45" s="582"/>
      <c r="K45" s="584"/>
      <c r="L45" s="1340"/>
      <c r="M45" s="1340"/>
    </row>
    <row r="46" spans="1:13">
      <c r="A46" s="1356" t="s">
        <v>695</v>
      </c>
      <c r="B46" s="1356"/>
      <c r="C46" s="582"/>
      <c r="D46" s="582"/>
      <c r="E46" s="582"/>
      <c r="F46" s="582"/>
      <c r="G46" s="582"/>
      <c r="H46" s="582"/>
      <c r="I46" s="582"/>
      <c r="J46" s="582"/>
      <c r="K46" s="584"/>
      <c r="L46" s="1340"/>
      <c r="M46" s="1340"/>
    </row>
    <row r="47" spans="1:13">
      <c r="A47" s="574" t="s">
        <v>694</v>
      </c>
      <c r="B47" s="1343" t="s">
        <v>789</v>
      </c>
      <c r="C47" s="1343"/>
      <c r="D47" s="1343"/>
      <c r="E47" s="1343"/>
      <c r="F47" s="1343"/>
      <c r="G47" s="1343"/>
      <c r="H47" s="1343"/>
      <c r="I47" s="1343"/>
      <c r="J47" s="1343"/>
      <c r="K47" s="1343"/>
      <c r="L47" s="1343"/>
      <c r="M47" s="1343"/>
    </row>
    <row r="48" spans="1:13">
      <c r="A48" s="574" t="s">
        <v>692</v>
      </c>
      <c r="B48" s="1343" t="s">
        <v>756</v>
      </c>
      <c r="C48" s="1343"/>
      <c r="D48" s="1343"/>
      <c r="E48" s="1343"/>
      <c r="F48" s="1343"/>
      <c r="G48" s="1343"/>
      <c r="H48" s="1343"/>
      <c r="I48" s="1343"/>
      <c r="J48" s="1343"/>
      <c r="K48" s="1343"/>
      <c r="L48" s="1343"/>
      <c r="M48" s="1343"/>
    </row>
    <row r="49" spans="1:13" ht="182.4">
      <c r="A49" s="574" t="s">
        <v>272</v>
      </c>
      <c r="B49" s="577" t="s">
        <v>755</v>
      </c>
      <c r="C49" s="1335" t="s">
        <v>755</v>
      </c>
      <c r="D49" s="1335"/>
      <c r="E49" s="1335"/>
      <c r="F49" s="1335"/>
      <c r="G49" s="1335"/>
      <c r="H49" s="1335"/>
      <c r="I49" s="1335"/>
      <c r="J49" s="1335"/>
      <c r="K49" s="1335"/>
      <c r="L49" s="1335"/>
      <c r="M49" s="1335"/>
    </row>
    <row r="50" spans="1:13">
      <c r="A50" s="574" t="s">
        <v>269</v>
      </c>
      <c r="C50" s="1343" t="s">
        <v>754</v>
      </c>
      <c r="D50" s="1343"/>
      <c r="E50" s="1343"/>
      <c r="F50" s="1343"/>
      <c r="G50" s="1343"/>
      <c r="H50" s="1343"/>
      <c r="I50" s="1343"/>
      <c r="J50" s="1343"/>
      <c r="K50" s="1343"/>
      <c r="L50" s="1343"/>
      <c r="M50" s="1343"/>
    </row>
    <row r="51" spans="1:13">
      <c r="A51" s="574" t="s">
        <v>266</v>
      </c>
      <c r="B51" s="1343" t="s">
        <v>753</v>
      </c>
      <c r="C51" s="1343"/>
      <c r="D51" s="1343"/>
      <c r="E51" s="1343"/>
      <c r="F51" s="1343"/>
      <c r="G51" s="1343"/>
      <c r="H51" s="1343"/>
      <c r="I51" s="1343"/>
      <c r="J51" s="1343"/>
      <c r="K51" s="584"/>
      <c r="L51" s="1340"/>
      <c r="M51" s="1340"/>
    </row>
    <row r="52" spans="1:13">
      <c r="A52" s="574" t="s">
        <v>255</v>
      </c>
      <c r="B52" s="1343" t="s">
        <v>788</v>
      </c>
      <c r="C52" s="1343"/>
      <c r="D52" s="1343"/>
      <c r="E52" s="1343"/>
      <c r="F52" s="1343"/>
      <c r="G52" s="1343"/>
      <c r="H52" s="1343"/>
      <c r="I52" s="1343"/>
      <c r="J52" s="1343"/>
      <c r="K52" s="1343"/>
      <c r="L52" s="1343"/>
      <c r="M52" s="1343"/>
    </row>
    <row r="53" spans="1:13">
      <c r="A53" s="574" t="s">
        <v>389</v>
      </c>
      <c r="B53" s="1340" t="s">
        <v>751</v>
      </c>
      <c r="C53" s="1340"/>
      <c r="D53" s="1340"/>
      <c r="E53" s="1340"/>
      <c r="F53" s="1340"/>
      <c r="G53" s="1340"/>
      <c r="H53" s="1340"/>
      <c r="I53" s="1340"/>
      <c r="J53" s="1340"/>
      <c r="K53" s="1340"/>
      <c r="L53" s="1340"/>
      <c r="M53" s="1340"/>
    </row>
    <row r="54" spans="1:13">
      <c r="A54" s="574" t="s">
        <v>393</v>
      </c>
      <c r="B54" s="1340" t="s">
        <v>750</v>
      </c>
      <c r="C54" s="1340"/>
      <c r="D54" s="1340"/>
      <c r="E54" s="1340"/>
      <c r="F54" s="1340"/>
      <c r="G54" s="1340"/>
      <c r="H54" s="1340"/>
      <c r="I54" s="1340"/>
      <c r="J54" s="1340"/>
      <c r="K54" s="1340"/>
    </row>
    <row r="55" spans="1:13">
      <c r="A55" s="574" t="s">
        <v>673</v>
      </c>
      <c r="B55" s="1335" t="s">
        <v>787</v>
      </c>
      <c r="C55" s="1335"/>
      <c r="D55" s="1335"/>
      <c r="E55" s="1335"/>
      <c r="F55" s="1335"/>
      <c r="G55" s="1335"/>
      <c r="H55" s="1335"/>
      <c r="I55" s="1335"/>
      <c r="J55" s="1335"/>
    </row>
    <row r="56" spans="1:13">
      <c r="A56" s="574" t="s">
        <v>671</v>
      </c>
      <c r="B56" s="570"/>
      <c r="C56" s="1336" t="s">
        <v>670</v>
      </c>
      <c r="D56" s="1336"/>
      <c r="E56" s="1336"/>
      <c r="F56" s="1336"/>
      <c r="G56" s="1336"/>
      <c r="H56" s="1336"/>
      <c r="I56" s="1336"/>
      <c r="J56" s="1336"/>
      <c r="K56" s="1336"/>
      <c r="L56" s="1336"/>
      <c r="M56" s="1336"/>
    </row>
    <row r="57" spans="1:13" ht="13.8">
      <c r="A57" s="574" t="s">
        <v>786</v>
      </c>
      <c r="B57" s="568"/>
      <c r="C57" s="701" t="s">
        <v>785</v>
      </c>
      <c r="D57" s="570"/>
      <c r="E57" s="570"/>
      <c r="F57" s="570"/>
      <c r="G57" s="570"/>
      <c r="H57" s="570"/>
      <c r="I57" s="570"/>
      <c r="J57" s="570"/>
      <c r="K57" s="570"/>
      <c r="L57" s="570"/>
      <c r="M57" s="570"/>
    </row>
    <row r="58" spans="1:13">
      <c r="C58" s="701" t="s">
        <v>784</v>
      </c>
      <c r="D58" s="570"/>
      <c r="E58" s="570"/>
      <c r="F58" s="570"/>
      <c r="G58" s="570"/>
      <c r="H58" s="570"/>
      <c r="I58" s="570"/>
      <c r="J58" s="570"/>
      <c r="K58" s="570"/>
      <c r="L58" s="570"/>
      <c r="M58" s="570"/>
    </row>
    <row r="59" spans="1:13">
      <c r="C59" s="701"/>
      <c r="D59" s="570"/>
      <c r="E59" s="570"/>
      <c r="F59" s="570"/>
      <c r="G59" s="570"/>
      <c r="H59" s="570"/>
      <c r="I59" s="570"/>
      <c r="J59" s="570"/>
      <c r="K59" s="570"/>
      <c r="L59" s="570"/>
      <c r="M59" s="570"/>
    </row>
    <row r="60" spans="1:13">
      <c r="A60" s="571" t="s">
        <v>669</v>
      </c>
    </row>
    <row r="61" spans="1:13">
      <c r="A61" s="567">
        <v>5</v>
      </c>
      <c r="C61" s="651" t="s">
        <v>668</v>
      </c>
      <c r="D61" s="651"/>
      <c r="E61" s="651"/>
      <c r="F61" s="651"/>
      <c r="G61" s="651"/>
      <c r="H61" s="651"/>
      <c r="I61" s="651"/>
      <c r="J61" s="651"/>
      <c r="K61" s="651"/>
    </row>
    <row r="62" spans="1:13">
      <c r="A62" s="567">
        <v>8</v>
      </c>
      <c r="C62" s="651" t="s">
        <v>667</v>
      </c>
      <c r="D62" s="651"/>
      <c r="E62" s="651"/>
      <c r="F62" s="651"/>
      <c r="G62" s="651"/>
      <c r="H62" s="651"/>
      <c r="I62" s="651"/>
    </row>
    <row r="63" spans="1:13">
      <c r="A63" s="567">
        <v>9</v>
      </c>
      <c r="C63" s="651" t="s">
        <v>666</v>
      </c>
      <c r="D63" s="651"/>
      <c r="E63" s="651"/>
      <c r="F63" s="651"/>
      <c r="G63" s="651"/>
      <c r="H63" s="651"/>
      <c r="I63" s="651"/>
      <c r="J63" s="651"/>
      <c r="K63" s="651"/>
    </row>
    <row r="64" spans="1:13">
      <c r="A64" s="567">
        <v>12</v>
      </c>
      <c r="C64" s="651" t="s">
        <v>665</v>
      </c>
      <c r="D64" s="651"/>
      <c r="E64" s="651"/>
      <c r="F64" s="651"/>
      <c r="G64" s="651"/>
      <c r="H64" s="651"/>
      <c r="I64" s="651"/>
      <c r="J64" s="651"/>
      <c r="K64" s="651"/>
    </row>
  </sheetData>
  <mergeCells count="36">
    <mergeCell ref="D7:G7"/>
    <mergeCell ref="D1:M1"/>
    <mergeCell ref="D3:M3"/>
    <mergeCell ref="H4:I4"/>
    <mergeCell ref="J4:K4"/>
    <mergeCell ref="D6:G6"/>
    <mergeCell ref="X13:AA13"/>
    <mergeCell ref="C49:M49"/>
    <mergeCell ref="C50:M50"/>
    <mergeCell ref="B51:J51"/>
    <mergeCell ref="L51:M51"/>
    <mergeCell ref="A45:B45"/>
    <mergeCell ref="L45:M45"/>
    <mergeCell ref="A46:B46"/>
    <mergeCell ref="L46:M46"/>
    <mergeCell ref="L41:M41"/>
    <mergeCell ref="B42:J42"/>
    <mergeCell ref="L42:M42"/>
    <mergeCell ref="L43:M43"/>
    <mergeCell ref="C39:K39"/>
    <mergeCell ref="C56:M56"/>
    <mergeCell ref="P13:S13"/>
    <mergeCell ref="T13:W13"/>
    <mergeCell ref="B52:M52"/>
    <mergeCell ref="B53:M53"/>
    <mergeCell ref="L44:M44"/>
    <mergeCell ref="A38:I38"/>
    <mergeCell ref="L38:M38"/>
    <mergeCell ref="B48:M48"/>
    <mergeCell ref="C41:K41"/>
    <mergeCell ref="B47:M47"/>
    <mergeCell ref="L39:M39"/>
    <mergeCell ref="B40:J40"/>
    <mergeCell ref="L40:M40"/>
    <mergeCell ref="B54:K54"/>
    <mergeCell ref="B55:J5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72A1D-2D63-4B91-9859-A395AEA2A014}">
  <sheetPr>
    <tabColor theme="3" tint="0.59999389629810485"/>
  </sheetPr>
  <dimension ref="A1:P60"/>
  <sheetViews>
    <sheetView workbookViewId="0">
      <selection activeCell="J41" sqref="J41"/>
    </sheetView>
  </sheetViews>
  <sheetFormatPr defaultColWidth="9.109375" defaultRowHeight="13.2"/>
  <cols>
    <col min="1" max="1" width="9.109375" style="69"/>
    <col min="2" max="2" width="31.33203125" style="69" customWidth="1"/>
    <col min="3" max="14" width="9.109375" style="69"/>
    <col min="15" max="15" width="11.33203125" style="69" bestFit="1" customWidth="1"/>
    <col min="16" max="16" width="10.33203125" style="69" bestFit="1" customWidth="1"/>
    <col min="17" max="16384" width="9.109375" style="69"/>
  </cols>
  <sheetData>
    <row r="1" spans="1:12" ht="14.4">
      <c r="A1" s="721"/>
      <c r="B1" s="713"/>
      <c r="C1" s="713"/>
      <c r="D1" s="713"/>
      <c r="E1" s="713"/>
      <c r="F1" s="713"/>
      <c r="G1" s="713"/>
      <c r="H1" s="713"/>
      <c r="I1" s="713"/>
      <c r="J1" s="713"/>
      <c r="K1" s="713"/>
      <c r="L1" s="721"/>
    </row>
    <row r="2" spans="1:12" ht="21">
      <c r="A2" s="721"/>
      <c r="B2" s="759" t="s">
        <v>749</v>
      </c>
      <c r="C2" s="1375" t="s">
        <v>497</v>
      </c>
      <c r="D2" s="1375"/>
      <c r="E2" s="1375"/>
      <c r="F2" s="1375"/>
      <c r="G2" s="1375"/>
      <c r="H2" s="1375"/>
      <c r="I2" s="1375"/>
      <c r="J2" s="1375"/>
      <c r="K2" s="1375"/>
      <c r="L2" s="713"/>
    </row>
    <row r="3" spans="1:12">
      <c r="A3" s="721"/>
      <c r="B3" s="728" t="s">
        <v>296</v>
      </c>
      <c r="C3" s="1376" t="s">
        <v>497</v>
      </c>
      <c r="D3" s="1377"/>
      <c r="E3" s="1377"/>
      <c r="F3" s="1377"/>
      <c r="G3" s="1377"/>
      <c r="H3" s="1377"/>
      <c r="I3" s="1377"/>
      <c r="J3" s="1377"/>
      <c r="K3" s="1377"/>
      <c r="L3" s="1378"/>
    </row>
    <row r="4" spans="1:12">
      <c r="A4" s="721"/>
      <c r="B4" s="758"/>
      <c r="C4" s="757">
        <v>2015</v>
      </c>
      <c r="D4" s="757">
        <v>2020</v>
      </c>
      <c r="E4" s="757">
        <v>2030</v>
      </c>
      <c r="F4" s="757">
        <v>2050</v>
      </c>
      <c r="G4" s="1376" t="s">
        <v>290</v>
      </c>
      <c r="H4" s="1378"/>
      <c r="I4" s="1376" t="s">
        <v>289</v>
      </c>
      <c r="J4" s="1378"/>
      <c r="K4" s="757" t="s">
        <v>288</v>
      </c>
      <c r="L4" s="757" t="s">
        <v>287</v>
      </c>
    </row>
    <row r="5" spans="1:12">
      <c r="A5" s="721"/>
      <c r="B5" s="756" t="s">
        <v>282</v>
      </c>
      <c r="C5" s="755"/>
      <c r="D5" s="755"/>
      <c r="E5" s="755"/>
      <c r="F5" s="755"/>
      <c r="G5" s="755" t="s">
        <v>284</v>
      </c>
      <c r="H5" s="755" t="s">
        <v>283</v>
      </c>
      <c r="I5" s="755" t="s">
        <v>284</v>
      </c>
      <c r="J5" s="755" t="s">
        <v>283</v>
      </c>
      <c r="K5" s="755"/>
      <c r="L5" s="754"/>
    </row>
    <row r="6" spans="1:12">
      <c r="A6" s="721"/>
      <c r="B6" s="723" t="s">
        <v>849</v>
      </c>
      <c r="C6" s="753">
        <v>5.92218</v>
      </c>
      <c r="D6" s="753">
        <v>5.92218</v>
      </c>
      <c r="E6" s="753">
        <v>5.92218</v>
      </c>
      <c r="F6" s="753">
        <v>5.92218</v>
      </c>
      <c r="G6" s="722"/>
      <c r="H6" s="722"/>
      <c r="I6" s="722"/>
      <c r="J6" s="722"/>
      <c r="K6" s="722" t="s">
        <v>848</v>
      </c>
      <c r="L6" s="722"/>
    </row>
    <row r="7" spans="1:12">
      <c r="A7" s="721"/>
      <c r="B7" s="723" t="s">
        <v>847</v>
      </c>
      <c r="C7" s="752">
        <v>1000</v>
      </c>
      <c r="D7" s="752">
        <v>1000</v>
      </c>
      <c r="E7" s="722">
        <v>1000</v>
      </c>
      <c r="F7" s="722">
        <v>1000</v>
      </c>
      <c r="G7" s="722"/>
      <c r="H7" s="722"/>
      <c r="I7" s="722"/>
      <c r="J7" s="722"/>
      <c r="K7" s="722" t="s">
        <v>734</v>
      </c>
      <c r="L7" s="735" t="s">
        <v>846</v>
      </c>
    </row>
    <row r="8" spans="1:12">
      <c r="A8" s="721"/>
      <c r="B8" s="750" t="s">
        <v>845</v>
      </c>
      <c r="C8" s="752">
        <v>594</v>
      </c>
      <c r="D8" s="752">
        <v>594</v>
      </c>
      <c r="E8" s="752">
        <v>594</v>
      </c>
      <c r="F8" s="752">
        <v>594</v>
      </c>
      <c r="G8" s="722"/>
      <c r="H8" s="722"/>
      <c r="I8" s="722"/>
      <c r="J8" s="722"/>
      <c r="K8" s="722" t="s">
        <v>734</v>
      </c>
      <c r="L8" s="722"/>
    </row>
    <row r="9" spans="1:12" ht="14.4">
      <c r="A9" s="721"/>
      <c r="B9" s="725"/>
      <c r="C9" s="725"/>
      <c r="D9" s="725"/>
      <c r="E9" s="725"/>
      <c r="F9" s="725"/>
      <c r="G9" s="725"/>
      <c r="H9" s="725"/>
      <c r="I9" s="725"/>
      <c r="J9" s="725"/>
      <c r="K9" s="725"/>
      <c r="L9" s="725"/>
    </row>
    <row r="10" spans="1:12">
      <c r="A10" s="721"/>
      <c r="B10" s="749" t="s">
        <v>737</v>
      </c>
      <c r="C10" s="722"/>
      <c r="D10" s="722"/>
      <c r="E10" s="722"/>
      <c r="F10" s="722"/>
      <c r="G10" s="722"/>
      <c r="H10" s="722"/>
      <c r="I10" s="722"/>
      <c r="J10" s="722"/>
      <c r="K10" s="722"/>
      <c r="L10" s="722"/>
    </row>
    <row r="11" spans="1:12">
      <c r="A11" s="721"/>
      <c r="B11" s="723" t="s">
        <v>844</v>
      </c>
      <c r="C11" s="730">
        <v>1</v>
      </c>
      <c r="D11" s="751">
        <v>100</v>
      </c>
      <c r="E11" s="751">
        <v>100</v>
      </c>
      <c r="F11" s="751">
        <v>100</v>
      </c>
      <c r="G11" s="722"/>
      <c r="H11" s="722"/>
      <c r="I11" s="722"/>
      <c r="J11" s="722"/>
      <c r="K11" s="722"/>
      <c r="L11" s="722"/>
    </row>
    <row r="12" spans="1:12" ht="22.8">
      <c r="A12" s="721"/>
      <c r="B12" s="723" t="s">
        <v>843</v>
      </c>
      <c r="C12" s="729">
        <v>4.3129388164493486E-2</v>
      </c>
      <c r="D12" s="729">
        <v>4.3129388164493486E-2</v>
      </c>
      <c r="E12" s="729">
        <v>2.1564694082246743E-2</v>
      </c>
      <c r="F12" s="729">
        <v>2.1564694082246743E-2</v>
      </c>
      <c r="G12" s="730">
        <v>3.2347041123370113E-2</v>
      </c>
      <c r="H12" s="729">
        <v>4.3129388164493486E-2</v>
      </c>
      <c r="I12" s="729">
        <v>1.6173520561685056E-2</v>
      </c>
      <c r="J12" s="729">
        <v>3.2347041123370113E-2</v>
      </c>
      <c r="K12" s="722" t="s">
        <v>842</v>
      </c>
      <c r="L12" s="735" t="s">
        <v>841</v>
      </c>
    </row>
    <row r="13" spans="1:12" ht="14.4">
      <c r="A13" s="721"/>
      <c r="B13" s="750" t="s">
        <v>840</v>
      </c>
      <c r="C13" s="729">
        <v>1.0030090270812439E-2</v>
      </c>
      <c r="D13" s="729">
        <v>1.0030090270812439E-2</v>
      </c>
      <c r="E13" s="729">
        <v>1.0030090270812439E-2</v>
      </c>
      <c r="F13" s="729">
        <v>1.0030090270812439E-2</v>
      </c>
      <c r="G13" s="725"/>
      <c r="H13" s="725"/>
      <c r="I13" s="725"/>
      <c r="J13" s="725"/>
      <c r="K13" s="724" t="s">
        <v>839</v>
      </c>
      <c r="L13" s="735" t="s">
        <v>837</v>
      </c>
    </row>
    <row r="14" spans="1:12" ht="14.4">
      <c r="A14" s="721"/>
      <c r="B14" s="750" t="s">
        <v>838</v>
      </c>
      <c r="C14" s="729">
        <v>0</v>
      </c>
      <c r="D14" s="729">
        <v>0</v>
      </c>
      <c r="E14" s="729">
        <v>0</v>
      </c>
      <c r="F14" s="729">
        <v>0</v>
      </c>
      <c r="G14" s="725"/>
      <c r="H14" s="725"/>
      <c r="I14" s="725"/>
      <c r="J14" s="725"/>
      <c r="K14" s="724"/>
      <c r="L14" s="735" t="s">
        <v>837</v>
      </c>
    </row>
    <row r="15" spans="1:12">
      <c r="A15" s="721"/>
      <c r="B15" s="723"/>
      <c r="C15" s="747"/>
      <c r="D15" s="747"/>
      <c r="E15" s="747"/>
      <c r="F15" s="747"/>
      <c r="G15" s="730"/>
      <c r="H15" s="730"/>
      <c r="I15" s="722"/>
      <c r="J15" s="722"/>
      <c r="K15" s="722"/>
      <c r="L15" s="722"/>
    </row>
    <row r="16" spans="1:12">
      <c r="A16" s="721"/>
      <c r="B16" s="749" t="s">
        <v>721</v>
      </c>
      <c r="C16" s="748"/>
      <c r="D16" s="748"/>
      <c r="E16" s="748"/>
      <c r="F16" s="748"/>
      <c r="G16" s="722"/>
      <c r="H16" s="722"/>
      <c r="I16" s="722"/>
      <c r="J16" s="722"/>
      <c r="K16" s="722"/>
      <c r="L16" s="744"/>
    </row>
    <row r="17" spans="1:16">
      <c r="A17" s="721"/>
      <c r="B17" s="737" t="s">
        <v>836</v>
      </c>
      <c r="C17" s="746">
        <v>0.99</v>
      </c>
      <c r="D17" s="747">
        <v>0.99</v>
      </c>
      <c r="E17" s="747">
        <v>1</v>
      </c>
      <c r="F17" s="747">
        <v>1</v>
      </c>
      <c r="G17" s="722"/>
      <c r="H17" s="722"/>
      <c r="I17" s="722"/>
      <c r="J17" s="722"/>
      <c r="K17" s="722" t="s">
        <v>675</v>
      </c>
      <c r="L17" s="735">
        <v>2</v>
      </c>
    </row>
    <row r="18" spans="1:16">
      <c r="A18" s="721"/>
      <c r="B18" s="723" t="s">
        <v>835</v>
      </c>
      <c r="C18" s="747">
        <v>0.01</v>
      </c>
      <c r="D18" s="747">
        <v>0.01</v>
      </c>
      <c r="E18" s="746">
        <v>1E-3</v>
      </c>
      <c r="F18" s="746">
        <v>1E-3</v>
      </c>
      <c r="G18" s="722"/>
      <c r="H18" s="722"/>
      <c r="I18" s="722"/>
      <c r="J18" s="722"/>
      <c r="K18" s="722" t="s">
        <v>675</v>
      </c>
      <c r="L18" s="735"/>
    </row>
    <row r="19" spans="1:16">
      <c r="A19" s="721"/>
      <c r="B19" s="723" t="s">
        <v>834</v>
      </c>
      <c r="C19" s="746">
        <v>5.2999999999999999E-2</v>
      </c>
      <c r="D19" s="746">
        <v>5.2999999999999999E-2</v>
      </c>
      <c r="E19" s="746">
        <v>3.2000000000000001E-2</v>
      </c>
      <c r="F19" s="746">
        <v>3.2000000000000001E-2</v>
      </c>
      <c r="G19" s="722"/>
      <c r="H19" s="722"/>
      <c r="I19" s="722"/>
      <c r="J19" s="722"/>
      <c r="K19" s="722"/>
      <c r="L19" s="735"/>
    </row>
    <row r="20" spans="1:16" ht="14.4">
      <c r="A20" s="721"/>
      <c r="B20" s="725"/>
      <c r="C20" s="713"/>
      <c r="D20" s="745"/>
      <c r="E20" s="745"/>
      <c r="F20" s="745"/>
      <c r="G20" s="722"/>
      <c r="H20" s="722"/>
      <c r="I20" s="722"/>
      <c r="J20" s="722"/>
      <c r="K20" s="722"/>
      <c r="L20" s="744"/>
    </row>
    <row r="21" spans="1:16">
      <c r="A21" s="721"/>
      <c r="B21" s="723" t="s">
        <v>833</v>
      </c>
      <c r="C21" s="722">
        <v>1</v>
      </c>
      <c r="D21" s="722">
        <v>1</v>
      </c>
      <c r="E21" s="722">
        <v>1</v>
      </c>
      <c r="F21" s="722">
        <v>1</v>
      </c>
      <c r="G21" s="722"/>
      <c r="H21" s="722"/>
      <c r="I21" s="722"/>
      <c r="J21" s="722"/>
      <c r="K21" s="722"/>
      <c r="L21" s="744"/>
    </row>
    <row r="22" spans="1:16">
      <c r="A22" s="721"/>
      <c r="B22" s="723" t="s">
        <v>92</v>
      </c>
      <c r="C22" s="722">
        <v>1</v>
      </c>
      <c r="D22" s="722">
        <v>1</v>
      </c>
      <c r="E22" s="722">
        <v>1</v>
      </c>
      <c r="F22" s="722">
        <v>1</v>
      </c>
      <c r="G22" s="722"/>
      <c r="H22" s="722"/>
      <c r="I22" s="722"/>
      <c r="J22" s="722"/>
      <c r="K22" s="722"/>
      <c r="L22" s="722"/>
    </row>
    <row r="23" spans="1:16">
      <c r="A23" s="721"/>
      <c r="B23" s="723" t="s">
        <v>58</v>
      </c>
      <c r="C23" s="722">
        <v>15</v>
      </c>
      <c r="D23" s="722">
        <v>15</v>
      </c>
      <c r="E23" s="722">
        <v>15</v>
      </c>
      <c r="F23" s="722">
        <v>15</v>
      </c>
      <c r="G23" s="722"/>
      <c r="H23" s="722"/>
      <c r="I23" s="722"/>
      <c r="J23" s="722"/>
      <c r="K23" s="722"/>
      <c r="L23" s="722"/>
    </row>
    <row r="24" spans="1:16">
      <c r="A24" s="721"/>
      <c r="B24" s="723" t="s">
        <v>60</v>
      </c>
      <c r="C24" s="722">
        <v>0.5</v>
      </c>
      <c r="D24" s="722">
        <v>0.5</v>
      </c>
      <c r="E24" s="722">
        <v>0.5</v>
      </c>
      <c r="F24" s="722">
        <v>0.5</v>
      </c>
      <c r="G24" s="722"/>
      <c r="H24" s="722"/>
      <c r="I24" s="722"/>
      <c r="J24" s="722"/>
      <c r="K24" s="722"/>
      <c r="L24" s="722"/>
    </row>
    <row r="25" spans="1:16">
      <c r="A25" s="721"/>
      <c r="B25" s="723"/>
      <c r="C25" s="722"/>
      <c r="D25" s="722"/>
      <c r="E25" s="722"/>
      <c r="F25" s="722"/>
      <c r="G25" s="722"/>
      <c r="H25" s="722"/>
      <c r="I25" s="722"/>
      <c r="J25" s="722"/>
      <c r="K25" s="722"/>
      <c r="L25" s="722"/>
    </row>
    <row r="26" spans="1:16">
      <c r="A26" s="721"/>
      <c r="B26" s="728" t="s">
        <v>264</v>
      </c>
      <c r="C26" s="728"/>
      <c r="D26" s="728"/>
      <c r="E26" s="728"/>
      <c r="F26" s="728"/>
      <c r="G26" s="728"/>
      <c r="H26" s="728"/>
      <c r="I26" s="728"/>
      <c r="J26" s="728"/>
      <c r="K26" s="727"/>
      <c r="L26" s="727"/>
    </row>
    <row r="27" spans="1:16" ht="22.8">
      <c r="A27" s="721"/>
      <c r="B27" s="723" t="s">
        <v>832</v>
      </c>
      <c r="C27" s="741">
        <v>335000</v>
      </c>
      <c r="D27" s="741">
        <v>302000</v>
      </c>
      <c r="E27" s="741">
        <v>272000</v>
      </c>
      <c r="F27" s="741">
        <v>245000</v>
      </c>
      <c r="G27" s="741">
        <v>268000</v>
      </c>
      <c r="H27" s="741">
        <v>318000</v>
      </c>
      <c r="I27" s="741">
        <v>172000</v>
      </c>
      <c r="J27" s="741">
        <v>287000</v>
      </c>
      <c r="K27" s="722" t="s">
        <v>831</v>
      </c>
      <c r="L27" s="734" t="s">
        <v>830</v>
      </c>
      <c r="O27" s="743"/>
      <c r="P27" s="742"/>
    </row>
    <row r="28" spans="1:16" ht="22.8">
      <c r="A28" s="721"/>
      <c r="B28" s="723" t="s">
        <v>829</v>
      </c>
      <c r="C28" s="741">
        <v>134000</v>
      </c>
      <c r="D28" s="741">
        <v>121000</v>
      </c>
      <c r="E28" s="741">
        <v>109000</v>
      </c>
      <c r="F28" s="741">
        <v>98000</v>
      </c>
      <c r="G28" s="741">
        <v>107000</v>
      </c>
      <c r="H28" s="741">
        <v>127000</v>
      </c>
      <c r="I28" s="738">
        <v>69000</v>
      </c>
      <c r="J28" s="738">
        <v>115000</v>
      </c>
      <c r="K28" s="722" t="s">
        <v>255</v>
      </c>
      <c r="L28" s="722">
        <v>5</v>
      </c>
      <c r="P28" s="739"/>
    </row>
    <row r="29" spans="1:16">
      <c r="A29" s="721"/>
      <c r="B29" s="723"/>
      <c r="C29" s="740"/>
      <c r="D29" s="740"/>
      <c r="E29" s="740"/>
      <c r="F29" s="740"/>
      <c r="G29" s="722"/>
      <c r="H29" s="722"/>
      <c r="I29" s="722"/>
      <c r="J29" s="722"/>
      <c r="K29" s="722"/>
      <c r="L29" s="722"/>
      <c r="P29" s="739"/>
    </row>
    <row r="30" spans="1:16" ht="14.4">
      <c r="A30" s="721"/>
      <c r="B30" s="723" t="s">
        <v>828</v>
      </c>
      <c r="C30" s="738">
        <v>11800</v>
      </c>
      <c r="D30" s="738">
        <v>10600</v>
      </c>
      <c r="E30" s="738">
        <v>9500</v>
      </c>
      <c r="F30" s="738">
        <v>8600</v>
      </c>
      <c r="G30" s="738">
        <v>9400</v>
      </c>
      <c r="H30" s="738">
        <v>11200</v>
      </c>
      <c r="I30" s="738">
        <v>6000</v>
      </c>
      <c r="J30" s="738">
        <v>10100</v>
      </c>
      <c r="K30" s="724"/>
      <c r="L30" s="724">
        <v>2</v>
      </c>
    </row>
    <row r="31" spans="1:16" ht="34.200000000000003">
      <c r="A31" s="721"/>
      <c r="B31" s="737" t="s">
        <v>827</v>
      </c>
      <c r="C31" s="738">
        <v>8400</v>
      </c>
      <c r="D31" s="738">
        <v>7600</v>
      </c>
      <c r="E31" s="738">
        <v>6800</v>
      </c>
      <c r="F31" s="738">
        <v>6100</v>
      </c>
      <c r="G31" s="738">
        <v>6700</v>
      </c>
      <c r="H31" s="738">
        <v>8000</v>
      </c>
      <c r="I31" s="738">
        <v>4300</v>
      </c>
      <c r="J31" s="738">
        <v>7200</v>
      </c>
      <c r="K31" s="724"/>
      <c r="L31" s="724">
        <v>2</v>
      </c>
    </row>
    <row r="32" spans="1:16" ht="22.8">
      <c r="A32" s="721"/>
      <c r="B32" s="737" t="s">
        <v>826</v>
      </c>
      <c r="C32" s="738">
        <v>3400</v>
      </c>
      <c r="D32" s="738">
        <v>3000</v>
      </c>
      <c r="E32" s="738">
        <v>2700</v>
      </c>
      <c r="F32" s="738">
        <v>2500</v>
      </c>
      <c r="G32" s="738">
        <v>2700</v>
      </c>
      <c r="H32" s="738">
        <v>3200</v>
      </c>
      <c r="I32" s="738">
        <v>1700</v>
      </c>
      <c r="J32" s="738">
        <v>2900</v>
      </c>
      <c r="K32" s="724" t="s">
        <v>393</v>
      </c>
      <c r="L32" s="724">
        <v>2</v>
      </c>
    </row>
    <row r="33" spans="1:12" ht="14.4">
      <c r="A33" s="721"/>
      <c r="B33" s="723" t="s">
        <v>825</v>
      </c>
      <c r="C33" s="736">
        <v>0.92999554218210201</v>
      </c>
      <c r="D33" s="736">
        <v>1.0252396077120252</v>
      </c>
      <c r="E33" s="736">
        <v>0.88439067201604815</v>
      </c>
      <c r="F33" s="736">
        <v>1.0229689067201606</v>
      </c>
      <c r="G33" s="725"/>
      <c r="H33" s="725"/>
      <c r="I33" s="725"/>
      <c r="J33" s="725"/>
      <c r="K33" s="724" t="s">
        <v>393</v>
      </c>
      <c r="L33" s="724"/>
    </row>
    <row r="34" spans="1:12">
      <c r="A34" s="721"/>
      <c r="B34" s="737" t="s">
        <v>824</v>
      </c>
      <c r="C34" s="736">
        <v>0.92999554218210201</v>
      </c>
      <c r="D34" s="736">
        <v>1.0252396077120252</v>
      </c>
      <c r="E34" s="736">
        <v>0.88439067201604815</v>
      </c>
      <c r="F34" s="736">
        <v>1.0229689067201606</v>
      </c>
      <c r="G34" s="726"/>
      <c r="H34" s="726"/>
      <c r="I34" s="726"/>
      <c r="J34" s="726"/>
      <c r="K34" s="722" t="s">
        <v>266</v>
      </c>
      <c r="L34" s="735" t="s">
        <v>823</v>
      </c>
    </row>
    <row r="35" spans="1:12" ht="14.4">
      <c r="A35" s="721"/>
      <c r="B35" s="723"/>
      <c r="C35" s="732"/>
      <c r="D35" s="732"/>
      <c r="E35" s="732"/>
      <c r="F35" s="732"/>
      <c r="G35" s="731"/>
      <c r="H35" s="731"/>
      <c r="I35" s="725"/>
      <c r="J35" s="725"/>
      <c r="K35" s="724"/>
      <c r="L35" s="734"/>
    </row>
    <row r="36" spans="1:12" ht="14.4">
      <c r="A36" s="721"/>
      <c r="B36" s="733" t="s">
        <v>642</v>
      </c>
      <c r="C36" s="732"/>
      <c r="D36" s="732"/>
      <c r="E36" s="732"/>
      <c r="F36" s="732"/>
      <c r="G36" s="731"/>
      <c r="H36" s="731"/>
      <c r="I36" s="725"/>
      <c r="J36" s="725"/>
      <c r="K36" s="724"/>
      <c r="L36" s="724"/>
    </row>
    <row r="37" spans="1:12">
      <c r="A37" s="721"/>
      <c r="B37" s="723" t="s">
        <v>822</v>
      </c>
      <c r="C37" s="730">
        <v>0.01</v>
      </c>
      <c r="D37" s="730">
        <v>0.01</v>
      </c>
      <c r="E37" s="729">
        <v>1E-3</v>
      </c>
      <c r="F37" s="729">
        <v>1E-3</v>
      </c>
      <c r="G37" s="728"/>
      <c r="H37" s="728"/>
      <c r="I37" s="728"/>
      <c r="J37" s="728"/>
      <c r="K37" s="727" t="s">
        <v>675</v>
      </c>
      <c r="L37" s="726">
        <v>2</v>
      </c>
    </row>
    <row r="38" spans="1:12" ht="14.4">
      <c r="A38" s="721"/>
      <c r="B38" s="723" t="s">
        <v>821</v>
      </c>
      <c r="C38" s="722">
        <v>50</v>
      </c>
      <c r="D38" s="725"/>
      <c r="E38" s="725"/>
      <c r="F38" s="725"/>
      <c r="G38" s="725"/>
      <c r="H38" s="725"/>
      <c r="I38" s="725"/>
      <c r="J38" s="725"/>
      <c r="K38" s="724"/>
      <c r="L38" s="724">
        <v>7</v>
      </c>
    </row>
    <row r="39" spans="1:12">
      <c r="A39" s="721"/>
      <c r="B39" s="723" t="s">
        <v>820</v>
      </c>
      <c r="C39" s="722">
        <v>98.5</v>
      </c>
      <c r="D39" s="722"/>
      <c r="E39" s="722"/>
      <c r="F39" s="722"/>
      <c r="G39" s="722"/>
      <c r="H39" s="722"/>
      <c r="I39" s="722"/>
      <c r="J39" s="722"/>
      <c r="K39" s="722"/>
      <c r="L39" s="722">
        <v>1</v>
      </c>
    </row>
    <row r="40" spans="1:12" ht="14.4">
      <c r="A40" s="721"/>
      <c r="B40" s="713"/>
      <c r="C40" s="713"/>
      <c r="D40" s="713"/>
      <c r="E40" s="713"/>
      <c r="F40" s="713"/>
      <c r="G40" s="713"/>
      <c r="H40" s="713"/>
      <c r="I40" s="713"/>
      <c r="J40" s="713"/>
      <c r="K40" s="713"/>
      <c r="L40" s="713"/>
    </row>
    <row r="41" spans="1:12" ht="14.4">
      <c r="A41" s="720"/>
      <c r="B41" s="719"/>
      <c r="C41" s="719"/>
      <c r="D41" s="719"/>
      <c r="E41" s="719"/>
      <c r="F41" s="719"/>
      <c r="G41" s="719"/>
      <c r="H41" s="719"/>
      <c r="I41" s="713"/>
      <c r="J41" s="713"/>
      <c r="K41" s="713"/>
      <c r="L41" s="713"/>
    </row>
    <row r="42" spans="1:12" ht="14.4">
      <c r="A42" s="714" t="s">
        <v>695</v>
      </c>
      <c r="B42" s="718"/>
      <c r="C42" s="718"/>
      <c r="D42" s="718"/>
      <c r="E42" s="718"/>
      <c r="F42" s="718"/>
      <c r="G42" s="718"/>
      <c r="H42" s="718"/>
      <c r="I42" s="713"/>
      <c r="J42" s="713"/>
      <c r="K42" s="713"/>
      <c r="L42" s="713"/>
    </row>
    <row r="43" spans="1:12">
      <c r="A43" s="717" t="s">
        <v>694</v>
      </c>
      <c r="B43" s="1371"/>
      <c r="C43" s="1371"/>
      <c r="D43" s="1371"/>
      <c r="E43" s="1371"/>
      <c r="F43" s="1371"/>
      <c r="G43" s="1371"/>
      <c r="H43" s="1371"/>
      <c r="I43" s="1371"/>
      <c r="J43" s="1371"/>
      <c r="K43" s="1371"/>
      <c r="L43" s="1371"/>
    </row>
    <row r="44" spans="1:12" ht="14.4">
      <c r="A44" s="717" t="s">
        <v>692</v>
      </c>
      <c r="B44" s="1371"/>
      <c r="C44" s="1371"/>
      <c r="D44" s="1371"/>
      <c r="E44" s="1371"/>
      <c r="F44" s="1371"/>
      <c r="G44" s="1371"/>
      <c r="H44" s="1371"/>
      <c r="I44" s="713"/>
      <c r="J44" s="713"/>
      <c r="K44" s="713"/>
      <c r="L44" s="713"/>
    </row>
    <row r="45" spans="1:12" ht="14.4">
      <c r="A45" s="717" t="s">
        <v>272</v>
      </c>
      <c r="B45" s="1371"/>
      <c r="C45" s="1371"/>
      <c r="D45" s="1371"/>
      <c r="E45" s="1371"/>
      <c r="F45" s="1371"/>
      <c r="G45" s="1371"/>
      <c r="H45" s="1371"/>
      <c r="I45" s="713"/>
      <c r="J45" s="713"/>
      <c r="K45" s="713"/>
      <c r="L45" s="713"/>
    </row>
    <row r="46" spans="1:12">
      <c r="A46" s="717" t="s">
        <v>269</v>
      </c>
      <c r="B46" s="1371"/>
      <c r="C46" s="1371"/>
      <c r="D46" s="1371"/>
      <c r="E46" s="1371"/>
      <c r="F46" s="1371"/>
      <c r="G46" s="1371"/>
      <c r="H46" s="1371"/>
      <c r="I46" s="1371"/>
      <c r="J46" s="1371"/>
      <c r="K46" s="1371"/>
      <c r="L46" s="1371"/>
    </row>
    <row r="47" spans="1:12">
      <c r="A47" s="717" t="s">
        <v>266</v>
      </c>
      <c r="B47" s="1371"/>
      <c r="C47" s="1371"/>
      <c r="D47" s="1371"/>
      <c r="E47" s="1371"/>
      <c r="F47" s="1371"/>
      <c r="G47" s="1371"/>
      <c r="H47" s="1371"/>
      <c r="I47" s="1371"/>
      <c r="J47" s="1371"/>
      <c r="K47" s="1371"/>
      <c r="L47" s="1371"/>
    </row>
    <row r="48" spans="1:12">
      <c r="A48" s="717" t="s">
        <v>255</v>
      </c>
      <c r="B48" s="1371"/>
      <c r="C48" s="1371"/>
      <c r="D48" s="1371"/>
      <c r="E48" s="1371"/>
      <c r="F48" s="1371"/>
      <c r="G48" s="1371"/>
      <c r="H48" s="1371"/>
      <c r="I48" s="1371"/>
      <c r="J48" s="1371"/>
      <c r="K48" s="1371"/>
      <c r="L48" s="1371"/>
    </row>
    <row r="49" spans="1:12">
      <c r="A49" s="717" t="s">
        <v>389</v>
      </c>
      <c r="B49" s="1371"/>
      <c r="C49" s="1371"/>
      <c r="D49" s="1371"/>
      <c r="E49" s="1371"/>
      <c r="F49" s="1371"/>
      <c r="G49" s="1371"/>
      <c r="H49" s="1371"/>
      <c r="I49" s="1371"/>
      <c r="J49" s="1371"/>
      <c r="K49" s="1371"/>
      <c r="L49" s="1371"/>
    </row>
    <row r="50" spans="1:12">
      <c r="A50" s="717" t="s">
        <v>393</v>
      </c>
      <c r="B50" s="1373" t="s">
        <v>819</v>
      </c>
      <c r="C50" s="1373"/>
      <c r="D50" s="1373"/>
      <c r="E50" s="1373"/>
      <c r="F50" s="1373"/>
      <c r="G50" s="1373"/>
      <c r="H50" s="1373"/>
      <c r="I50" s="1373"/>
      <c r="J50" s="1373"/>
      <c r="K50" s="1373"/>
      <c r="L50" s="1373"/>
    </row>
    <row r="51" spans="1:12">
      <c r="A51" s="717" t="s">
        <v>818</v>
      </c>
      <c r="B51" s="1373" t="s">
        <v>817</v>
      </c>
      <c r="C51" s="1373"/>
      <c r="D51" s="1373"/>
      <c r="E51" s="1373"/>
      <c r="F51" s="1373"/>
      <c r="G51" s="1373"/>
      <c r="H51" s="1373"/>
      <c r="I51" s="1373"/>
      <c r="J51" s="1373"/>
      <c r="K51" s="1373"/>
      <c r="L51" s="1373"/>
    </row>
    <row r="52" spans="1:12">
      <c r="A52" s="717" t="s">
        <v>673</v>
      </c>
      <c r="B52" s="1374" t="s">
        <v>816</v>
      </c>
      <c r="C52" s="1374"/>
      <c r="D52" s="1374"/>
      <c r="E52" s="1374"/>
      <c r="F52" s="1374"/>
      <c r="G52" s="1374"/>
      <c r="H52" s="1374"/>
      <c r="I52" s="1374"/>
      <c r="J52" s="1374"/>
      <c r="K52" s="1374"/>
      <c r="L52" s="1374"/>
    </row>
    <row r="53" spans="1:12" ht="14.4">
      <c r="A53" s="713"/>
      <c r="B53" s="716" t="s">
        <v>815</v>
      </c>
      <c r="C53" s="713"/>
      <c r="D53" s="713"/>
      <c r="E53" s="713"/>
      <c r="F53" s="713"/>
      <c r="G53" s="713"/>
      <c r="H53" s="713"/>
      <c r="I53" s="713"/>
      <c r="J53" s="713"/>
      <c r="K53" s="713"/>
      <c r="L53" s="713"/>
    </row>
    <row r="54" spans="1:12" ht="15.6">
      <c r="A54" s="713"/>
      <c r="B54" s="715"/>
      <c r="C54" s="713"/>
      <c r="D54" s="713"/>
      <c r="E54" s="713"/>
      <c r="F54" s="713"/>
      <c r="G54" s="713"/>
      <c r="H54" s="713"/>
      <c r="I54" s="713"/>
      <c r="J54" s="713"/>
      <c r="K54" s="713"/>
      <c r="L54" s="713"/>
    </row>
    <row r="55" spans="1:12" ht="14.4">
      <c r="A55" s="714" t="s">
        <v>669</v>
      </c>
      <c r="B55" s="713"/>
      <c r="C55" s="713"/>
      <c r="D55" s="713"/>
      <c r="E55" s="713"/>
      <c r="F55" s="713"/>
      <c r="G55" s="713"/>
      <c r="H55" s="713"/>
      <c r="I55" s="713"/>
      <c r="J55" s="713"/>
      <c r="K55" s="713"/>
      <c r="L55" s="713"/>
    </row>
    <row r="56" spans="1:12" ht="14.4">
      <c r="A56" s="713">
        <v>1</v>
      </c>
      <c r="B56" s="1372" t="s">
        <v>814</v>
      </c>
      <c r="C56" s="1372"/>
      <c r="D56" s="1372"/>
      <c r="E56" s="1372"/>
      <c r="F56" s="1372"/>
      <c r="G56" s="1372"/>
      <c r="H56" s="1372"/>
      <c r="I56" s="1372"/>
      <c r="J56" s="1372"/>
      <c r="K56" s="1372"/>
      <c r="L56" s="1372"/>
    </row>
    <row r="57" spans="1:12" ht="14.4">
      <c r="A57" s="713">
        <v>2</v>
      </c>
      <c r="B57" s="1372" t="s">
        <v>813</v>
      </c>
      <c r="C57" s="1372"/>
      <c r="D57" s="1372"/>
      <c r="E57" s="1372"/>
      <c r="F57" s="1372"/>
      <c r="G57" s="1372"/>
      <c r="H57" s="1372"/>
      <c r="I57" s="1372"/>
      <c r="J57" s="1372"/>
      <c r="K57" s="1372"/>
      <c r="L57" s="1372"/>
    </row>
    <row r="58" spans="1:12" ht="14.4">
      <c r="A58" s="713">
        <v>4</v>
      </c>
      <c r="B58" s="1372" t="s">
        <v>812</v>
      </c>
      <c r="C58" s="1372"/>
      <c r="D58" s="1372"/>
      <c r="E58" s="1372"/>
      <c r="F58" s="1372"/>
      <c r="G58" s="1372"/>
      <c r="H58" s="1372"/>
      <c r="I58" s="1372"/>
      <c r="J58" s="1372"/>
      <c r="K58" s="1372"/>
      <c r="L58" s="1372"/>
    </row>
    <row r="59" spans="1:12" ht="14.4">
      <c r="A59" s="713">
        <v>5</v>
      </c>
      <c r="B59" s="1372" t="s">
        <v>811</v>
      </c>
      <c r="C59" s="1372"/>
      <c r="D59" s="1372"/>
      <c r="E59" s="1372"/>
      <c r="F59" s="1372"/>
      <c r="G59" s="1372"/>
      <c r="H59" s="1372"/>
      <c r="I59" s="1372"/>
      <c r="J59" s="1372"/>
      <c r="K59" s="1372"/>
      <c r="L59" s="1372"/>
    </row>
    <row r="60" spans="1:12" ht="14.4">
      <c r="A60" s="713">
        <v>7</v>
      </c>
      <c r="B60" s="1372" t="s">
        <v>810</v>
      </c>
      <c r="C60" s="1372"/>
      <c r="D60" s="1372"/>
      <c r="E60" s="1372"/>
      <c r="F60" s="1372"/>
      <c r="G60" s="1372"/>
      <c r="H60" s="1372"/>
      <c r="I60" s="1372"/>
      <c r="J60" s="1372"/>
      <c r="K60" s="1372"/>
      <c r="L60" s="1372"/>
    </row>
  </sheetData>
  <mergeCells count="19">
    <mergeCell ref="B44:H44"/>
    <mergeCell ref="B45:H45"/>
    <mergeCell ref="B46:L46"/>
    <mergeCell ref="B47:L47"/>
    <mergeCell ref="C2:K2"/>
    <mergeCell ref="C3:L3"/>
    <mergeCell ref="G4:H4"/>
    <mergeCell ref="I4:J4"/>
    <mergeCell ref="B43:L43"/>
    <mergeCell ref="B48:L48"/>
    <mergeCell ref="B49:L49"/>
    <mergeCell ref="B60:L60"/>
    <mergeCell ref="B51:L51"/>
    <mergeCell ref="B52:L52"/>
    <mergeCell ref="B56:L56"/>
    <mergeCell ref="B57:L57"/>
    <mergeCell ref="B58:L58"/>
    <mergeCell ref="B59:L59"/>
    <mergeCell ref="B50:L50"/>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E82A-BE95-455D-A823-A46541C49E0C}">
  <sheetPr>
    <tabColor theme="3" tint="0.59999389629810485"/>
  </sheetPr>
  <dimension ref="A1:P38"/>
  <sheetViews>
    <sheetView workbookViewId="0">
      <selection activeCell="B13" sqref="B13"/>
    </sheetView>
  </sheetViews>
  <sheetFormatPr defaultColWidth="9.109375" defaultRowHeight="13.2"/>
  <cols>
    <col min="1" max="1" width="9.109375" style="69"/>
    <col min="2" max="2" width="25" style="69" customWidth="1"/>
    <col min="3" max="14" width="9.109375" style="69"/>
    <col min="15" max="15" width="11.33203125" style="69" bestFit="1" customWidth="1"/>
    <col min="16" max="16" width="10.33203125" style="69" bestFit="1" customWidth="1"/>
    <col min="17" max="16384" width="9.109375" style="69"/>
  </cols>
  <sheetData>
    <row r="1" spans="1:12" ht="21">
      <c r="A1" s="567"/>
      <c r="B1" s="759" t="s">
        <v>749</v>
      </c>
      <c r="C1" s="1375" t="s">
        <v>875</v>
      </c>
      <c r="D1" s="1375"/>
      <c r="E1" s="1375"/>
      <c r="F1" s="1375"/>
      <c r="G1" s="1375"/>
      <c r="H1" s="1375"/>
      <c r="I1" s="1375"/>
      <c r="J1" s="1375"/>
      <c r="K1" s="1375"/>
      <c r="L1" s="1375"/>
    </row>
    <row r="2" spans="1:12">
      <c r="A2" s="567"/>
      <c r="B2" s="721"/>
      <c r="C2" s="721"/>
      <c r="D2" s="721"/>
      <c r="E2" s="721"/>
      <c r="F2" s="721"/>
      <c r="G2" s="721"/>
      <c r="H2" s="721"/>
      <c r="I2" s="721"/>
      <c r="J2" s="721"/>
      <c r="K2" s="721"/>
      <c r="L2" s="567"/>
    </row>
    <row r="3" spans="1:12">
      <c r="A3" s="567"/>
      <c r="B3" s="728" t="s">
        <v>296</v>
      </c>
      <c r="C3" s="1376" t="s">
        <v>875</v>
      </c>
      <c r="D3" s="1377"/>
      <c r="E3" s="1377"/>
      <c r="F3" s="1377"/>
      <c r="G3" s="1377"/>
      <c r="H3" s="1377"/>
      <c r="I3" s="1377"/>
      <c r="J3" s="1377"/>
      <c r="K3" s="1377"/>
      <c r="L3" s="1378"/>
    </row>
    <row r="4" spans="1:12">
      <c r="A4" s="567"/>
      <c r="B4" s="758"/>
      <c r="C4" s="784">
        <v>2015</v>
      </c>
      <c r="D4" s="784">
        <v>2020</v>
      </c>
      <c r="E4" s="784">
        <v>2030</v>
      </c>
      <c r="F4" s="784">
        <v>2050</v>
      </c>
      <c r="G4" s="1381" t="s">
        <v>290</v>
      </c>
      <c r="H4" s="1382"/>
      <c r="I4" s="1381" t="s">
        <v>289</v>
      </c>
      <c r="J4" s="1382"/>
      <c r="K4" s="784" t="s">
        <v>288</v>
      </c>
      <c r="L4" s="784" t="s">
        <v>874</v>
      </c>
    </row>
    <row r="5" spans="1:12">
      <c r="A5" s="567"/>
      <c r="B5" s="783" t="s">
        <v>282</v>
      </c>
      <c r="C5" s="654"/>
      <c r="D5" s="654"/>
      <c r="E5" s="654"/>
      <c r="F5" s="654"/>
      <c r="G5" s="782" t="s">
        <v>284</v>
      </c>
      <c r="H5" s="782" t="s">
        <v>283</v>
      </c>
      <c r="I5" s="782" t="s">
        <v>284</v>
      </c>
      <c r="J5" s="782" t="s">
        <v>283</v>
      </c>
      <c r="K5" s="654"/>
      <c r="L5" s="654"/>
    </row>
    <row r="6" spans="1:12" ht="26.4">
      <c r="A6" s="567"/>
      <c r="B6" s="781" t="s">
        <v>873</v>
      </c>
      <c r="C6" s="622">
        <v>20</v>
      </c>
      <c r="D6" s="622">
        <v>20</v>
      </c>
      <c r="E6" s="622">
        <v>20</v>
      </c>
      <c r="F6" s="622">
        <v>20</v>
      </c>
      <c r="G6" s="622"/>
      <c r="H6" s="622"/>
      <c r="I6" s="622"/>
      <c r="J6" s="622"/>
      <c r="K6" s="622" t="s">
        <v>694</v>
      </c>
      <c r="L6" s="622" t="s">
        <v>863</v>
      </c>
    </row>
    <row r="7" spans="1:12">
      <c r="A7" s="567"/>
      <c r="B7" s="780"/>
      <c r="C7" s="766"/>
      <c r="D7" s="622"/>
      <c r="E7" s="622"/>
      <c r="F7" s="622"/>
      <c r="G7" s="622"/>
      <c r="H7" s="622"/>
      <c r="I7" s="622"/>
      <c r="J7" s="622"/>
      <c r="K7" s="622"/>
      <c r="L7" s="622"/>
    </row>
    <row r="8" spans="1:12">
      <c r="A8" s="567"/>
      <c r="B8" s="779" t="s">
        <v>872</v>
      </c>
      <c r="C8" s="622"/>
      <c r="D8" s="622"/>
      <c r="E8" s="622"/>
      <c r="F8" s="622"/>
      <c r="G8" s="622"/>
      <c r="H8" s="622"/>
      <c r="I8" s="622"/>
      <c r="J8" s="622"/>
      <c r="K8" s="622"/>
      <c r="L8" s="622"/>
    </row>
    <row r="9" spans="1:12">
      <c r="A9" s="567"/>
      <c r="B9" s="778" t="s">
        <v>871</v>
      </c>
      <c r="C9" s="622">
        <v>98</v>
      </c>
      <c r="D9" s="622">
        <v>98</v>
      </c>
      <c r="E9" s="622">
        <v>98</v>
      </c>
      <c r="F9" s="622">
        <v>98</v>
      </c>
      <c r="G9" s="622"/>
      <c r="H9" s="622"/>
      <c r="I9" s="622"/>
      <c r="J9" s="622"/>
      <c r="K9" s="622"/>
      <c r="L9" s="622"/>
    </row>
    <row r="10" spans="1:12" ht="26.4">
      <c r="A10" s="567"/>
      <c r="B10" s="777" t="s">
        <v>870</v>
      </c>
      <c r="C10" s="622">
        <v>2</v>
      </c>
      <c r="D10" s="622">
        <v>2</v>
      </c>
      <c r="E10" s="622">
        <v>2</v>
      </c>
      <c r="F10" s="622">
        <v>2</v>
      </c>
      <c r="G10" s="622"/>
      <c r="H10" s="622"/>
      <c r="I10" s="622"/>
      <c r="J10" s="622"/>
      <c r="K10" s="622"/>
      <c r="L10" s="622"/>
    </row>
    <row r="11" spans="1:12">
      <c r="A11" s="567"/>
      <c r="B11" s="777"/>
      <c r="C11" s="622"/>
      <c r="D11" s="622"/>
      <c r="E11" s="622"/>
      <c r="F11" s="622"/>
      <c r="G11" s="622"/>
      <c r="H11" s="622"/>
      <c r="I11" s="622"/>
      <c r="J11" s="622"/>
      <c r="K11" s="622"/>
      <c r="L11" s="622"/>
    </row>
    <row r="12" spans="1:12">
      <c r="A12" s="567"/>
      <c r="B12" s="776" t="s">
        <v>869</v>
      </c>
      <c r="C12" s="622"/>
      <c r="D12" s="622"/>
      <c r="E12" s="622"/>
      <c r="F12" s="622"/>
      <c r="G12" s="622"/>
      <c r="H12" s="622"/>
      <c r="I12" s="622"/>
      <c r="J12" s="622"/>
      <c r="K12" s="622"/>
      <c r="L12" s="622"/>
    </row>
    <row r="13" spans="1:12">
      <c r="A13" s="567"/>
      <c r="B13" s="615" t="s">
        <v>868</v>
      </c>
      <c r="C13" s="622">
        <v>74</v>
      </c>
      <c r="D13" s="622">
        <v>75</v>
      </c>
      <c r="E13" s="622">
        <v>77</v>
      </c>
      <c r="F13" s="622">
        <v>83</v>
      </c>
      <c r="G13" s="622">
        <v>60</v>
      </c>
      <c r="H13" s="622">
        <v>80</v>
      </c>
      <c r="I13" s="622">
        <v>80</v>
      </c>
      <c r="J13" s="622">
        <v>90</v>
      </c>
      <c r="K13" s="622" t="s">
        <v>272</v>
      </c>
      <c r="L13" s="622" t="s">
        <v>866</v>
      </c>
    </row>
    <row r="14" spans="1:12">
      <c r="A14" s="567"/>
      <c r="B14" s="615" t="s">
        <v>867</v>
      </c>
      <c r="C14" s="622">
        <v>10</v>
      </c>
      <c r="D14" s="622">
        <v>10</v>
      </c>
      <c r="E14" s="622">
        <v>9</v>
      </c>
      <c r="F14" s="622">
        <v>5</v>
      </c>
      <c r="G14" s="622"/>
      <c r="H14" s="622"/>
      <c r="I14" s="622"/>
      <c r="J14" s="622"/>
      <c r="K14" s="622" t="s">
        <v>692</v>
      </c>
      <c r="L14" s="622" t="s">
        <v>866</v>
      </c>
    </row>
    <row r="15" spans="1:12">
      <c r="A15" s="567"/>
      <c r="B15" s="615"/>
      <c r="C15" s="622"/>
      <c r="D15" s="766"/>
      <c r="E15" s="622"/>
      <c r="F15" s="622"/>
      <c r="G15" s="622"/>
      <c r="H15" s="622"/>
      <c r="I15" s="622"/>
      <c r="J15" s="622"/>
      <c r="K15" s="622"/>
      <c r="L15" s="622"/>
    </row>
    <row r="16" spans="1:12">
      <c r="A16" s="567"/>
      <c r="B16" s="775" t="s">
        <v>865</v>
      </c>
      <c r="C16" s="622">
        <v>5</v>
      </c>
      <c r="D16" s="766">
        <v>5</v>
      </c>
      <c r="E16" s="622">
        <v>5</v>
      </c>
      <c r="F16" s="622">
        <v>5</v>
      </c>
      <c r="G16" s="622"/>
      <c r="H16" s="622"/>
      <c r="I16" s="622"/>
      <c r="J16" s="622"/>
      <c r="K16" s="622"/>
      <c r="L16" s="622" t="s">
        <v>863</v>
      </c>
    </row>
    <row r="17" spans="1:16">
      <c r="A17" s="567"/>
      <c r="B17" s="775" t="s">
        <v>92</v>
      </c>
      <c r="C17" s="622">
        <v>3</v>
      </c>
      <c r="D17" s="766">
        <v>3</v>
      </c>
      <c r="E17" s="622">
        <v>3</v>
      </c>
      <c r="F17" s="622">
        <v>3</v>
      </c>
      <c r="G17" s="622"/>
      <c r="H17" s="622"/>
      <c r="I17" s="622"/>
      <c r="J17" s="622"/>
      <c r="K17" s="622"/>
      <c r="L17" s="622" t="s">
        <v>863</v>
      </c>
    </row>
    <row r="18" spans="1:16">
      <c r="A18" s="567"/>
      <c r="B18" s="775" t="s">
        <v>58</v>
      </c>
      <c r="C18" s="622">
        <v>20</v>
      </c>
      <c r="D18" s="766">
        <v>20</v>
      </c>
      <c r="E18" s="622">
        <v>20</v>
      </c>
      <c r="F18" s="622">
        <v>20</v>
      </c>
      <c r="G18" s="622"/>
      <c r="H18" s="622"/>
      <c r="I18" s="622"/>
      <c r="J18" s="622"/>
      <c r="K18" s="622"/>
      <c r="L18" s="622" t="s">
        <v>863</v>
      </c>
    </row>
    <row r="19" spans="1:16">
      <c r="A19" s="567"/>
      <c r="B19" s="775" t="s">
        <v>60</v>
      </c>
      <c r="C19" s="622" t="s">
        <v>864</v>
      </c>
      <c r="D19" s="766" t="s">
        <v>864</v>
      </c>
      <c r="E19" s="766" t="s">
        <v>864</v>
      </c>
      <c r="F19" s="766" t="s">
        <v>864</v>
      </c>
      <c r="G19" s="622"/>
      <c r="H19" s="622"/>
      <c r="I19" s="622"/>
      <c r="J19" s="622"/>
      <c r="K19" s="622"/>
      <c r="L19" s="622" t="s">
        <v>863</v>
      </c>
    </row>
    <row r="20" spans="1:16">
      <c r="A20" s="567"/>
      <c r="B20" s="615"/>
      <c r="C20" s="622"/>
      <c r="D20" s="766"/>
      <c r="E20" s="622"/>
      <c r="F20" s="622"/>
      <c r="G20" s="622"/>
      <c r="H20" s="622"/>
      <c r="I20" s="622"/>
      <c r="J20" s="622"/>
      <c r="K20" s="622"/>
      <c r="L20" s="622"/>
    </row>
    <row r="21" spans="1:16">
      <c r="A21" s="567"/>
      <c r="B21" s="657" t="s">
        <v>264</v>
      </c>
      <c r="C21" s="774"/>
      <c r="D21" s="773"/>
      <c r="E21" s="773"/>
      <c r="F21" s="773"/>
      <c r="G21" s="773"/>
      <c r="H21" s="773"/>
      <c r="I21" s="773"/>
      <c r="J21" s="773"/>
      <c r="K21" s="772"/>
      <c r="L21" s="771"/>
    </row>
    <row r="22" spans="1:16" ht="15">
      <c r="A22" s="567"/>
      <c r="B22" s="761" t="s">
        <v>862</v>
      </c>
      <c r="C22" s="767">
        <v>1.4</v>
      </c>
      <c r="D22" s="767">
        <v>1.3</v>
      </c>
      <c r="E22" s="767">
        <v>1.2</v>
      </c>
      <c r="F22" s="767">
        <v>1.1000000000000001</v>
      </c>
      <c r="G22" s="767">
        <v>0.9</v>
      </c>
      <c r="H22" s="767">
        <v>1.8</v>
      </c>
      <c r="I22" s="767">
        <v>0.7</v>
      </c>
      <c r="J22" s="767">
        <v>1.4</v>
      </c>
      <c r="K22" s="766" t="s">
        <v>269</v>
      </c>
      <c r="L22" s="622" t="s">
        <v>857</v>
      </c>
    </row>
    <row r="23" spans="1:16">
      <c r="A23" s="567"/>
      <c r="B23" s="761" t="s">
        <v>708</v>
      </c>
      <c r="C23" s="770" t="s">
        <v>706</v>
      </c>
      <c r="D23" s="770"/>
      <c r="E23" s="770"/>
      <c r="F23" s="770"/>
      <c r="G23" s="770"/>
      <c r="H23" s="770"/>
      <c r="I23" s="770"/>
      <c r="J23" s="770"/>
      <c r="K23" s="766"/>
      <c r="L23" s="622"/>
    </row>
    <row r="24" spans="1:16">
      <c r="A24" s="567"/>
      <c r="B24" s="761" t="s">
        <v>707</v>
      </c>
      <c r="C24" s="769" t="s">
        <v>706</v>
      </c>
      <c r="D24" s="769"/>
      <c r="E24" s="769"/>
      <c r="F24" s="769"/>
      <c r="G24" s="769"/>
      <c r="H24" s="769"/>
      <c r="I24" s="769"/>
      <c r="J24" s="769"/>
      <c r="K24" s="766"/>
      <c r="L24" s="622"/>
      <c r="O24" s="69" t="s">
        <v>861</v>
      </c>
      <c r="P24" s="69" t="s">
        <v>860</v>
      </c>
    </row>
    <row r="25" spans="1:16" ht="15">
      <c r="A25" s="567"/>
      <c r="B25" s="761" t="s">
        <v>859</v>
      </c>
      <c r="C25" s="768">
        <v>21000</v>
      </c>
      <c r="D25" s="768">
        <v>20000</v>
      </c>
      <c r="E25" s="768">
        <v>18000</v>
      </c>
      <c r="F25" s="768">
        <v>16200</v>
      </c>
      <c r="G25" s="768">
        <v>15000</v>
      </c>
      <c r="H25" s="768">
        <v>24900</v>
      </c>
      <c r="I25" s="768">
        <v>12100</v>
      </c>
      <c r="J25" s="768">
        <v>20200</v>
      </c>
      <c r="K25" s="766" t="s">
        <v>269</v>
      </c>
      <c r="L25" s="622" t="s">
        <v>857</v>
      </c>
      <c r="N25" s="743">
        <f>C25</f>
        <v>21000</v>
      </c>
      <c r="O25" s="739">
        <f>N25*7.45</f>
        <v>156450</v>
      </c>
      <c r="P25" s="739">
        <f>O25/3.6</f>
        <v>43458.333333333336</v>
      </c>
    </row>
    <row r="26" spans="1:16" ht="15">
      <c r="A26" s="567"/>
      <c r="B26" s="761" t="s">
        <v>858</v>
      </c>
      <c r="C26" s="767">
        <v>2.6</v>
      </c>
      <c r="D26" s="767">
        <v>2.5</v>
      </c>
      <c r="E26" s="767">
        <v>2.2000000000000002</v>
      </c>
      <c r="F26" s="767">
        <v>2</v>
      </c>
      <c r="G26" s="767">
        <v>1.7</v>
      </c>
      <c r="H26" s="767">
        <v>3.3</v>
      </c>
      <c r="I26" s="767">
        <v>1.4</v>
      </c>
      <c r="J26" s="767">
        <v>2.7</v>
      </c>
      <c r="K26" s="766" t="s">
        <v>269</v>
      </c>
      <c r="L26" s="622" t="s">
        <v>857</v>
      </c>
    </row>
    <row r="27" spans="1:16">
      <c r="A27" s="567"/>
      <c r="B27" s="761"/>
      <c r="C27" s="765"/>
      <c r="D27" s="764"/>
      <c r="E27" s="764"/>
      <c r="F27" s="764"/>
      <c r="G27" s="763"/>
      <c r="H27" s="763"/>
      <c r="I27" s="763"/>
      <c r="J27" s="763"/>
      <c r="K27" s="763"/>
      <c r="L27" s="763"/>
    </row>
    <row r="28" spans="1:16">
      <c r="A28" s="567"/>
      <c r="B28" s="762" t="s">
        <v>642</v>
      </c>
      <c r="C28" s="638"/>
      <c r="D28" s="638"/>
      <c r="E28" s="638"/>
      <c r="F28" s="638"/>
      <c r="G28" s="622"/>
      <c r="H28" s="622"/>
      <c r="I28" s="622"/>
      <c r="J28" s="622"/>
      <c r="K28" s="622"/>
      <c r="L28" s="622"/>
    </row>
    <row r="29" spans="1:16">
      <c r="A29" s="567"/>
      <c r="B29" s="761" t="s">
        <v>821</v>
      </c>
      <c r="C29" s="622">
        <v>20</v>
      </c>
      <c r="D29" s="622">
        <v>20</v>
      </c>
      <c r="E29" s="622">
        <v>20</v>
      </c>
      <c r="F29" s="622">
        <v>20</v>
      </c>
      <c r="G29" s="622"/>
      <c r="H29" s="622"/>
      <c r="I29" s="622"/>
      <c r="J29" s="622"/>
      <c r="K29" s="622"/>
      <c r="L29" s="622">
        <v>8</v>
      </c>
    </row>
    <row r="30" spans="1:16">
      <c r="A30" s="567"/>
      <c r="B30" s="1379"/>
      <c r="C30" s="1379"/>
      <c r="D30" s="1379"/>
      <c r="E30" s="1379"/>
      <c r="F30" s="1379"/>
      <c r="G30" s="1379"/>
      <c r="H30" s="1379"/>
      <c r="I30" s="1379"/>
      <c r="J30" s="1379"/>
      <c r="K30" s="1379"/>
      <c r="L30" s="1379"/>
    </row>
    <row r="31" spans="1:16">
      <c r="A31" s="714" t="s">
        <v>695</v>
      </c>
      <c r="B31" s="719"/>
      <c r="C31" s="718"/>
      <c r="D31" s="718"/>
      <c r="E31" s="718"/>
      <c r="F31" s="718"/>
      <c r="G31" s="718"/>
      <c r="H31" s="718"/>
      <c r="I31" s="718"/>
      <c r="J31" s="718"/>
      <c r="K31" s="718"/>
      <c r="L31" s="718"/>
    </row>
    <row r="32" spans="1:16">
      <c r="A32" s="717" t="s">
        <v>694</v>
      </c>
      <c r="B32" s="1379" t="s">
        <v>856</v>
      </c>
      <c r="C32" s="1379"/>
      <c r="D32" s="1379"/>
      <c r="E32" s="1379"/>
      <c r="F32" s="1379"/>
      <c r="G32" s="1379"/>
      <c r="H32" s="1379"/>
      <c r="I32" s="1379"/>
      <c r="J32" s="1379"/>
      <c r="K32" s="1379"/>
      <c r="L32" s="1379"/>
    </row>
    <row r="33" spans="1:12">
      <c r="A33" s="717" t="s">
        <v>692</v>
      </c>
      <c r="B33" s="1379" t="s">
        <v>855</v>
      </c>
      <c r="C33" s="1379"/>
      <c r="D33" s="1379"/>
      <c r="E33" s="1379"/>
      <c r="F33" s="1379"/>
      <c r="G33" s="1379"/>
      <c r="H33" s="1379"/>
      <c r="I33" s="1379"/>
      <c r="J33" s="1379"/>
      <c r="K33" s="1379"/>
      <c r="L33" s="1379"/>
    </row>
    <row r="34" spans="1:12">
      <c r="A34" s="717" t="s">
        <v>272</v>
      </c>
      <c r="B34" s="1373" t="s">
        <v>854</v>
      </c>
      <c r="C34" s="1373"/>
      <c r="D34" s="1373"/>
      <c r="E34" s="1373"/>
      <c r="F34" s="1373"/>
      <c r="G34" s="1373"/>
      <c r="H34" s="1373"/>
      <c r="I34" s="1373"/>
      <c r="J34" s="1373"/>
      <c r="K34" s="1373"/>
      <c r="L34" s="1373"/>
    </row>
    <row r="35" spans="1:12">
      <c r="A35" s="760" t="s">
        <v>269</v>
      </c>
      <c r="B35" s="1373" t="s">
        <v>853</v>
      </c>
      <c r="C35" s="1373"/>
      <c r="D35" s="1373"/>
      <c r="E35" s="1373"/>
      <c r="F35" s="1373"/>
      <c r="G35" s="1373"/>
      <c r="H35" s="1373"/>
      <c r="I35" s="1373"/>
      <c r="J35" s="1373"/>
      <c r="K35" s="1373"/>
      <c r="L35" s="1373"/>
    </row>
    <row r="36" spans="1:12">
      <c r="A36" s="717" t="s">
        <v>266</v>
      </c>
      <c r="B36" s="1379" t="s">
        <v>852</v>
      </c>
      <c r="C36" s="1379"/>
      <c r="D36" s="1379"/>
      <c r="E36" s="1379"/>
      <c r="F36" s="1379"/>
      <c r="G36" s="1379"/>
      <c r="H36" s="1379"/>
      <c r="I36" s="1379"/>
      <c r="J36" s="1379"/>
      <c r="K36" s="1379"/>
      <c r="L36" s="1379"/>
    </row>
    <row r="37" spans="1:12">
      <c r="A37" s="717" t="s">
        <v>255</v>
      </c>
      <c r="B37" s="1379" t="s">
        <v>851</v>
      </c>
      <c r="C37" s="1379"/>
      <c r="D37" s="1379"/>
      <c r="E37" s="1379"/>
      <c r="F37" s="1379"/>
      <c r="G37" s="1379"/>
      <c r="H37" s="1379"/>
      <c r="I37" s="1379"/>
      <c r="J37" s="1379"/>
      <c r="K37" s="1379"/>
      <c r="L37" s="1379"/>
    </row>
    <row r="38" spans="1:12">
      <c r="A38" s="717" t="s">
        <v>389</v>
      </c>
      <c r="B38" s="1380" t="s">
        <v>850</v>
      </c>
      <c r="C38" s="1380"/>
      <c r="D38" s="1380"/>
      <c r="E38" s="1380"/>
      <c r="F38" s="1380"/>
      <c r="G38" s="1380"/>
      <c r="H38" s="1380"/>
      <c r="I38" s="1380"/>
      <c r="J38" s="1380"/>
      <c r="K38" s="1380"/>
      <c r="L38" s="1380"/>
    </row>
  </sheetData>
  <mergeCells count="12">
    <mergeCell ref="B32:L32"/>
    <mergeCell ref="B33:L33"/>
    <mergeCell ref="C1:L1"/>
    <mergeCell ref="C3:L3"/>
    <mergeCell ref="G4:H4"/>
    <mergeCell ref="I4:J4"/>
    <mergeCell ref="B30:L30"/>
    <mergeCell ref="B34:L34"/>
    <mergeCell ref="B35:L35"/>
    <mergeCell ref="B36:L36"/>
    <mergeCell ref="B37:L37"/>
    <mergeCell ref="B38:L3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ABF3A-14C0-4BE5-9B48-F67DD5C3EE84}">
  <sheetPr>
    <tabColor theme="3" tint="0.59999389629810485"/>
  </sheetPr>
  <dimension ref="A1:T44"/>
  <sheetViews>
    <sheetView workbookViewId="0">
      <selection activeCell="B13" sqref="B13"/>
    </sheetView>
  </sheetViews>
  <sheetFormatPr defaultColWidth="9.109375" defaultRowHeight="13.2"/>
  <cols>
    <col min="1" max="1" width="3.109375" style="69" customWidth="1"/>
    <col min="2" max="2" width="25.44140625" style="69" customWidth="1"/>
    <col min="3" max="17" width="9.109375" style="69"/>
    <col min="18" max="18" width="20.5546875" style="69" bestFit="1" customWidth="1"/>
    <col min="19" max="16384" width="9.109375" style="69"/>
  </cols>
  <sheetData>
    <row r="1" spans="1:20" ht="21">
      <c r="A1" s="721"/>
      <c r="B1" s="759" t="s">
        <v>749</v>
      </c>
      <c r="C1" s="1375" t="s">
        <v>898</v>
      </c>
      <c r="D1" s="1375"/>
      <c r="E1" s="1375"/>
      <c r="F1" s="1375"/>
      <c r="G1" s="1375"/>
      <c r="H1" s="1375"/>
      <c r="I1" s="1375"/>
      <c r="J1" s="1375"/>
      <c r="K1" s="1375"/>
      <c r="L1" s="1375"/>
    </row>
    <row r="2" spans="1:20">
      <c r="A2" s="721"/>
      <c r="B2" s="721"/>
      <c r="C2" s="721"/>
      <c r="D2" s="721"/>
      <c r="E2" s="721"/>
      <c r="F2" s="721"/>
      <c r="G2" s="721"/>
      <c r="H2" s="721"/>
      <c r="I2" s="721"/>
      <c r="J2" s="721"/>
      <c r="K2" s="721"/>
      <c r="L2" s="810"/>
    </row>
    <row r="3" spans="1:20">
      <c r="A3" s="721"/>
      <c r="B3" s="809" t="s">
        <v>296</v>
      </c>
      <c r="C3" s="1383" t="s">
        <v>897</v>
      </c>
      <c r="D3" s="1384"/>
      <c r="E3" s="1384"/>
      <c r="F3" s="1384"/>
      <c r="G3" s="1384"/>
      <c r="H3" s="1384"/>
      <c r="I3" s="1384"/>
      <c r="J3" s="1384"/>
      <c r="K3" s="1384"/>
      <c r="L3" s="1385"/>
    </row>
    <row r="4" spans="1:20">
      <c r="A4" s="721"/>
      <c r="B4" s="808"/>
      <c r="C4" s="807">
        <v>2015</v>
      </c>
      <c r="D4" s="807">
        <v>2020</v>
      </c>
      <c r="E4" s="807">
        <v>2030</v>
      </c>
      <c r="F4" s="807">
        <v>2050</v>
      </c>
      <c r="G4" s="1383" t="s">
        <v>290</v>
      </c>
      <c r="H4" s="1385"/>
      <c r="I4" s="1383" t="s">
        <v>289</v>
      </c>
      <c r="J4" s="1385"/>
      <c r="K4" s="807" t="s">
        <v>288</v>
      </c>
      <c r="L4" s="807" t="s">
        <v>287</v>
      </c>
    </row>
    <row r="5" spans="1:20">
      <c r="A5" s="721"/>
      <c r="B5" s="794" t="s">
        <v>282</v>
      </c>
      <c r="C5" s="794"/>
      <c r="D5" s="794"/>
      <c r="E5" s="794"/>
      <c r="F5" s="794"/>
      <c r="G5" s="806" t="s">
        <v>284</v>
      </c>
      <c r="H5" s="806" t="s">
        <v>283</v>
      </c>
      <c r="I5" s="806" t="s">
        <v>284</v>
      </c>
      <c r="J5" s="806" t="s">
        <v>283</v>
      </c>
      <c r="K5" s="794"/>
      <c r="L5" s="805"/>
    </row>
    <row r="6" spans="1:20" ht="15">
      <c r="A6" s="721"/>
      <c r="B6" s="799" t="s">
        <v>873</v>
      </c>
      <c r="C6" s="790">
        <v>32</v>
      </c>
      <c r="D6" s="790">
        <v>154</v>
      </c>
      <c r="E6" s="790">
        <v>400</v>
      </c>
      <c r="F6" s="790">
        <v>400</v>
      </c>
      <c r="G6" s="790"/>
      <c r="H6" s="790"/>
      <c r="I6" s="790"/>
      <c r="J6" s="790"/>
      <c r="K6" s="790"/>
      <c r="L6" s="789" t="s">
        <v>896</v>
      </c>
    </row>
    <row r="7" spans="1:20">
      <c r="A7" s="721"/>
      <c r="B7" s="804"/>
      <c r="C7" s="790"/>
      <c r="D7" s="790"/>
      <c r="E7" s="790"/>
      <c r="F7" s="790"/>
      <c r="G7" s="790"/>
      <c r="H7" s="790"/>
      <c r="I7" s="790"/>
      <c r="J7" s="790"/>
      <c r="K7" s="790"/>
      <c r="L7" s="789"/>
    </row>
    <row r="8" spans="1:20">
      <c r="A8" s="721"/>
      <c r="B8" s="800" t="s">
        <v>872</v>
      </c>
      <c r="C8" s="790"/>
      <c r="D8" s="790"/>
      <c r="E8" s="790"/>
      <c r="F8" s="790"/>
      <c r="G8" s="790"/>
      <c r="H8" s="790"/>
      <c r="I8" s="790"/>
      <c r="J8" s="790"/>
      <c r="K8" s="790" t="s">
        <v>692</v>
      </c>
      <c r="L8" s="789"/>
    </row>
    <row r="9" spans="1:20">
      <c r="A9" s="721"/>
      <c r="B9" s="792" t="s">
        <v>871</v>
      </c>
      <c r="C9" s="790">
        <v>91</v>
      </c>
      <c r="D9" s="790">
        <v>100</v>
      </c>
      <c r="E9" s="790">
        <v>100</v>
      </c>
      <c r="F9" s="790">
        <v>100</v>
      </c>
      <c r="G9" s="790"/>
      <c r="H9" s="790"/>
      <c r="I9" s="790"/>
      <c r="J9" s="790"/>
      <c r="K9" s="790"/>
      <c r="L9" s="789"/>
      <c r="O9" s="299">
        <v>0.91</v>
      </c>
      <c r="R9" s="803">
        <f>O9/P12</f>
        <v>1.625</v>
      </c>
      <c r="T9" s="578">
        <f>R10/SUM(R9:R10)</f>
        <v>0.09</v>
      </c>
    </row>
    <row r="10" spans="1:20">
      <c r="A10" s="721"/>
      <c r="B10" s="792" t="s">
        <v>870</v>
      </c>
      <c r="C10" s="790">
        <v>9</v>
      </c>
      <c r="D10" s="790">
        <v>0</v>
      </c>
      <c r="E10" s="790">
        <v>0</v>
      </c>
      <c r="F10" s="790">
        <v>0</v>
      </c>
      <c r="G10" s="790"/>
      <c r="H10" s="790"/>
      <c r="I10" s="790"/>
      <c r="J10" s="790"/>
      <c r="K10" s="790" t="s">
        <v>692</v>
      </c>
      <c r="L10" s="789"/>
      <c r="O10" s="299">
        <v>0.09</v>
      </c>
      <c r="P10" s="69">
        <v>1</v>
      </c>
      <c r="R10" s="802">
        <f>O10/P12</f>
        <v>0.1607142857142857</v>
      </c>
    </row>
    <row r="11" spans="1:20">
      <c r="A11" s="721"/>
      <c r="B11" s="801"/>
      <c r="C11" s="790"/>
      <c r="D11" s="790"/>
      <c r="E11" s="790"/>
      <c r="F11" s="790"/>
      <c r="G11" s="790"/>
      <c r="H11" s="790"/>
      <c r="I11" s="790"/>
      <c r="J11" s="790"/>
      <c r="K11" s="790"/>
      <c r="L11" s="789"/>
    </row>
    <row r="12" spans="1:20">
      <c r="A12" s="721"/>
      <c r="B12" s="800" t="s">
        <v>869</v>
      </c>
      <c r="C12" s="790"/>
      <c r="D12" s="790"/>
      <c r="E12" s="790"/>
      <c r="F12" s="790"/>
      <c r="G12" s="790"/>
      <c r="H12" s="790"/>
      <c r="I12" s="790"/>
      <c r="J12" s="790"/>
      <c r="K12" s="790" t="s">
        <v>692</v>
      </c>
      <c r="L12" s="789"/>
      <c r="P12" s="299">
        <v>0.56000000000000005</v>
      </c>
    </row>
    <row r="13" spans="1:20" ht="20.399999999999999">
      <c r="A13" s="721"/>
      <c r="B13" s="792" t="s">
        <v>895</v>
      </c>
      <c r="C13" s="790">
        <v>56</v>
      </c>
      <c r="D13" s="790">
        <v>60</v>
      </c>
      <c r="E13" s="790">
        <v>63</v>
      </c>
      <c r="F13" s="790">
        <v>70</v>
      </c>
      <c r="G13" s="790">
        <v>58</v>
      </c>
      <c r="H13" s="790">
        <v>65</v>
      </c>
      <c r="I13" s="790">
        <v>65</v>
      </c>
      <c r="J13" s="790">
        <v>75</v>
      </c>
      <c r="K13" s="790" t="s">
        <v>389</v>
      </c>
      <c r="L13" s="789" t="s">
        <v>894</v>
      </c>
    </row>
    <row r="14" spans="1:20" ht="20.399999999999999">
      <c r="A14" s="721"/>
      <c r="B14" s="792" t="s">
        <v>867</v>
      </c>
      <c r="C14" s="790">
        <v>15</v>
      </c>
      <c r="D14" s="790">
        <v>20</v>
      </c>
      <c r="E14" s="790">
        <v>22</v>
      </c>
      <c r="F14" s="790">
        <v>20</v>
      </c>
      <c r="G14" s="790"/>
      <c r="H14" s="790"/>
      <c r="I14" s="790"/>
      <c r="J14" s="790"/>
      <c r="K14" s="790" t="s">
        <v>393</v>
      </c>
      <c r="L14" s="789" t="s">
        <v>894</v>
      </c>
    </row>
    <row r="15" spans="1:20">
      <c r="A15" s="721"/>
      <c r="B15" s="792"/>
      <c r="C15" s="790"/>
      <c r="D15" s="790"/>
      <c r="E15" s="790"/>
      <c r="F15" s="790"/>
      <c r="G15" s="790"/>
      <c r="H15" s="790"/>
      <c r="I15" s="790"/>
      <c r="J15" s="790"/>
      <c r="K15" s="790"/>
      <c r="L15" s="789"/>
    </row>
    <row r="16" spans="1:20">
      <c r="A16" s="721"/>
      <c r="B16" s="792" t="s">
        <v>865</v>
      </c>
      <c r="C16" s="790">
        <v>3</v>
      </c>
      <c r="D16" s="790">
        <v>3</v>
      </c>
      <c r="E16" s="790">
        <v>3</v>
      </c>
      <c r="F16" s="790">
        <v>3</v>
      </c>
      <c r="G16" s="790"/>
      <c r="H16" s="790"/>
      <c r="I16" s="790"/>
      <c r="J16" s="790"/>
      <c r="K16" s="790"/>
      <c r="L16" s="789"/>
    </row>
    <row r="17" spans="1:12">
      <c r="A17" s="721"/>
      <c r="B17" s="792" t="s">
        <v>92</v>
      </c>
      <c r="C17" s="790">
        <v>3</v>
      </c>
      <c r="D17" s="790">
        <v>3</v>
      </c>
      <c r="E17" s="790">
        <v>3</v>
      </c>
      <c r="F17" s="790">
        <v>3</v>
      </c>
      <c r="G17" s="790"/>
      <c r="H17" s="790"/>
      <c r="I17" s="790"/>
      <c r="J17" s="790"/>
      <c r="K17" s="790"/>
      <c r="L17" s="789"/>
    </row>
    <row r="18" spans="1:12">
      <c r="A18" s="721"/>
      <c r="B18" s="792" t="s">
        <v>58</v>
      </c>
      <c r="C18" s="790">
        <v>15</v>
      </c>
      <c r="D18" s="790">
        <v>20</v>
      </c>
      <c r="E18" s="790">
        <v>20</v>
      </c>
      <c r="F18" s="790">
        <v>20</v>
      </c>
      <c r="G18" s="790"/>
      <c r="H18" s="790"/>
      <c r="I18" s="790"/>
      <c r="J18" s="790"/>
      <c r="K18" s="790"/>
      <c r="L18" s="789"/>
    </row>
    <row r="19" spans="1:12">
      <c r="A19" s="721"/>
      <c r="B19" s="792" t="s">
        <v>60</v>
      </c>
      <c r="C19" s="790">
        <v>2.5</v>
      </c>
      <c r="D19" s="790">
        <v>2.5</v>
      </c>
      <c r="E19" s="790">
        <v>2.5</v>
      </c>
      <c r="F19" s="790">
        <v>2.5</v>
      </c>
      <c r="G19" s="790"/>
      <c r="H19" s="790"/>
      <c r="I19" s="790"/>
      <c r="J19" s="790"/>
      <c r="K19" s="790"/>
      <c r="L19" s="789"/>
    </row>
    <row r="20" spans="1:12">
      <c r="A20" s="721"/>
      <c r="B20" s="792"/>
      <c r="C20" s="790"/>
      <c r="D20" s="790"/>
      <c r="E20" s="790"/>
      <c r="F20" s="790"/>
      <c r="G20" s="790"/>
      <c r="H20" s="790"/>
      <c r="I20" s="790"/>
      <c r="J20" s="790"/>
      <c r="K20" s="790"/>
      <c r="L20" s="789"/>
    </row>
    <row r="21" spans="1:12">
      <c r="A21" s="721"/>
      <c r="B21" s="794" t="s">
        <v>264</v>
      </c>
      <c r="C21" s="794"/>
      <c r="D21" s="794"/>
      <c r="E21" s="794"/>
      <c r="F21" s="794"/>
      <c r="G21" s="794"/>
      <c r="H21" s="794"/>
      <c r="I21" s="794"/>
      <c r="J21" s="794"/>
      <c r="K21" s="794"/>
      <c r="L21" s="793"/>
    </row>
    <row r="22" spans="1:12" ht="20.399999999999999">
      <c r="A22" s="721"/>
      <c r="B22" s="799" t="s">
        <v>862</v>
      </c>
      <c r="C22" s="790">
        <v>4</v>
      </c>
      <c r="D22" s="790">
        <v>2.5</v>
      </c>
      <c r="E22" s="790">
        <v>1.6</v>
      </c>
      <c r="F22" s="790">
        <v>1.5</v>
      </c>
      <c r="G22" s="790">
        <v>1.8</v>
      </c>
      <c r="H22" s="790">
        <v>3</v>
      </c>
      <c r="I22" s="790">
        <v>1.4</v>
      </c>
      <c r="J22" s="790">
        <v>2.6</v>
      </c>
      <c r="K22" s="790" t="s">
        <v>266</v>
      </c>
      <c r="L22" s="798" t="s">
        <v>893</v>
      </c>
    </row>
    <row r="23" spans="1:12">
      <c r="A23" s="721"/>
      <c r="B23" s="792" t="s">
        <v>708</v>
      </c>
      <c r="C23" s="790" t="s">
        <v>706</v>
      </c>
      <c r="D23" s="790"/>
      <c r="E23" s="790"/>
      <c r="F23" s="790"/>
      <c r="G23" s="790"/>
      <c r="H23" s="790"/>
      <c r="I23" s="790"/>
      <c r="J23" s="790"/>
      <c r="K23" s="790"/>
      <c r="L23" s="789"/>
    </row>
    <row r="24" spans="1:12">
      <c r="A24" s="721"/>
      <c r="B24" s="792" t="s">
        <v>707</v>
      </c>
      <c r="C24" s="790" t="s">
        <v>706</v>
      </c>
      <c r="D24" s="790"/>
      <c r="E24" s="790"/>
      <c r="F24" s="790"/>
      <c r="G24" s="790"/>
      <c r="H24" s="790"/>
      <c r="I24" s="790"/>
      <c r="J24" s="790"/>
      <c r="K24" s="790"/>
      <c r="L24" s="789"/>
    </row>
    <row r="25" spans="1:12" ht="20.399999999999999">
      <c r="A25" s="721"/>
      <c r="B25" s="792" t="s">
        <v>892</v>
      </c>
      <c r="C25" s="790">
        <v>80500</v>
      </c>
      <c r="D25" s="790">
        <v>40200</v>
      </c>
      <c r="E25" s="790">
        <v>26200</v>
      </c>
      <c r="F25" s="790">
        <v>24100</v>
      </c>
      <c r="G25" s="790">
        <v>30200</v>
      </c>
      <c r="H25" s="790">
        <v>50300</v>
      </c>
      <c r="I25" s="790">
        <v>18100</v>
      </c>
      <c r="J25" s="790">
        <v>30200</v>
      </c>
      <c r="K25" s="790" t="s">
        <v>255</v>
      </c>
      <c r="L25" s="789" t="s">
        <v>891</v>
      </c>
    </row>
    <row r="26" spans="1:12" ht="20.399999999999999">
      <c r="A26" s="721"/>
      <c r="B26" s="792" t="s">
        <v>858</v>
      </c>
      <c r="C26" s="790">
        <v>5.3</v>
      </c>
      <c r="D26" s="790">
        <v>2.7</v>
      </c>
      <c r="E26" s="790">
        <v>1.7</v>
      </c>
      <c r="F26" s="790">
        <v>1.6</v>
      </c>
      <c r="G26" s="790">
        <v>1.8</v>
      </c>
      <c r="H26" s="790">
        <v>3.5</v>
      </c>
      <c r="I26" s="790">
        <v>1.1000000000000001</v>
      </c>
      <c r="J26" s="790">
        <v>2.1</v>
      </c>
      <c r="K26" s="790" t="s">
        <v>255</v>
      </c>
      <c r="L26" s="789" t="s">
        <v>891</v>
      </c>
    </row>
    <row r="27" spans="1:12">
      <c r="A27" s="721"/>
      <c r="B27" s="792"/>
      <c r="C27" s="797"/>
      <c r="D27" s="796"/>
      <c r="E27" s="796"/>
      <c r="F27" s="796"/>
      <c r="G27" s="790"/>
      <c r="H27" s="790"/>
      <c r="I27" s="790"/>
      <c r="J27" s="790"/>
      <c r="K27" s="790"/>
      <c r="L27" s="789"/>
    </row>
    <row r="28" spans="1:12">
      <c r="A28" s="721"/>
      <c r="B28" s="795" t="s">
        <v>642</v>
      </c>
      <c r="C28" s="791"/>
      <c r="D28" s="791"/>
      <c r="E28" s="791"/>
      <c r="F28" s="791"/>
      <c r="G28" s="790"/>
      <c r="H28" s="790"/>
      <c r="I28" s="790"/>
      <c r="J28" s="790"/>
      <c r="K28" s="790"/>
      <c r="L28" s="789"/>
    </row>
    <row r="29" spans="1:12">
      <c r="A29" s="721"/>
      <c r="B29" s="792" t="s">
        <v>890</v>
      </c>
      <c r="C29" s="790">
        <v>6</v>
      </c>
      <c r="D29" s="790">
        <v>6</v>
      </c>
      <c r="E29" s="790">
        <v>6</v>
      </c>
      <c r="F29" s="790">
        <v>6</v>
      </c>
      <c r="G29" s="790"/>
      <c r="H29" s="790"/>
      <c r="I29" s="790"/>
      <c r="J29" s="790"/>
      <c r="K29" s="790" t="s">
        <v>272</v>
      </c>
      <c r="L29" s="789"/>
    </row>
    <row r="30" spans="1:12">
      <c r="A30" s="721"/>
      <c r="B30" s="792" t="s">
        <v>889</v>
      </c>
      <c r="C30" s="790">
        <v>12</v>
      </c>
      <c r="D30" s="790">
        <v>12</v>
      </c>
      <c r="E30" s="790">
        <v>12</v>
      </c>
      <c r="F30" s="790">
        <v>12</v>
      </c>
      <c r="G30" s="790"/>
      <c r="H30" s="790"/>
      <c r="I30" s="790"/>
      <c r="J30" s="790"/>
      <c r="K30" s="790" t="s">
        <v>272</v>
      </c>
      <c r="L30" s="789"/>
    </row>
    <row r="31" spans="1:12">
      <c r="A31" s="721"/>
      <c r="B31" s="792"/>
      <c r="C31" s="790"/>
      <c r="D31" s="790"/>
      <c r="E31" s="790"/>
      <c r="F31" s="790"/>
      <c r="G31" s="790"/>
      <c r="H31" s="790"/>
      <c r="I31" s="790"/>
      <c r="J31" s="790"/>
      <c r="K31" s="790"/>
      <c r="L31" s="789"/>
    </row>
    <row r="32" spans="1:12">
      <c r="A32" s="721"/>
      <c r="B32" s="794" t="s">
        <v>888</v>
      </c>
      <c r="C32" s="794"/>
      <c r="D32" s="794"/>
      <c r="E32" s="794"/>
      <c r="F32" s="794"/>
      <c r="G32" s="794"/>
      <c r="H32" s="794"/>
      <c r="I32" s="794"/>
      <c r="J32" s="794"/>
      <c r="K32" s="794"/>
      <c r="L32" s="793"/>
    </row>
    <row r="33" spans="1:12" ht="15">
      <c r="A33" s="721"/>
      <c r="B33" s="792" t="s">
        <v>887</v>
      </c>
      <c r="C33" s="790">
        <v>16</v>
      </c>
      <c r="D33" s="790">
        <v>20</v>
      </c>
      <c r="E33" s="790">
        <v>20</v>
      </c>
      <c r="F33" s="790">
        <v>20</v>
      </c>
      <c r="G33" s="790"/>
      <c r="H33" s="790"/>
      <c r="I33" s="790"/>
      <c r="J33" s="790"/>
      <c r="K33" s="790" t="s">
        <v>269</v>
      </c>
      <c r="L33" s="789" t="s">
        <v>884</v>
      </c>
    </row>
    <row r="34" spans="1:12" ht="15">
      <c r="A34" s="721"/>
      <c r="B34" s="792" t="s">
        <v>886</v>
      </c>
      <c r="C34" s="790">
        <v>0</v>
      </c>
      <c r="D34" s="790">
        <v>0</v>
      </c>
      <c r="E34" s="790">
        <v>0</v>
      </c>
      <c r="F34" s="790">
        <v>0</v>
      </c>
      <c r="G34" s="790"/>
      <c r="H34" s="790"/>
      <c r="I34" s="790"/>
      <c r="J34" s="790"/>
      <c r="K34" s="790" t="s">
        <v>269</v>
      </c>
      <c r="L34" s="789">
        <v>29</v>
      </c>
    </row>
    <row r="35" spans="1:12" ht="15">
      <c r="A35" s="721"/>
      <c r="B35" s="792" t="s">
        <v>885</v>
      </c>
      <c r="C35" s="790">
        <v>0.3</v>
      </c>
      <c r="D35" s="790">
        <v>1</v>
      </c>
      <c r="E35" s="790">
        <v>1</v>
      </c>
      <c r="F35" s="790">
        <v>0</v>
      </c>
      <c r="G35" s="790"/>
      <c r="H35" s="790"/>
      <c r="I35" s="791"/>
      <c r="J35" s="791"/>
      <c r="K35" s="790" t="s">
        <v>269</v>
      </c>
      <c r="L35" s="789" t="s">
        <v>884</v>
      </c>
    </row>
    <row r="36" spans="1:12">
      <c r="A36" s="788" t="s">
        <v>695</v>
      </c>
      <c r="B36" s="719"/>
      <c r="C36" s="718"/>
      <c r="D36" s="718"/>
      <c r="E36" s="718"/>
      <c r="F36" s="718"/>
      <c r="G36" s="718"/>
      <c r="H36" s="718"/>
      <c r="I36" s="718"/>
      <c r="J36" s="718"/>
      <c r="K36" s="718"/>
      <c r="L36" s="787"/>
    </row>
    <row r="37" spans="1:12">
      <c r="A37" s="717" t="s">
        <v>694</v>
      </c>
      <c r="B37" s="786" t="s">
        <v>883</v>
      </c>
      <c r="C37" s="719"/>
      <c r="D37" s="719"/>
      <c r="E37" s="719"/>
      <c r="F37" s="719"/>
      <c r="G37" s="719"/>
      <c r="H37" s="719"/>
      <c r="I37" s="719"/>
      <c r="J37" s="719"/>
      <c r="K37" s="719"/>
      <c r="L37" s="785"/>
    </row>
    <row r="38" spans="1:12">
      <c r="A38" s="717" t="s">
        <v>692</v>
      </c>
      <c r="B38" s="1380" t="s">
        <v>882</v>
      </c>
      <c r="C38" s="1380"/>
      <c r="D38" s="1380"/>
      <c r="E38" s="1380"/>
      <c r="F38" s="1380"/>
      <c r="G38" s="1380"/>
      <c r="H38" s="1380"/>
      <c r="I38" s="1380"/>
      <c r="J38" s="1380"/>
      <c r="K38" s="1380"/>
      <c r="L38" s="1380"/>
    </row>
    <row r="39" spans="1:12">
      <c r="A39" s="717" t="s">
        <v>272</v>
      </c>
      <c r="B39" s="1380" t="s">
        <v>881</v>
      </c>
      <c r="C39" s="1380"/>
      <c r="D39" s="1380"/>
      <c r="E39" s="1380"/>
      <c r="F39" s="1380"/>
      <c r="G39" s="1380"/>
      <c r="H39" s="1380"/>
      <c r="I39" s="1380"/>
      <c r="J39" s="1380"/>
      <c r="K39" s="1380"/>
      <c r="L39" s="1380"/>
    </row>
    <row r="40" spans="1:12">
      <c r="A40" s="717" t="s">
        <v>269</v>
      </c>
      <c r="B40" s="1380" t="s">
        <v>880</v>
      </c>
      <c r="C40" s="1380"/>
      <c r="D40" s="1380"/>
      <c r="E40" s="1380"/>
      <c r="F40" s="1380"/>
      <c r="G40" s="1380"/>
      <c r="H40" s="1380"/>
      <c r="I40" s="1380"/>
      <c r="J40" s="1380"/>
      <c r="K40" s="1380"/>
      <c r="L40" s="1380"/>
    </row>
    <row r="41" spans="1:12">
      <c r="A41" s="717" t="s">
        <v>266</v>
      </c>
      <c r="B41" s="1380" t="s">
        <v>879</v>
      </c>
      <c r="C41" s="1380"/>
      <c r="D41" s="1380"/>
      <c r="E41" s="1380"/>
      <c r="F41" s="1380"/>
      <c r="G41" s="1380"/>
      <c r="H41" s="1380"/>
      <c r="I41" s="1380"/>
      <c r="J41" s="1380"/>
      <c r="K41" s="1380"/>
      <c r="L41" s="1380"/>
    </row>
    <row r="42" spans="1:12">
      <c r="A42" s="717" t="s">
        <v>255</v>
      </c>
      <c r="B42" s="1380" t="s">
        <v>878</v>
      </c>
      <c r="C42" s="1380"/>
      <c r="D42" s="1380"/>
      <c r="E42" s="1380"/>
      <c r="F42" s="1380"/>
      <c r="G42" s="1380"/>
      <c r="H42" s="1380"/>
      <c r="I42" s="1380"/>
      <c r="J42" s="1380"/>
      <c r="K42" s="1380"/>
      <c r="L42" s="1380"/>
    </row>
    <row r="43" spans="1:12">
      <c r="A43" s="717" t="s">
        <v>389</v>
      </c>
      <c r="B43" s="1380" t="s">
        <v>877</v>
      </c>
      <c r="C43" s="1380"/>
      <c r="D43" s="1380"/>
      <c r="E43" s="1380"/>
      <c r="F43" s="1380"/>
      <c r="G43" s="1380"/>
      <c r="H43" s="1380"/>
      <c r="I43" s="1380"/>
      <c r="J43" s="1380"/>
      <c r="K43" s="1380"/>
      <c r="L43" s="1380"/>
    </row>
    <row r="44" spans="1:12">
      <c r="A44" s="717" t="s">
        <v>393</v>
      </c>
      <c r="B44" s="1380" t="s">
        <v>876</v>
      </c>
      <c r="C44" s="1380"/>
      <c r="D44" s="1380"/>
      <c r="E44" s="1380"/>
      <c r="F44" s="1380"/>
      <c r="G44" s="1380"/>
      <c r="H44" s="1380"/>
      <c r="I44" s="1380"/>
      <c r="J44" s="1380"/>
      <c r="K44" s="1380"/>
      <c r="L44" s="1380"/>
    </row>
  </sheetData>
  <mergeCells count="11">
    <mergeCell ref="B39:L39"/>
    <mergeCell ref="C1:L1"/>
    <mergeCell ref="C3:L3"/>
    <mergeCell ref="G4:H4"/>
    <mergeCell ref="I4:J4"/>
    <mergeCell ref="B38:L38"/>
    <mergeCell ref="B40:L40"/>
    <mergeCell ref="B41:L41"/>
    <mergeCell ref="B42:L42"/>
    <mergeCell ref="B43:L43"/>
    <mergeCell ref="B44:L4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B57B3-6918-4D39-90E4-202D14978EC8}">
  <sheetPr>
    <tabColor theme="4" tint="0.39997558519241921"/>
    <pageSetUpPr fitToPage="1"/>
  </sheetPr>
  <dimension ref="B2:N65"/>
  <sheetViews>
    <sheetView showGridLines="0" zoomScaleNormal="100" workbookViewId="0">
      <selection activeCell="C26" sqref="C26"/>
    </sheetView>
  </sheetViews>
  <sheetFormatPr defaultRowHeight="14.4"/>
  <cols>
    <col min="1" max="1" width="2.109375" customWidth="1"/>
    <col min="2" max="2" width="44.6640625" bestFit="1" customWidth="1"/>
    <col min="3" max="3" width="39.88671875" customWidth="1"/>
    <col min="4" max="13" width="8.33203125" customWidth="1"/>
  </cols>
  <sheetData>
    <row r="2" spans="2:14">
      <c r="I2" s="884"/>
    </row>
    <row r="3" spans="2:14" ht="15" customHeight="1">
      <c r="C3" s="1131" t="s">
        <v>296</v>
      </c>
      <c r="D3" s="1386" t="s">
        <v>1501</v>
      </c>
      <c r="E3" s="1387"/>
      <c r="F3" s="1387"/>
      <c r="G3" s="1387"/>
      <c r="H3" s="1387"/>
      <c r="I3" s="1387"/>
      <c r="J3" s="1387"/>
      <c r="K3" s="1387"/>
      <c r="L3" s="1387"/>
      <c r="M3" s="1387"/>
      <c r="N3" s="1387"/>
    </row>
    <row r="4" spans="2:14" ht="15" customHeight="1">
      <c r="C4" s="1132"/>
      <c r="D4" s="1132">
        <v>2015</v>
      </c>
      <c r="E4" s="1132">
        <v>2020</v>
      </c>
      <c r="F4" s="1132">
        <v>2030</v>
      </c>
      <c r="G4" s="1132">
        <v>2040</v>
      </c>
      <c r="H4" s="1132">
        <v>2050</v>
      </c>
      <c r="I4" s="1388" t="s">
        <v>290</v>
      </c>
      <c r="J4" s="1388"/>
      <c r="K4" s="1388" t="s">
        <v>289</v>
      </c>
      <c r="L4" s="1388"/>
      <c r="M4" s="1133" t="s">
        <v>288</v>
      </c>
      <c r="N4" s="1133" t="s">
        <v>287</v>
      </c>
    </row>
    <row r="5" spans="2:14">
      <c r="C5" s="1134"/>
      <c r="D5" s="1134"/>
      <c r="E5" s="1134"/>
      <c r="F5" s="1134"/>
      <c r="G5" s="1134"/>
      <c r="H5" s="1134"/>
      <c r="I5" s="1135" t="s">
        <v>284</v>
      </c>
      <c r="J5" s="1135" t="s">
        <v>283</v>
      </c>
      <c r="K5" s="1135" t="s">
        <v>284</v>
      </c>
      <c r="L5" s="1135" t="s">
        <v>283</v>
      </c>
      <c r="M5" s="1135"/>
      <c r="N5" s="1135"/>
    </row>
    <row r="6" spans="2:14">
      <c r="B6" t="str">
        <f>IF(IF(OR(LEFT(C6,27)=SUP_Biofuels!$N$8,LEFT(C6,20)=SUP_Biofuels!$O$8,LEFT(C6,20)=SUP_Biofuels!$P$8),LEFT(C6,20),C6)="Specific investment ","Specific investment (M€ /MW",IF(OR(LEFT(C6,27)=SUP_Biofuels!$N$8,LEFT(C6,20)=SUP_Biofuels!$O$8,LEFT(C6,20)=SUP_Biofuels!$P$8),LEFT(C6,20),C6))</f>
        <v>Energy/technical data</v>
      </c>
      <c r="C6" s="1136" t="s">
        <v>282</v>
      </c>
      <c r="D6" s="1137"/>
      <c r="E6" s="1137"/>
      <c r="F6" s="1137"/>
      <c r="G6" s="1137"/>
      <c r="H6" s="1137"/>
      <c r="I6" s="1137"/>
      <c r="J6" s="1137"/>
      <c r="K6" s="1137"/>
      <c r="L6" s="1137"/>
      <c r="M6" s="1138"/>
      <c r="N6" s="1139"/>
    </row>
    <row r="7" spans="2:14">
      <c r="B7" t="str">
        <f>IF(IF(OR(LEFT(C7,27)=SUP_Biofuels!$N$8,LEFT(C7,20)=SUP_Biofuels!$O$8,LEFT(C7,20)=SUP_Biofuels!$P$8),LEFT(C7,20),C7)="Specific investment ","Specific investment (M€ /MW",IF(OR(LEFT(C7,27)=SUP_Biofuels!$N$8,LEFT(C7,20)=SUP_Biofuels!$O$8,LEFT(C7,20)=SUP_Biofuels!$P$8),LEFT(C7,20),C7))</f>
        <v>Typical total plant size 1,000 t FT Liquids/year</v>
      </c>
      <c r="C7" s="1140" t="s">
        <v>1357</v>
      </c>
      <c r="D7" s="1140">
        <v>50</v>
      </c>
      <c r="E7" s="1140">
        <v>50</v>
      </c>
      <c r="F7" s="1140">
        <v>100</v>
      </c>
      <c r="G7" s="1140">
        <v>125</v>
      </c>
      <c r="H7" s="1140">
        <v>150</v>
      </c>
      <c r="I7" s="1141">
        <v>1</v>
      </c>
      <c r="J7" s="1141">
        <v>1.5</v>
      </c>
      <c r="K7" s="1141">
        <v>0.5</v>
      </c>
      <c r="L7" s="1141">
        <v>1.5</v>
      </c>
      <c r="M7" s="1142" t="s">
        <v>280</v>
      </c>
      <c r="N7" s="1142" t="s">
        <v>1150</v>
      </c>
    </row>
    <row r="8" spans="2:14">
      <c r="B8" t="str">
        <f>IF(IF(OR(LEFT(C8,27)=SUP_Biofuels!$N$8,LEFT(C8,20)=SUP_Biofuels!$O$8,LEFT(C8,20)=SUP_Biofuels!$P$8),LEFT(C8,20),C8)="Specific investment ","Specific investment (M€ /MW",IF(OR(LEFT(C8,27)=SUP_Biofuels!$N$8,LEFT(C8,20)=SUP_Biofuels!$O$8,LEFT(C8,20)=SUP_Biofuels!$P$8),LEFT(C8,20),C8))</f>
        <v>Typical total plant size, MW</v>
      </c>
      <c r="C8" s="1134" t="s">
        <v>278</v>
      </c>
      <c r="D8" s="1134">
        <v>75</v>
      </c>
      <c r="E8" s="1134">
        <v>75</v>
      </c>
      <c r="F8" s="1134">
        <v>150</v>
      </c>
      <c r="G8" s="1134">
        <v>190</v>
      </c>
      <c r="H8" s="1134">
        <v>225</v>
      </c>
      <c r="I8" s="1143">
        <v>1</v>
      </c>
      <c r="J8" s="1143">
        <v>1.5</v>
      </c>
      <c r="K8" s="1143">
        <v>0.5</v>
      </c>
      <c r="L8" s="1143">
        <v>1.5</v>
      </c>
      <c r="M8" s="1135" t="s">
        <v>277</v>
      </c>
      <c r="N8" s="1135" t="s">
        <v>1150</v>
      </c>
    </row>
    <row r="9" spans="2:14">
      <c r="B9" t="str">
        <f>IF(IF(OR(LEFT(C9,27)=SUP_Biofuels!$N$8,LEFT(C9,20)=SUP_Biofuels!$O$8,LEFT(C9,20)=SUP_Biofuels!$P$8),LEFT(C9,20),C9)="Specific investment ","Specific investment (M€ /MW",IF(OR(LEFT(C9,27)=SUP_Biofuels!$N$8,LEFT(C9,20)=SUP_Biofuels!$O$8,LEFT(C9,20)=SUP_Biofuels!$P$8),LEFT(C9,20),C9))</f>
        <v>Inputs</v>
      </c>
      <c r="C9" s="1136" t="s">
        <v>275</v>
      </c>
      <c r="D9" s="1137"/>
      <c r="E9" s="1137"/>
      <c r="F9" s="1137"/>
      <c r="G9" s="1137"/>
      <c r="H9" s="1137"/>
      <c r="I9" s="1137"/>
      <c r="J9" s="1137"/>
      <c r="K9" s="1137"/>
      <c r="L9" s="1137"/>
      <c r="M9" s="1138"/>
      <c r="N9" s="1139"/>
    </row>
    <row r="10" spans="2:14">
      <c r="B10" t="str">
        <f>IF(IF(OR(LEFT(C10,27)=SUP_Biofuels!$N$8,LEFT(C10,20)=SUP_Biofuels!$O$8,LEFT(C10,20)=SUP_Biofuels!$P$8),LEFT(C10,20),C10)="Specific investment ","Specific investment (M€ /MW",IF(OR(LEFT(C10,27)=SUP_Biofuels!$N$8,LEFT(C10,20)=SUP_Biofuels!$O$8,LEFT(C10,20)=SUP_Biofuels!$P$8),LEFT(C10,20),C10))</f>
        <v>Feedstock Consumption, MWh/MWh Total Input</v>
      </c>
      <c r="C10" s="1144" t="s">
        <v>112</v>
      </c>
      <c r="D10" s="1145">
        <v>1</v>
      </c>
      <c r="E10" s="1145">
        <v>1</v>
      </c>
      <c r="F10" s="1145">
        <v>1</v>
      </c>
      <c r="G10" s="1145">
        <v>1</v>
      </c>
      <c r="H10" s="1145">
        <v>1</v>
      </c>
      <c r="I10" s="1146">
        <v>0.8</v>
      </c>
      <c r="J10" s="1146">
        <v>1</v>
      </c>
      <c r="K10" s="1146">
        <v>0.8</v>
      </c>
      <c r="L10" s="1146">
        <v>1</v>
      </c>
      <c r="M10" s="1147" t="s">
        <v>272</v>
      </c>
      <c r="N10" s="1147">
        <v>1</v>
      </c>
    </row>
    <row r="11" spans="2:14">
      <c r="B11" t="str">
        <f>IF(IF(OR(LEFT(C11,27)=SUP_Biofuels!$N$8,LEFT(C11,20)=SUP_Biofuels!$O$8,LEFT(C11,20)=SUP_Biofuels!$P$8),LEFT(C11,20),C11)="Specific investment ","Specific investment (M€ /MW",IF(OR(LEFT(C11,27)=SUP_Biofuels!$N$8,LEFT(C11,20)=SUP_Biofuels!$O$8,LEFT(C11,20)=SUP_Biofuels!$P$8),LEFT(C11,20),C11))</f>
        <v>Outputs</v>
      </c>
      <c r="C11" s="1136" t="s">
        <v>271</v>
      </c>
      <c r="D11" s="1137"/>
      <c r="E11" s="1137"/>
      <c r="F11" s="1137"/>
      <c r="G11" s="1137"/>
      <c r="H11" s="1137"/>
      <c r="I11" s="1148"/>
      <c r="J11" s="1148"/>
      <c r="K11" s="1148"/>
      <c r="L11" s="1148"/>
      <c r="M11" s="1138"/>
      <c r="N11" s="1139"/>
    </row>
    <row r="12" spans="2:14">
      <c r="B12" t="str">
        <f>IF(IF(OR(LEFT(C12,27)=SUP_Biofuels!$N$8,LEFT(C12,20)=SUP_Biofuels!$O$8,LEFT(C12,20)=SUP_Biofuels!$P$8),LEFT(C12,20),C12)="Specific investment ","Specific investment (M€ /MW",IF(OR(LEFT(C12,27)=SUP_Biofuels!$N$8,LEFT(C12,20)=SUP_Biofuels!$O$8,LEFT(C12,20)=SUP_Biofuels!$P$8),LEFT(C12,20),C12))</f>
        <v>Naphta Output, MWh/MWh Total Input</v>
      </c>
      <c r="C12" s="1140" t="s">
        <v>106</v>
      </c>
      <c r="D12" s="1149">
        <v>0.1376</v>
      </c>
      <c r="E12" s="1149">
        <v>0.1376</v>
      </c>
      <c r="F12" s="1149">
        <f>E12*0.4/0.38</f>
        <v>0.14484210526315791</v>
      </c>
      <c r="G12" s="1149">
        <f>(F12+H12)/2</f>
        <v>0.15389473684210528</v>
      </c>
      <c r="H12" s="1149">
        <f>E12*0.45/0.38</f>
        <v>0.16294736842105265</v>
      </c>
      <c r="I12" s="1150">
        <v>0.8</v>
      </c>
      <c r="J12" s="1150">
        <v>1.1000000000000001</v>
      </c>
      <c r="K12" s="1150">
        <v>0.8</v>
      </c>
      <c r="L12" s="1150">
        <v>1.1000000000000001</v>
      </c>
      <c r="M12" s="1142" t="s">
        <v>269</v>
      </c>
      <c r="N12" s="1142">
        <v>1</v>
      </c>
    </row>
    <row r="13" spans="2:14">
      <c r="B13" t="str">
        <f>IF(IF(OR(LEFT(C13,27)=SUP_Biofuels!$N$8,LEFT(C13,20)=SUP_Biofuels!$O$8,LEFT(C13,20)=SUP_Biofuels!$P$8),LEFT(C13,20),C13)="Specific investment ","Specific investment (M€ /MW",IF(OR(LEFT(C13,27)=SUP_Biofuels!$N$8,LEFT(C13,20)=SUP_Biofuels!$O$8,LEFT(C13,20)=SUP_Biofuels!$P$8),LEFT(C13,20),C13))</f>
        <v>Jet Fuel Output, MWh/MWh Total Input</v>
      </c>
      <c r="C13" s="1132" t="s">
        <v>1502</v>
      </c>
      <c r="D13" s="1151">
        <v>1.47E-2</v>
      </c>
      <c r="E13" s="1151">
        <v>1.47E-2</v>
      </c>
      <c r="F13" s="1151">
        <f t="shared" ref="F13:F14" si="0">E13*0.4/0.38</f>
        <v>1.5473684210526315E-2</v>
      </c>
      <c r="G13" s="1151">
        <f t="shared" ref="G13:G15" si="1">(F13+H13)/2</f>
        <v>1.6440789473684211E-2</v>
      </c>
      <c r="H13" s="1151">
        <f t="shared" ref="H13:H14" si="2">E13*0.45/0.38</f>
        <v>1.7407894736842105E-2</v>
      </c>
      <c r="I13" s="1152">
        <v>0.8</v>
      </c>
      <c r="J13" s="1152">
        <v>1.1000000000000001</v>
      </c>
      <c r="K13" s="1152">
        <v>0.8</v>
      </c>
      <c r="L13" s="1152">
        <v>1.1000000000000001</v>
      </c>
      <c r="M13" s="1133" t="s">
        <v>269</v>
      </c>
      <c r="N13" s="1133">
        <v>1</v>
      </c>
    </row>
    <row r="14" spans="2:14">
      <c r="B14" t="str">
        <f>IF(IF(OR(LEFT(C14,27)=SUP_Biofuels!$N$8,LEFT(C14,20)=SUP_Biofuels!$O$8,LEFT(C14,20)=SUP_Biofuels!$P$8),LEFT(C14,20),C14)="Specific investment ","Specific investment (M€ /MW",IF(OR(LEFT(C14,27)=SUP_Biofuels!$N$8,LEFT(C14,20)=SUP_Biofuels!$O$8,LEFT(C14,20)=SUP_Biofuels!$P$8),LEFT(C14,20),C14))</f>
        <v>Diesel Output,  MWh/MWh Total Input</v>
      </c>
      <c r="C14" s="1132" t="s">
        <v>1503</v>
      </c>
      <c r="D14" s="1151">
        <v>9.98E-2</v>
      </c>
      <c r="E14" s="1151">
        <v>9.98E-2</v>
      </c>
      <c r="F14" s="1151">
        <f t="shared" si="0"/>
        <v>0.10505263157894738</v>
      </c>
      <c r="G14" s="1151">
        <f t="shared" si="1"/>
        <v>0.11161842105263159</v>
      </c>
      <c r="H14" s="1151">
        <f t="shared" si="2"/>
        <v>0.11818421052631578</v>
      </c>
      <c r="I14" s="1152">
        <v>0.8</v>
      </c>
      <c r="J14" s="1152">
        <v>1.1000000000000001</v>
      </c>
      <c r="K14" s="1152">
        <v>0.8</v>
      </c>
      <c r="L14" s="1152">
        <v>1.1000000000000001</v>
      </c>
      <c r="M14" s="1133" t="s">
        <v>269</v>
      </c>
      <c r="N14" s="1133">
        <v>1</v>
      </c>
    </row>
    <row r="15" spans="2:14">
      <c r="B15" t="str">
        <f>IF(IF(OR(LEFT(C15,27)=SUP_Biofuels!$N$8,LEFT(C15,20)=SUP_Biofuels!$O$8,LEFT(C15,20)=SUP_Biofuels!$P$8),LEFT(C15,20),C15)="Specific investment ","Specific investment (M€ /MW",IF(OR(LEFT(C15,27)=SUP_Biofuels!$N$8,LEFT(C15,20)=SUP_Biofuels!$O$8,LEFT(C15,20)=SUP_Biofuels!$P$8),LEFT(C15,20),C15))</f>
        <v>Electricity Output, MWh/MWh Total Input</v>
      </c>
      <c r="C15" s="1134" t="s">
        <v>1199</v>
      </c>
      <c r="D15" s="1153">
        <v>1.17E-2</v>
      </c>
      <c r="E15" s="1153">
        <v>1.17E-2</v>
      </c>
      <c r="F15" s="1153">
        <v>1.6E-2</v>
      </c>
      <c r="G15" s="1153">
        <f t="shared" si="1"/>
        <v>1.8000000000000002E-2</v>
      </c>
      <c r="H15" s="1153">
        <v>0.02</v>
      </c>
      <c r="I15" s="1154">
        <v>0.8</v>
      </c>
      <c r="J15" s="1154">
        <v>1.1000000000000001</v>
      </c>
      <c r="K15" s="1154">
        <v>0.8</v>
      </c>
      <c r="L15" s="1154">
        <v>1.1000000000000001</v>
      </c>
      <c r="M15" s="1135" t="s">
        <v>269</v>
      </c>
      <c r="N15" s="1135">
        <v>1</v>
      </c>
    </row>
    <row r="16" spans="2:14">
      <c r="B16">
        <f>IF(IF(OR(LEFT(C16,27)=SUP_Biofuels!$N$8,LEFT(C16,20)=SUP_Biofuels!$O$8,LEFT(C16,20)=SUP_Biofuels!$P$8),LEFT(C16,20),C16)="Specific investment ","Specific investment (M€ /MW",IF(OR(LEFT(C16,27)=SUP_Biofuels!$N$8,LEFT(C16,20)=SUP_Biofuels!$O$8,LEFT(C16,20)=SUP_Biofuels!$P$8),LEFT(C16,20),C16))</f>
        <v>0</v>
      </c>
      <c r="C16" s="1155"/>
      <c r="D16" s="1137"/>
      <c r="E16" s="1137"/>
      <c r="F16" s="1137"/>
      <c r="G16" s="1137"/>
      <c r="H16" s="1137"/>
      <c r="I16" s="1137"/>
      <c r="J16" s="1137"/>
      <c r="K16" s="1137"/>
      <c r="L16" s="1137"/>
      <c r="M16" s="1137"/>
      <c r="N16" s="1156"/>
    </row>
    <row r="17" spans="2:14">
      <c r="B17" t="str">
        <f>IF(IF(OR(LEFT(C17,27)=SUP_Biofuels!$N$8,LEFT(C17,20)=SUP_Biofuels!$O$8,LEFT(C17,20)=SUP_Biofuels!$P$8),LEFT(C17,20),C17)="Specific investment ","Specific investment (M€ /MW",IF(OR(LEFT(C17,27)=SUP_Biofuels!$N$8,LEFT(C17,20)=SUP_Biofuels!$O$8,LEFT(C17,20)=SUP_Biofuels!$P$8),LEFT(C17,20),C17))</f>
        <v>Forced outage (%)</v>
      </c>
      <c r="C17" s="1140" t="s">
        <v>59</v>
      </c>
      <c r="D17" s="1140">
        <v>4</v>
      </c>
      <c r="E17" s="1140">
        <v>4</v>
      </c>
      <c r="F17" s="1140">
        <v>0</v>
      </c>
      <c r="G17" s="1140">
        <v>0</v>
      </c>
      <c r="H17" s="1140">
        <v>0</v>
      </c>
      <c r="I17" s="1150"/>
      <c r="J17" s="1150"/>
      <c r="K17" s="1150"/>
      <c r="L17" s="1150"/>
      <c r="M17" s="1142"/>
      <c r="N17" s="1142"/>
    </row>
    <row r="18" spans="2:14">
      <c r="B18" t="str">
        <f>IF(IF(OR(LEFT(C18,27)=SUP_Biofuels!$N$8,LEFT(C18,20)=SUP_Biofuels!$O$8,LEFT(C18,20)=SUP_Biofuels!$P$8),LEFT(C18,20),C18)="Specific investment ","Specific investment (M€ /MW",IF(OR(LEFT(C18,27)=SUP_Biofuels!$N$8,LEFT(C18,20)=SUP_Biofuels!$O$8,LEFT(C18,20)=SUP_Biofuels!$P$8),LEFT(C18,20),C18))</f>
        <v>Planned outage (weeks per year)</v>
      </c>
      <c r="C18" s="1132" t="s">
        <v>92</v>
      </c>
      <c r="D18" s="1132">
        <v>2</v>
      </c>
      <c r="E18" s="1132">
        <v>2</v>
      </c>
      <c r="F18" s="1132">
        <v>2</v>
      </c>
      <c r="G18" s="1132">
        <v>2</v>
      </c>
      <c r="H18" s="1132">
        <v>2</v>
      </c>
      <c r="I18" s="1152"/>
      <c r="J18" s="1152"/>
      <c r="K18" s="1152"/>
      <c r="L18" s="1152"/>
      <c r="M18" s="1133"/>
      <c r="N18" s="1133"/>
    </row>
    <row r="19" spans="2:14">
      <c r="B19" t="str">
        <f>IF(IF(OR(LEFT(C19,27)=SUP_Biofuels!$N$8,LEFT(C19,20)=SUP_Biofuels!$O$8,LEFT(C19,20)=SUP_Biofuels!$P$8),LEFT(C19,20),C19)="Specific investment ","Specific investment (M€ /MW",IF(OR(LEFT(C19,27)=SUP_Biofuels!$N$8,LEFT(C19,20)=SUP_Biofuels!$O$8,LEFT(C19,20)=SUP_Biofuels!$P$8),LEFT(C19,20),C19))</f>
        <v>Technical lifetime (years)</v>
      </c>
      <c r="C19" s="1132" t="s">
        <v>58</v>
      </c>
      <c r="D19" s="1157">
        <v>20</v>
      </c>
      <c r="E19" s="1132">
        <v>25</v>
      </c>
      <c r="F19" s="1132">
        <v>25</v>
      </c>
      <c r="G19" s="1132">
        <v>25</v>
      </c>
      <c r="H19" s="1132">
        <v>25</v>
      </c>
      <c r="I19" s="1132"/>
      <c r="J19" s="1132"/>
      <c r="K19" s="1132"/>
      <c r="L19" s="1132"/>
      <c r="M19" s="1133"/>
      <c r="N19" s="1133"/>
    </row>
    <row r="20" spans="2:14">
      <c r="B20" t="str">
        <f>IF(IF(OR(LEFT(C20,27)=SUP_Biofuels!$N$8,LEFT(C20,20)=SUP_Biofuels!$O$8,LEFT(C20,20)=SUP_Biofuels!$P$8),LEFT(C20,20),C20)="Specific investment ","Specific investment (M€ /MW",IF(OR(LEFT(C20,27)=SUP_Biofuels!$N$8,LEFT(C20,20)=SUP_Biofuels!$O$8,LEFT(C20,20)=SUP_Biofuels!$P$8),LEFT(C20,20),C20))</f>
        <v>Construction time (years)</v>
      </c>
      <c r="C20" s="1134" t="s">
        <v>60</v>
      </c>
      <c r="D20" s="1134">
        <v>2</v>
      </c>
      <c r="E20" s="1134">
        <v>2</v>
      </c>
      <c r="F20" s="1134">
        <v>2</v>
      </c>
      <c r="G20" s="1134">
        <v>2</v>
      </c>
      <c r="H20" s="1134">
        <v>2</v>
      </c>
      <c r="I20" s="1134"/>
      <c r="J20" s="1134"/>
      <c r="K20" s="1134"/>
      <c r="L20" s="1134"/>
      <c r="M20" s="1135"/>
      <c r="N20" s="1135"/>
    </row>
    <row r="21" spans="2:14">
      <c r="B21" t="str">
        <f>IF(IF(OR(LEFT(C21,27)=SUP_Biofuels!$N$8,LEFT(C21,20)=SUP_Biofuels!$O$8,LEFT(C21,20)=SUP_Biofuels!$P$8),LEFT(C21,20),C21)="Specific investment ","Specific investment (M€ /MW",IF(OR(LEFT(C21,27)=SUP_Biofuels!$N$8,LEFT(C21,20)=SUP_Biofuels!$O$8,LEFT(C21,20)=SUP_Biofuels!$P$8),LEFT(C21,20),C21))</f>
        <v xml:space="preserve">Financial data                                 </v>
      </c>
      <c r="C21" s="1136" t="s">
        <v>264</v>
      </c>
      <c r="D21" s="1137"/>
      <c r="E21" s="1137"/>
      <c r="F21" s="1137"/>
      <c r="G21" s="1137"/>
      <c r="H21" s="1137"/>
      <c r="I21" s="1137"/>
      <c r="J21" s="1137"/>
      <c r="K21" s="1137"/>
      <c r="L21" s="1137"/>
      <c r="M21" s="1138"/>
      <c r="N21" s="1139"/>
    </row>
    <row r="22" spans="2:14">
      <c r="B22" t="str">
        <f>IF(IF(OR(LEFT(C22,27)=SUP_Biofuels!$N$8,LEFT(C22,20)=SUP_Biofuels!$O$8,LEFT(C22,20)=SUP_Biofuels!$P$8),LEFT(C22,20),C22)="Specific investment ","Specific investment (M€ /MW",IF(OR(LEFT(C22,27)=SUP_Biofuels!$N$8,LEFT(C22,20)=SUP_Biofuels!$O$8,LEFT(C22,20)=SUP_Biofuels!$P$8),LEFT(C22,20),C22))</f>
        <v>Specific investment (M€ /MW</v>
      </c>
      <c r="C22" s="1140" t="s">
        <v>1331</v>
      </c>
      <c r="D22" s="1158">
        <v>4.329004329004329</v>
      </c>
      <c r="E22" s="1158">
        <v>4.329004329004329</v>
      </c>
      <c r="F22" s="1158">
        <v>3.8961038961038956</v>
      </c>
      <c r="G22" s="1158">
        <v>3.6184210526315788</v>
      </c>
      <c r="H22" s="1158">
        <v>3.4632034632034632</v>
      </c>
      <c r="I22" s="1141">
        <v>0.75</v>
      </c>
      <c r="J22" s="1141">
        <v>1.2</v>
      </c>
      <c r="K22" s="1141">
        <v>0.75</v>
      </c>
      <c r="L22" s="1141">
        <v>1.2</v>
      </c>
      <c r="M22" s="1142" t="s">
        <v>1504</v>
      </c>
      <c r="N22" s="1142" t="s">
        <v>1505</v>
      </c>
    </row>
    <row r="23" spans="2:14">
      <c r="B23" t="str">
        <f>IF(IF(OR(LEFT(C23,27)=SUP_Biofuels!$N$8,LEFT(C23,20)=SUP_Biofuels!$O$8,LEFT(C23,20)=SUP_Biofuels!$P$8),LEFT(C23,20),C23)="Specific investment ","Specific investment (M€ /MW",IF(OR(LEFT(C23,27)=SUP_Biofuels!$N$8,LEFT(C23,20)=SUP_Biofuels!$O$8,LEFT(C23,20)=SUP_Biofuels!$P$8),LEFT(C23,20),C23))</f>
        <v xml:space="preserve"> - equipment (%)</v>
      </c>
      <c r="C23" s="1132" t="s">
        <v>394</v>
      </c>
      <c r="D23" s="1157">
        <v>75</v>
      </c>
      <c r="E23" s="1157">
        <v>75</v>
      </c>
      <c r="F23" s="1157">
        <v>75</v>
      </c>
      <c r="G23" s="1157">
        <v>75</v>
      </c>
      <c r="H23" s="1157">
        <v>75</v>
      </c>
      <c r="I23" s="1132"/>
      <c r="J23" s="1132"/>
      <c r="K23" s="1132"/>
      <c r="L23" s="1132"/>
      <c r="M23" s="1133"/>
      <c r="N23" s="1133"/>
    </row>
    <row r="24" spans="2:14">
      <c r="B24" t="str">
        <f>IF(IF(OR(LEFT(C24,27)=SUP_Biofuels!$N$8,LEFT(C24,20)=SUP_Biofuels!$O$8,LEFT(C24,20)=SUP_Biofuels!$P$8),LEFT(C24,20),C24)="Specific investment ","Specific investment (M€ /MW",IF(OR(LEFT(C24,27)=SUP_Biofuels!$N$8,LEFT(C24,20)=SUP_Biofuels!$O$8,LEFT(C24,20)=SUP_Biofuels!$P$8),LEFT(C24,20),C24))</f>
        <v xml:space="preserve"> -installation (%)</v>
      </c>
      <c r="C24" s="1132" t="s">
        <v>251</v>
      </c>
      <c r="D24" s="1132">
        <v>25</v>
      </c>
      <c r="E24" s="1132">
        <v>25</v>
      </c>
      <c r="F24" s="1132">
        <v>25</v>
      </c>
      <c r="G24" s="1132">
        <v>25</v>
      </c>
      <c r="H24" s="1132">
        <v>25</v>
      </c>
      <c r="I24" s="1132"/>
      <c r="J24" s="1132"/>
      <c r="K24" s="1132"/>
      <c r="L24" s="1132"/>
      <c r="M24" s="1133"/>
      <c r="N24" s="1133"/>
    </row>
    <row r="25" spans="2:14">
      <c r="B25" t="str">
        <f>LEFT(C25,17)</f>
        <v>Fixed O&amp;M (M€ /MW</v>
      </c>
      <c r="C25" s="1132" t="s">
        <v>1506</v>
      </c>
      <c r="D25" s="1151">
        <v>0.10389610389610389</v>
      </c>
      <c r="E25" s="1151">
        <v>0.10389610389610389</v>
      </c>
      <c r="F25" s="1151">
        <v>0.10389610389610389</v>
      </c>
      <c r="G25" s="1151">
        <v>0.10263157894736842</v>
      </c>
      <c r="H25" s="1151">
        <v>0.10389610389610389</v>
      </c>
      <c r="I25" s="1159">
        <v>0.75</v>
      </c>
      <c r="J25" s="1159">
        <v>1.2</v>
      </c>
      <c r="K25" s="1159">
        <v>0.75</v>
      </c>
      <c r="L25" s="1159">
        <v>1.2</v>
      </c>
      <c r="M25" s="1133" t="s">
        <v>786</v>
      </c>
      <c r="N25" s="1133">
        <v>1</v>
      </c>
    </row>
    <row r="26" spans="2:14">
      <c r="B26" t="str">
        <f>LEFT(C26,19)</f>
        <v>Variable O&amp;M (€ /MW</v>
      </c>
      <c r="C26" s="1132" t="s">
        <v>1507</v>
      </c>
      <c r="D26" s="1151">
        <v>1.0625737898465171</v>
      </c>
      <c r="E26" s="1151">
        <v>1.0625737898465171</v>
      </c>
      <c r="F26" s="1151">
        <v>1.0625737898465171</v>
      </c>
      <c r="G26" s="1151">
        <v>1.0636363636363637</v>
      </c>
      <c r="H26" s="1151">
        <v>1.0625737898465171</v>
      </c>
      <c r="I26" s="1159">
        <v>0.75</v>
      </c>
      <c r="J26" s="1159">
        <v>1.2</v>
      </c>
      <c r="K26" s="1159">
        <v>0.75</v>
      </c>
      <c r="L26" s="1159">
        <v>1.2</v>
      </c>
      <c r="M26" s="1133" t="s">
        <v>786</v>
      </c>
      <c r="N26" s="1133">
        <v>1</v>
      </c>
    </row>
    <row r="27" spans="2:14">
      <c r="B27" t="str">
        <f>IF(IF(OR(LEFT(C27,27)=SUP_Biofuels!$N$8,LEFT(C27,20)=SUP_Biofuels!$O$8,LEFT(C27,20)=SUP_Biofuels!$P$8),LEFT(C27,20),C27)="Specific investment ","Specific investment (M€ /MW",IF(OR(LEFT(C27,27)=SUP_Biofuels!$N$8,LEFT(C27,20)=SUP_Biofuels!$O$8,LEFT(C27,20)=SUP_Biofuels!$P$8),LEFT(C27,20),C27))</f>
        <v>Start up (M€ /1,000 t FT Liquids/year)</v>
      </c>
      <c r="C27" s="1134" t="s">
        <v>1508</v>
      </c>
      <c r="D27" s="1160">
        <v>0</v>
      </c>
      <c r="E27" s="1134">
        <v>0</v>
      </c>
      <c r="F27" s="1134">
        <v>0</v>
      </c>
      <c r="G27" s="1134">
        <v>0</v>
      </c>
      <c r="H27" s="1134">
        <v>0</v>
      </c>
      <c r="I27" s="1134"/>
      <c r="J27" s="1134"/>
      <c r="K27" s="1134"/>
      <c r="L27" s="1134"/>
      <c r="M27" s="1135" t="s">
        <v>255</v>
      </c>
      <c r="N27" s="1135"/>
    </row>
    <row r="28" spans="2:14">
      <c r="B28" t="str">
        <f>IF(IF(OR(LEFT(C28,27)=SUP_Biofuels!$N$8,LEFT(C28,20)=SUP_Biofuels!$O$8,LEFT(C28,20)=SUP_Biofuels!$P$8),LEFT(C28,20),C28)="Specific investment ","Specific investment (M€ /MW",IF(OR(LEFT(C28,27)=SUP_Biofuels!$N$8,LEFT(C28,20)=SUP_Biofuels!$O$8,LEFT(C28,20)=SUP_Biofuels!$P$8),LEFT(C28,20),C28))</f>
        <v xml:space="preserve">Technology specific data                                 </v>
      </c>
      <c r="C28" s="1136" t="s">
        <v>260</v>
      </c>
      <c r="D28" s="1137"/>
      <c r="E28" s="1137"/>
      <c r="F28" s="1137"/>
      <c r="G28" s="1137"/>
      <c r="H28" s="1137"/>
      <c r="I28" s="1148"/>
      <c r="J28" s="1148"/>
      <c r="K28" s="1148"/>
      <c r="L28" s="1148"/>
      <c r="M28" s="1138"/>
      <c r="N28" s="1139"/>
    </row>
    <row r="29" spans="2:14">
      <c r="B29" t="str">
        <f>IF(IF(OR(LEFT(C29,27)=SUP_Biofuels!$N$8,LEFT(C29,20)=SUP_Biofuels!$O$8,LEFT(C29,20)=SUP_Biofuels!$P$8),LEFT(C29,20),C29)="Specific investment ","Specific investment (M€ /MW",IF(OR(LEFT(C29,27)=SUP_Biofuels!$N$8,LEFT(C29,20)=SUP_Biofuels!$O$8,LEFT(C29,20)=SUP_Biofuels!$P$8),LEFT(C29,20),C29))</f>
        <v>Specific energy content (GJ/ton) FT Diesel)</v>
      </c>
      <c r="C29" s="1140" t="s">
        <v>1509</v>
      </c>
      <c r="D29" s="1140">
        <v>44</v>
      </c>
      <c r="E29" s="1140">
        <v>44</v>
      </c>
      <c r="F29" s="1140">
        <v>44</v>
      </c>
      <c r="G29" s="1140">
        <v>44</v>
      </c>
      <c r="H29" s="1140">
        <v>44</v>
      </c>
      <c r="I29" s="1150"/>
      <c r="J29" s="1150"/>
      <c r="K29" s="1150"/>
      <c r="L29" s="1150"/>
      <c r="M29" s="1142"/>
      <c r="N29" s="1142"/>
    </row>
    <row r="30" spans="2:14">
      <c r="B30" t="str">
        <f>IF(IF(OR(LEFT(C30,27)=SUP_Biofuels!$N$8,LEFT(C30,20)=SUP_Biofuels!$O$8,LEFT(C30,20)=SUP_Biofuels!$P$8),LEFT(C30,20),C30)="Specific investment ","Specific investment (M€ /MW",IF(OR(LEFT(C30,27)=SUP_Biofuels!$N$8,LEFT(C30,20)=SUP_Biofuels!$O$8,LEFT(C30,20)=SUP_Biofuels!$P$8),LEFT(C30,20),C30))</f>
        <v>Specific density  (kg/l) or (ton/m3)</v>
      </c>
      <c r="C30" s="1132" t="s">
        <v>257</v>
      </c>
      <c r="D30" s="1132">
        <v>0.77</v>
      </c>
      <c r="E30" s="1132">
        <v>0.77</v>
      </c>
      <c r="F30" s="1132">
        <v>0.77</v>
      </c>
      <c r="G30" s="1132">
        <v>0.77</v>
      </c>
      <c r="H30" s="1132">
        <v>0.77</v>
      </c>
      <c r="I30" s="1152"/>
      <c r="J30" s="1152"/>
      <c r="K30" s="1152"/>
      <c r="L30" s="1152"/>
      <c r="M30" s="1133"/>
      <c r="N30" s="1133"/>
    </row>
    <row r="31" spans="2:14">
      <c r="B31" t="str">
        <f>IF(IF(OR(LEFT(C31,27)=SUP_Biofuels!$N$8,LEFT(C31,20)=SUP_Biofuels!$O$8,LEFT(C31,20)=SUP_Biofuels!$P$8),LEFT(C31,20),C31)="Specific investment ","Specific investment (M€ /MW",IF(OR(LEFT(C31,27)=SUP_Biofuels!$N$8,LEFT(C31,20)=SUP_Biofuels!$O$8,LEFT(C31,20)=SUP_Biofuels!$P$8),LEFT(C31,20),C31))</f>
        <v>Specific investment (M€ /1,000 t FT Liquids/year)</v>
      </c>
      <c r="C31" s="1132" t="s">
        <v>1510</v>
      </c>
      <c r="D31" s="1161">
        <v>6.4935064935064934</v>
      </c>
      <c r="E31" s="1161">
        <v>6.4935064935064934</v>
      </c>
      <c r="F31" s="1161">
        <v>5.8441558441558437</v>
      </c>
      <c r="G31" s="1161">
        <v>5.5</v>
      </c>
      <c r="H31" s="1161">
        <v>5.1948051948051948</v>
      </c>
      <c r="I31" s="1159">
        <v>0.75</v>
      </c>
      <c r="J31" s="1159">
        <v>1.2</v>
      </c>
      <c r="K31" s="1159">
        <v>0.75</v>
      </c>
      <c r="L31" s="1159">
        <v>1.2</v>
      </c>
      <c r="M31" s="1133" t="s">
        <v>1504</v>
      </c>
      <c r="N31" s="1133" t="s">
        <v>1505</v>
      </c>
    </row>
    <row r="32" spans="2:14">
      <c r="B32" t="str">
        <f>IF(IF(OR(LEFT(C32,27)=SUP_Biofuels!$N$8,LEFT(C32,20)=SUP_Biofuels!$O$8,LEFT(C32,20)=SUP_Biofuels!$P$8),LEFT(C32,20),C32)="Specific investment ","Specific investment (M€ /MW",IF(OR(LEFT(C32,27)=SUP_Biofuels!$N$8,LEFT(C32,20)=SUP_Biofuels!$O$8,LEFT(C32,20)=SUP_Biofuels!$P$8),LEFT(C32,20),C32))</f>
        <v xml:space="preserve"> - equipment (%)</v>
      </c>
      <c r="C32" s="1132" t="s">
        <v>394</v>
      </c>
      <c r="D32" s="1157">
        <v>75</v>
      </c>
      <c r="E32" s="1157">
        <v>75</v>
      </c>
      <c r="F32" s="1157">
        <v>75</v>
      </c>
      <c r="G32" s="1157">
        <v>75</v>
      </c>
      <c r="H32" s="1157">
        <v>75</v>
      </c>
      <c r="I32" s="1132"/>
      <c r="J32" s="1132"/>
      <c r="K32" s="1132"/>
      <c r="L32" s="1132"/>
      <c r="M32" s="1133"/>
      <c r="N32" s="1133"/>
    </row>
    <row r="33" spans="2:14">
      <c r="B33" t="str">
        <f>IF(IF(OR(LEFT(C33,27)=SUP_Biofuels!$N$8,LEFT(C33,20)=SUP_Biofuels!$O$8,LEFT(C33,20)=SUP_Biofuels!$P$8),LEFT(C33,20),C33)="Specific investment ","Specific investment (M€ /MW",IF(OR(LEFT(C33,27)=SUP_Biofuels!$N$8,LEFT(C33,20)=SUP_Biofuels!$O$8,LEFT(C33,20)=SUP_Biofuels!$P$8),LEFT(C33,20),C33))</f>
        <v xml:space="preserve"> -installation (%)</v>
      </c>
      <c r="C33" s="1132" t="s">
        <v>251</v>
      </c>
      <c r="D33" s="1132">
        <v>25</v>
      </c>
      <c r="E33" s="1132">
        <v>25</v>
      </c>
      <c r="F33" s="1132">
        <v>25</v>
      </c>
      <c r="G33" s="1132">
        <v>25</v>
      </c>
      <c r="H33" s="1132">
        <v>25</v>
      </c>
      <c r="I33" s="1132"/>
      <c r="J33" s="1132"/>
      <c r="K33" s="1132"/>
      <c r="L33" s="1132"/>
      <c r="M33" s="1133"/>
      <c r="N33" s="1133"/>
    </row>
    <row r="34" spans="2:14">
      <c r="B34" t="str">
        <f>IF(IF(OR(LEFT(C34,27)=SUP_Biofuels!$N$8,LEFT(C34,20)=SUP_Biofuels!$O$8,LEFT(C34,20)=SUP_Biofuels!$P$8),LEFT(C34,20),C34)="Specific investment ","Specific investment (M€ /MW",IF(OR(LEFT(C34,27)=SUP_Biofuels!$N$8,LEFT(C34,20)=SUP_Biofuels!$O$8,LEFT(C34,20)=SUP_Biofuels!$P$8),LEFT(C34,20),C34))</f>
        <v>Fixed O&amp;M (M€ /1,000 t FT Liquids/year)</v>
      </c>
      <c r="C34" s="1132" t="s">
        <v>1511</v>
      </c>
      <c r="D34" s="1151">
        <v>0.15584415584415584</v>
      </c>
      <c r="E34" s="1151">
        <v>0.15584415584415584</v>
      </c>
      <c r="F34" s="1151">
        <v>0.15584415584415584</v>
      </c>
      <c r="G34" s="1151">
        <v>0.156</v>
      </c>
      <c r="H34" s="1151">
        <v>0.15584415584415584</v>
      </c>
      <c r="I34" s="1159">
        <v>0.75</v>
      </c>
      <c r="J34" s="1159">
        <v>1.2</v>
      </c>
      <c r="K34" s="1159">
        <v>0.75</v>
      </c>
      <c r="L34" s="1159">
        <v>1.2</v>
      </c>
      <c r="M34" s="1133" t="s">
        <v>786</v>
      </c>
      <c r="N34" s="1133">
        <v>1</v>
      </c>
    </row>
    <row r="35" spans="2:14">
      <c r="B35" t="str">
        <f>IF(IF(OR(LEFT(C35,27)=SUP_Biofuels!$N$8,LEFT(C35,20)=SUP_Biofuels!$O$8,LEFT(C35,20)=SUP_Biofuels!$P$8),LEFT(C35,20),C35)="Specific investment ","Specific investment (M€ /MW",IF(OR(LEFT(C35,27)=SUP_Biofuels!$N$8,LEFT(C35,20)=SUP_Biofuels!$O$8,LEFT(C35,20)=SUP_Biofuels!$P$8),LEFT(C35,20),C35))</f>
        <v>Variable O&amp;M (M€ /1,000 t FT Liquids/year)</v>
      </c>
      <c r="C35" s="1132" t="s">
        <v>1512</v>
      </c>
      <c r="D35" s="1151">
        <v>1.2987012987012986E-2</v>
      </c>
      <c r="E35" s="1151">
        <v>1.2987012987012986E-2</v>
      </c>
      <c r="F35" s="1151">
        <v>1.2987012987012986E-2</v>
      </c>
      <c r="G35" s="1151">
        <v>1.2999999999999999E-2</v>
      </c>
      <c r="H35" s="1151">
        <v>1.2987012987012986E-2</v>
      </c>
      <c r="I35" s="1159">
        <v>0.75</v>
      </c>
      <c r="J35" s="1159">
        <v>1.2</v>
      </c>
      <c r="K35" s="1159">
        <v>0.75</v>
      </c>
      <c r="L35" s="1159">
        <v>1.2</v>
      </c>
      <c r="M35" s="1133" t="s">
        <v>786</v>
      </c>
      <c r="N35" s="1133">
        <v>1</v>
      </c>
    </row>
    <row r="36" spans="2:14">
      <c r="C36" s="1132" t="s">
        <v>1508</v>
      </c>
      <c r="D36" s="1157">
        <v>0</v>
      </c>
      <c r="E36" s="1132">
        <v>0</v>
      </c>
      <c r="F36" s="1132">
        <v>0</v>
      </c>
      <c r="G36" s="1132">
        <v>0</v>
      </c>
      <c r="H36" s="1132">
        <v>0</v>
      </c>
      <c r="I36" s="1132"/>
      <c r="J36" s="1132"/>
      <c r="K36" s="1132"/>
      <c r="L36" s="1132"/>
      <c r="M36" s="1133" t="s">
        <v>255</v>
      </c>
      <c r="N36" s="1133"/>
    </row>
    <row r="38" spans="2:14">
      <c r="C38" s="886" t="s">
        <v>695</v>
      </c>
    </row>
    <row r="39" spans="2:14">
      <c r="C39" s="885" t="s">
        <v>1513</v>
      </c>
    </row>
    <row r="40" spans="2:14">
      <c r="C40" s="885" t="s">
        <v>1514</v>
      </c>
    </row>
    <row r="41" spans="2:14">
      <c r="C41" s="885" t="s">
        <v>1191</v>
      </c>
    </row>
    <row r="42" spans="2:14">
      <c r="C42" s="885" t="s">
        <v>1515</v>
      </c>
    </row>
    <row r="43" spans="2:14">
      <c r="C43" s="885" t="s">
        <v>1516</v>
      </c>
    </row>
    <row r="44" spans="2:14">
      <c r="C44" s="885" t="s">
        <v>1517</v>
      </c>
    </row>
    <row r="45" spans="2:14">
      <c r="C45" s="885" t="s">
        <v>1518</v>
      </c>
    </row>
    <row r="46" spans="2:14">
      <c r="C46" s="885" t="s">
        <v>1276</v>
      </c>
    </row>
    <row r="48" spans="2:14">
      <c r="C48" s="886" t="s">
        <v>989</v>
      </c>
    </row>
    <row r="49" spans="3:3">
      <c r="C49" s="885" t="s">
        <v>1519</v>
      </c>
    </row>
    <row r="50" spans="3:3">
      <c r="C50" s="885" t="s">
        <v>1520</v>
      </c>
    </row>
    <row r="51" spans="3:3">
      <c r="C51" s="885" t="s">
        <v>1521</v>
      </c>
    </row>
    <row r="52" spans="3:3">
      <c r="C52" s="885" t="s">
        <v>1522</v>
      </c>
    </row>
    <row r="53" spans="3:3">
      <c r="C53" s="885" t="s">
        <v>1523</v>
      </c>
    </row>
    <row r="54" spans="3:3">
      <c r="C54" s="885" t="s">
        <v>1524</v>
      </c>
    </row>
    <row r="55" spans="3:3">
      <c r="C55" s="885" t="s">
        <v>1525</v>
      </c>
    </row>
    <row r="56" spans="3:3">
      <c r="C56" s="885" t="s">
        <v>1526</v>
      </c>
    </row>
    <row r="57" spans="3:3">
      <c r="C57" s="885" t="s">
        <v>1527</v>
      </c>
    </row>
    <row r="58" spans="3:3">
      <c r="C58" s="885" t="s">
        <v>1528</v>
      </c>
    </row>
    <row r="59" spans="3:3">
      <c r="C59" s="885" t="s">
        <v>1529</v>
      </c>
    </row>
    <row r="60" spans="3:3">
      <c r="C60" s="885" t="s">
        <v>1530</v>
      </c>
    </row>
    <row r="61" spans="3:3">
      <c r="C61" s="885" t="s">
        <v>1531</v>
      </c>
    </row>
    <row r="62" spans="3:3">
      <c r="C62" s="885" t="s">
        <v>1532</v>
      </c>
    </row>
    <row r="63" spans="3:3">
      <c r="C63" s="885" t="s">
        <v>1154</v>
      </c>
    </row>
    <row r="64" spans="3:3">
      <c r="C64" s="885" t="s">
        <v>1153</v>
      </c>
    </row>
    <row r="65" spans="3:3">
      <c r="C65" s="885" t="s">
        <v>1533</v>
      </c>
    </row>
  </sheetData>
  <mergeCells count="3">
    <mergeCell ref="D3:N3"/>
    <mergeCell ref="I4:J4"/>
    <mergeCell ref="K4:L4"/>
  </mergeCells>
  <hyperlinks>
    <hyperlink ref="C49" r:id="rId1" display="https://www.doi.org/10.1002/bbb.1710" xr:uid="{08801333-6C1A-41B8-9774-8E48017B1FB8}"/>
    <hyperlink ref="C50" r:id="rId2" display="http://acee.princeton.edu/wp-content/uploads/2016/10/Kreutz-et-al-PCC-2008-10-7-08.pdf" xr:uid="{73971AD1-0C44-45A0-A175-9384766F9004}"/>
    <hyperlink ref="C51" r:id="rId3" display="https://www.doi.org/10.1021/ef302003f" xr:uid="{6F21305E-26B4-4FCE-9454-A006648ACE6C}"/>
    <hyperlink ref="C52" r:id="rId4" display="https://doi.org/10.1039/C6EE00935B" xr:uid="{4F87B373-CCF2-4535-9D7D-4779CF9D3731}"/>
    <hyperlink ref="C53" r:id="rId5" display="https://doi.org/10.1016/j.jechem.2015.11.005" xr:uid="{DA907BBB-2086-465D-B580-53419ECF924E}"/>
    <hyperlink ref="C54" r:id="rId6" display="http://www.velocys.com/our-biorefineries/" xr:uid="{A45FC0DD-0962-404A-A2F1-4D961728E68C}"/>
    <hyperlink ref="C55" r:id="rId7" display="https://doi.org/10.13031/2013.30383" xr:uid="{9E896D9E-4DA7-4D02-B7C5-94915D345CF3}"/>
    <hyperlink ref="C56" r:id="rId8" display="https://ens.dk/sites/ens.dk/files/Statistik/energy_statistics_2015.pdf" xr:uid="{26239E46-9385-4958-B399-AE0A2669749F}"/>
    <hyperlink ref="C57" r:id="rId9" display="https://www.doi.org/10.3389/fsufs.2017.00002" xr:uid="{B2886E87-6E39-4092-B659-8737554DE113}"/>
    <hyperlink ref="C58" r:id="rId10" display="http://www.velocys.com/establishment-of-a-strategic-alliance-with-tri/" xr:uid="{B489A941-2FC8-4B15-B3AB-3DD55812EA59}"/>
    <hyperlink ref="C59" r:id="rId11" display="https://biorrefineria.blogspot.ca/2017/06/velocys-plans-for-construction-of-commercial-BTL-plant-move-forward.html" xr:uid="{0A16E47E-5679-46F8-8091-A43C1A84604E}"/>
    <hyperlink ref="C60" r:id="rId12" display="http://web.anl.gov/PCS/acsfuel/preprint archive/Files/39_4_WASHINGTON DC_08-94_1146.pdf" xr:uid="{81633EF0-03A0-4BC2-91B7-FBBF72FBA999}"/>
    <hyperlink ref="C61" r:id="rId13" display="http://www.adktroutguide.com/files/1999_Phd_Thesis_-_Kinetics_Selectivity_and_Scaleup_of_FT_Synthesis.pdf" xr:uid="{6CB03045-7B9C-4685-B5E5-D7558BE48CBC}"/>
    <hyperlink ref="C62" r:id="rId14" display="https://www.ien.com/operations/news/20980331/mississippi-lands-biofuel-refinery" xr:uid="{A2EB5800-C5B3-4712-A7EA-042A07C94353}"/>
    <hyperlink ref="C63" r:id="rId15" display="http://www.irena.org/DocumentDownloads/Publications/IRENA_Innovation_Outlook_Advanced_Liquid_Biofuels_2016.pdf" xr:uid="{E677299D-3D2E-4713-AC2C-BFA4F051BC3C}"/>
    <hyperlink ref="C64" r:id="rId16" display="http://platformduurzamebiobrandstoffen.nl/wp-content/uploads/2017/07/2017_SGAB_Cost-of-Biofuels.pdf" xr:uid="{4AE2214A-B3D2-4D58-8F5B-C953C8A91A06}"/>
    <hyperlink ref="C65" r:id="rId17" display="https://www.doi.org/10.1002/bbb.1613" xr:uid="{51091D64-E583-462A-B125-CA78BF958F4E}"/>
    <hyperlink ref="D3" location="INDEX" display="Gasifier, biomass, Fischer Tropsch liquid fuels, large scale" xr:uid="{23489007-9071-4CF8-BDFD-69C2B3CA1EE6}"/>
  </hyperlinks>
  <pageMargins left="0.7" right="0.7" top="0.75" bottom="0.75" header="0.3" footer="0.3"/>
  <pageSetup paperSize="9" scale="36" orientation="portrait" r:id="rId18"/>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BFFCE-0A32-4A98-83A4-5C896326009C}">
  <sheetPr>
    <tabColor theme="4" tint="0.39997558519241921"/>
  </sheetPr>
  <dimension ref="A2:N72"/>
  <sheetViews>
    <sheetView showGridLines="0" topLeftCell="A4"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1" t="s">
        <v>1534</v>
      </c>
      <c r="D3" s="1392"/>
      <c r="E3" s="1392"/>
      <c r="F3" s="1392"/>
      <c r="G3" s="1392"/>
      <c r="H3" s="1392"/>
      <c r="I3" s="1392"/>
      <c r="J3" s="1392"/>
      <c r="K3" s="1392"/>
      <c r="L3" s="1392"/>
    </row>
    <row r="4" spans="1:13">
      <c r="A4" s="1162"/>
      <c r="B4" s="1164"/>
      <c r="C4" s="1165">
        <v>2020</v>
      </c>
      <c r="D4" s="1165">
        <v>2030</v>
      </c>
      <c r="E4" s="1165">
        <v>2040</v>
      </c>
      <c r="F4" s="1165">
        <v>2050</v>
      </c>
      <c r="G4" s="1393" t="s">
        <v>290</v>
      </c>
      <c r="H4" s="1393"/>
      <c r="I4" s="1393" t="s">
        <v>289</v>
      </c>
      <c r="J4" s="1393"/>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v>
      </c>
      <c r="D6" s="1167">
        <v>1</v>
      </c>
      <c r="E6" s="1167">
        <v>1</v>
      </c>
      <c r="F6" s="1167">
        <v>1</v>
      </c>
      <c r="G6" s="1167">
        <v>1</v>
      </c>
      <c r="H6" s="1167">
        <v>1</v>
      </c>
      <c r="I6" s="1167">
        <v>1</v>
      </c>
      <c r="J6" s="1167">
        <v>1</v>
      </c>
      <c r="K6" s="1168"/>
      <c r="L6" s="1166"/>
    </row>
    <row r="7" spans="1:13">
      <c r="A7" s="1162"/>
      <c r="B7" s="1164" t="s">
        <v>1536</v>
      </c>
      <c r="C7" s="1167">
        <f t="shared" ref="C7:J7" si="0">C6*3600*(C15/100)*24/120</f>
        <v>478.8</v>
      </c>
      <c r="D7" s="1167">
        <f t="shared" si="0"/>
        <v>489.6</v>
      </c>
      <c r="E7" s="1167">
        <f t="shared" si="0"/>
        <v>514.79999999999995</v>
      </c>
      <c r="F7" s="1167">
        <f t="shared" si="0"/>
        <v>540</v>
      </c>
      <c r="G7" s="1167">
        <f t="shared" si="0"/>
        <v>453.6</v>
      </c>
      <c r="H7" s="1167">
        <f t="shared" si="0"/>
        <v>504</v>
      </c>
      <c r="I7" s="1167">
        <f t="shared" si="0"/>
        <v>504</v>
      </c>
      <c r="J7" s="1167">
        <f t="shared" si="0"/>
        <v>576</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C21+(C21*8)</f>
        <v>179.56795679567958</v>
      </c>
      <c r="D12" s="1167">
        <f t="shared" ref="D12:J12" si="1">D21+(D21*8)</f>
        <v>183.61836183618362</v>
      </c>
      <c r="E12" s="1167">
        <f t="shared" si="1"/>
        <v>193.06930693069307</v>
      </c>
      <c r="F12" s="1167">
        <f t="shared" si="1"/>
        <v>202.52025202520252</v>
      </c>
      <c r="G12" s="1167">
        <f t="shared" si="1"/>
        <v>170.11701170117013</v>
      </c>
      <c r="H12" s="1167">
        <f t="shared" si="1"/>
        <v>189.01890189018903</v>
      </c>
      <c r="I12" s="1167">
        <f t="shared" si="1"/>
        <v>189.01890189018903</v>
      </c>
      <c r="J12" s="1167">
        <f t="shared" si="1"/>
        <v>216.02160216021602</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(63+70)/2</f>
        <v>66.5</v>
      </c>
      <c r="D15" s="1174">
        <f>(65+71)/2</f>
        <v>68</v>
      </c>
      <c r="E15" s="1174">
        <f>(D15+F15)/2</f>
        <v>71.5</v>
      </c>
      <c r="F15" s="1174">
        <f>(70+80)/2</f>
        <v>75</v>
      </c>
      <c r="G15" s="1174">
        <v>63</v>
      </c>
      <c r="H15" s="1174">
        <v>70</v>
      </c>
      <c r="I15" s="1174">
        <v>70</v>
      </c>
      <c r="J15" s="1174">
        <v>80</v>
      </c>
      <c r="K15" s="1168" t="s">
        <v>692</v>
      </c>
      <c r="L15" s="1166" t="s">
        <v>1541</v>
      </c>
      <c r="M15" s="1175"/>
    </row>
    <row r="16" spans="1:13">
      <c r="A16" s="1162"/>
      <c r="B16" s="1164" t="s">
        <v>1542</v>
      </c>
      <c r="C16" s="1174">
        <f t="shared" ref="C16:J16" si="2">(C21*39.4/1000*100)-C15</f>
        <v>12.110861086108613</v>
      </c>
      <c r="D16" s="1174">
        <f t="shared" si="2"/>
        <v>12.384038403840378</v>
      </c>
      <c r="E16" s="1174">
        <f t="shared" si="2"/>
        <v>13.021452145214511</v>
      </c>
      <c r="F16" s="1174">
        <f t="shared" si="2"/>
        <v>13.658865886588657</v>
      </c>
      <c r="G16" s="1174">
        <f t="shared" si="2"/>
        <v>11.473447344734481</v>
      </c>
      <c r="H16" s="1174">
        <f t="shared" si="2"/>
        <v>12.748274827482746</v>
      </c>
      <c r="I16" s="1174">
        <f t="shared" si="2"/>
        <v>12.748274827482746</v>
      </c>
      <c r="J16" s="1174">
        <f t="shared" si="2"/>
        <v>14.569456945694569</v>
      </c>
      <c r="K16" s="1168" t="s">
        <v>742</v>
      </c>
      <c r="L16" s="1166"/>
    </row>
    <row r="17" spans="1:13">
      <c r="A17" s="1162"/>
      <c r="B17" s="1164" t="s">
        <v>1543</v>
      </c>
      <c r="C17" s="1174">
        <f>100-C15-C16</f>
        <v>21.389138913891387</v>
      </c>
      <c r="D17" s="1174">
        <f t="shared" ref="D17:J17" si="3">100-D15-D16</f>
        <v>19.615961596159622</v>
      </c>
      <c r="E17" s="1174">
        <f t="shared" si="3"/>
        <v>15.478547854785489</v>
      </c>
      <c r="F17" s="1174">
        <f t="shared" si="3"/>
        <v>11.341134113411343</v>
      </c>
      <c r="G17" s="1174">
        <f t="shared" si="3"/>
        <v>25.526552655265519</v>
      </c>
      <c r="H17" s="1174">
        <f t="shared" si="3"/>
        <v>17.251725172517254</v>
      </c>
      <c r="I17" s="1174">
        <f t="shared" si="3"/>
        <v>17.251725172517254</v>
      </c>
      <c r="J17" s="1174">
        <f t="shared" si="3"/>
        <v>5.4305430543054314</v>
      </c>
      <c r="K17" s="1168"/>
      <c r="L17" s="1166"/>
    </row>
    <row r="18" spans="1:13">
      <c r="A18" s="1162"/>
      <c r="B18" s="1164" t="s">
        <v>1544</v>
      </c>
      <c r="C18" s="1174">
        <v>5</v>
      </c>
      <c r="D18" s="1174">
        <v>5</v>
      </c>
      <c r="E18" s="1174">
        <v>5</v>
      </c>
      <c r="F18" s="1174">
        <v>5</v>
      </c>
      <c r="G18" s="1174">
        <v>5</v>
      </c>
      <c r="H18" s="1174">
        <v>5</v>
      </c>
      <c r="I18" s="1174">
        <v>5</v>
      </c>
      <c r="J18" s="1174">
        <v>5</v>
      </c>
      <c r="K18" s="1168" t="s">
        <v>694</v>
      </c>
      <c r="L18" s="1166"/>
    </row>
    <row r="19" spans="1:13" ht="14.4" customHeight="1">
      <c r="A19" s="1162"/>
      <c r="B19" s="1164" t="s">
        <v>1545</v>
      </c>
      <c r="C19" s="1174">
        <f>C17-C18</f>
        <v>16.389138913891387</v>
      </c>
      <c r="D19" s="1174">
        <f t="shared" ref="D19:J19" si="4">D17-D18</f>
        <v>14.615961596159622</v>
      </c>
      <c r="E19" s="1174">
        <f t="shared" si="4"/>
        <v>10.478547854785489</v>
      </c>
      <c r="F19" s="1174">
        <f t="shared" si="4"/>
        <v>6.3411341134113428</v>
      </c>
      <c r="G19" s="1174">
        <f t="shared" si="4"/>
        <v>20.526552655265519</v>
      </c>
      <c r="H19" s="1174">
        <f t="shared" si="4"/>
        <v>12.251725172517254</v>
      </c>
      <c r="I19" s="1174">
        <f t="shared" si="4"/>
        <v>12.251725172517254</v>
      </c>
      <c r="J19" s="1174">
        <f t="shared" si="4"/>
        <v>0.43054305430543138</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C15/100/33.33*1000</f>
        <v>19.951995199519953</v>
      </c>
      <c r="D21" s="1174">
        <f t="shared" ref="D21:J21" si="5">D15/33.33*1000/100</f>
        <v>20.402040204020402</v>
      </c>
      <c r="E21" s="1174">
        <f t="shared" si="5"/>
        <v>21.452145214521451</v>
      </c>
      <c r="F21" s="1174">
        <f t="shared" si="5"/>
        <v>22.502250225022504</v>
      </c>
      <c r="G21" s="1174">
        <f t="shared" si="5"/>
        <v>18.901890189018903</v>
      </c>
      <c r="H21" s="1174">
        <f t="shared" si="5"/>
        <v>21.002100210021002</v>
      </c>
      <c r="I21" s="1174">
        <f t="shared" si="5"/>
        <v>21.002100210021002</v>
      </c>
      <c r="J21" s="1174">
        <f t="shared" si="5"/>
        <v>24.002400240024002</v>
      </c>
      <c r="K21" s="1168" t="s">
        <v>692</v>
      </c>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25</v>
      </c>
      <c r="D25" s="1167">
        <v>30</v>
      </c>
      <c r="E25" s="1167">
        <v>32</v>
      </c>
      <c r="F25" s="1167">
        <v>35</v>
      </c>
      <c r="G25" s="1167">
        <v>25</v>
      </c>
      <c r="H25" s="1167">
        <v>25</v>
      </c>
      <c r="I25" s="1167">
        <v>30</v>
      </c>
      <c r="J25" s="1167">
        <v>35</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1549</v>
      </c>
      <c r="C28" s="1173"/>
      <c r="D28" s="1173"/>
      <c r="E28" s="1173"/>
      <c r="F28" s="1173"/>
      <c r="G28" s="1173"/>
      <c r="H28" s="1173"/>
      <c r="I28" s="1173"/>
      <c r="J28" s="1173"/>
      <c r="K28" s="1168"/>
      <c r="L28" s="1166"/>
    </row>
    <row r="29" spans="1:13">
      <c r="A29" s="1162"/>
      <c r="B29" s="1164" t="s">
        <v>1550</v>
      </c>
      <c r="C29" s="1167">
        <v>750</v>
      </c>
      <c r="D29" s="1167">
        <v>570</v>
      </c>
      <c r="E29" s="1167">
        <v>450</v>
      </c>
      <c r="F29" s="1167">
        <v>350</v>
      </c>
      <c r="G29" s="1167">
        <v>500</v>
      </c>
      <c r="H29" s="1167">
        <v>1400</v>
      </c>
      <c r="I29" s="1167">
        <v>200</v>
      </c>
      <c r="J29" s="1167">
        <v>700</v>
      </c>
      <c r="K29" s="1168" t="s">
        <v>1551</v>
      </c>
      <c r="L29" s="1166"/>
      <c r="M29" s="1178"/>
    </row>
    <row r="30" spans="1:13">
      <c r="A30" s="1162"/>
      <c r="B30" s="1164" t="s">
        <v>1552</v>
      </c>
      <c r="C30" s="1167">
        <f t="shared" ref="C30:J30" si="6">C29/(C7/1000/C6)</f>
        <v>1566.4160401002507</v>
      </c>
      <c r="D30" s="1167">
        <f t="shared" si="6"/>
        <v>1164.2156862745096</v>
      </c>
      <c r="E30" s="1167">
        <f t="shared" si="6"/>
        <v>874.12587412587425</v>
      </c>
      <c r="F30" s="1167">
        <f t="shared" si="6"/>
        <v>648.14814814814815</v>
      </c>
      <c r="G30" s="1167">
        <f t="shared" si="6"/>
        <v>1102.2927689594355</v>
      </c>
      <c r="H30" s="1167">
        <f t="shared" si="6"/>
        <v>2777.7777777777778</v>
      </c>
      <c r="I30" s="1167">
        <f t="shared" si="6"/>
        <v>396.82539682539681</v>
      </c>
      <c r="J30" s="1167">
        <f t="shared" si="6"/>
        <v>1215.2777777777778</v>
      </c>
      <c r="K30" s="1168" t="s">
        <v>1553</v>
      </c>
      <c r="L30" s="1166"/>
    </row>
    <row r="31" spans="1:13">
      <c r="A31" s="1162"/>
      <c r="B31" s="1164" t="s">
        <v>954</v>
      </c>
      <c r="C31" s="1167">
        <v>95</v>
      </c>
      <c r="D31" s="1167">
        <v>95</v>
      </c>
      <c r="E31" s="1167">
        <v>95</v>
      </c>
      <c r="F31" s="1167">
        <v>95</v>
      </c>
      <c r="G31" s="1167">
        <v>95</v>
      </c>
      <c r="H31" s="1167">
        <v>95</v>
      </c>
      <c r="I31" s="1167">
        <v>95</v>
      </c>
      <c r="J31" s="1167">
        <v>95</v>
      </c>
      <c r="K31" s="1168" t="s">
        <v>255</v>
      </c>
      <c r="L31" s="1166"/>
    </row>
    <row r="32" spans="1:13">
      <c r="A32" s="1162"/>
      <c r="B32" s="1164" t="s">
        <v>952</v>
      </c>
      <c r="C32" s="1167">
        <v>5</v>
      </c>
      <c r="D32" s="1167">
        <v>5</v>
      </c>
      <c r="E32" s="1167">
        <v>5</v>
      </c>
      <c r="F32" s="1167">
        <v>5</v>
      </c>
      <c r="G32" s="1167">
        <v>5</v>
      </c>
      <c r="H32" s="1167">
        <v>5</v>
      </c>
      <c r="I32" s="1167">
        <v>5</v>
      </c>
      <c r="J32" s="1167">
        <v>5</v>
      </c>
      <c r="K32" s="1168" t="s">
        <v>255</v>
      </c>
      <c r="L32" s="1166"/>
    </row>
    <row r="33" spans="1:14">
      <c r="A33" s="1162"/>
      <c r="B33" s="1164" t="s">
        <v>1554</v>
      </c>
      <c r="C33" s="1167">
        <v>5</v>
      </c>
      <c r="D33" s="1167">
        <v>5</v>
      </c>
      <c r="E33" s="1167">
        <v>5</v>
      </c>
      <c r="F33" s="1167">
        <v>5</v>
      </c>
      <c r="G33" s="1167">
        <v>5</v>
      </c>
      <c r="H33" s="1167">
        <v>5</v>
      </c>
      <c r="I33" s="1167">
        <v>5</v>
      </c>
      <c r="J33" s="1167">
        <v>5</v>
      </c>
      <c r="K33" s="1168" t="s">
        <v>1555</v>
      </c>
      <c r="L33" s="1166" t="s">
        <v>1556</v>
      </c>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642</v>
      </c>
      <c r="C37" s="1173"/>
      <c r="D37" s="1173"/>
      <c r="E37" s="1173"/>
      <c r="F37" s="1173"/>
      <c r="G37" s="1173"/>
      <c r="H37" s="1173"/>
      <c r="I37" s="1173"/>
      <c r="J37" s="1173"/>
      <c r="K37" s="1168"/>
      <c r="L37" s="1166"/>
    </row>
    <row r="38" spans="1:14">
      <c r="A38" s="1162"/>
      <c r="B38" s="1164" t="s">
        <v>1559</v>
      </c>
      <c r="C38" s="1174">
        <v>0.6</v>
      </c>
      <c r="D38" s="1174">
        <v>1</v>
      </c>
      <c r="E38" s="1174">
        <v>1.2</v>
      </c>
      <c r="F38" s="1174">
        <v>1.5</v>
      </c>
      <c r="G38" s="1174">
        <v>0.4</v>
      </c>
      <c r="H38" s="1174">
        <v>0.6</v>
      </c>
      <c r="I38" s="1174">
        <v>1.2</v>
      </c>
      <c r="J38" s="1174">
        <v>1.5</v>
      </c>
      <c r="K38" s="1168" t="s">
        <v>393</v>
      </c>
      <c r="L38" s="1166" t="s">
        <v>1560</v>
      </c>
      <c r="M38" s="1180"/>
    </row>
    <row r="39" spans="1:14" ht="17.100000000000001" customHeight="1">
      <c r="A39" s="1162"/>
      <c r="B39" s="1164" t="s">
        <v>1561</v>
      </c>
      <c r="C39" s="1181">
        <v>12.5</v>
      </c>
      <c r="D39" s="1181">
        <v>10</v>
      </c>
      <c r="E39" s="1181">
        <v>8</v>
      </c>
      <c r="F39" s="1181">
        <v>7.5</v>
      </c>
      <c r="G39" s="1181">
        <v>10</v>
      </c>
      <c r="H39" s="1181">
        <v>15</v>
      </c>
      <c r="I39" s="1181">
        <v>5</v>
      </c>
      <c r="J39" s="1181">
        <v>10</v>
      </c>
      <c r="K39" s="1182" t="s">
        <v>393</v>
      </c>
      <c r="L39" s="1183" t="s">
        <v>1560</v>
      </c>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0"/>
      <c r="E44" s="1390"/>
      <c r="F44" s="1390"/>
      <c r="G44" s="1390"/>
      <c r="H44" s="1390"/>
      <c r="I44" s="1390"/>
      <c r="J44" s="1390"/>
      <c r="K44" s="1390"/>
      <c r="L44" s="1389"/>
      <c r="M44" s="1389"/>
    </row>
    <row r="45" spans="1:14" ht="14.4" hidden="1" customHeight="1">
      <c r="A45" s="1194"/>
      <c r="B45" s="1389"/>
      <c r="C45" s="1390"/>
      <c r="D45" s="1390"/>
      <c r="E45" s="1390"/>
      <c r="F45" s="1390"/>
      <c r="G45" s="1390"/>
      <c r="H45" s="1390"/>
      <c r="I45" s="1390"/>
      <c r="J45" s="1390"/>
      <c r="K45" s="1193"/>
      <c r="L45" s="1389"/>
      <c r="M45" s="1389"/>
    </row>
    <row r="46" spans="1:14" ht="14.4" hidden="1" customHeight="1">
      <c r="A46" s="1193"/>
      <c r="C46" s="1389"/>
      <c r="D46" s="1390"/>
      <c r="E46" s="1390"/>
      <c r="F46" s="1390"/>
      <c r="G46" s="1390"/>
      <c r="H46" s="1390"/>
      <c r="I46" s="1390"/>
      <c r="J46" s="1390"/>
      <c r="K46" s="1390"/>
      <c r="L46" s="1389"/>
      <c r="M46" s="1389"/>
    </row>
    <row r="47" spans="1:14" ht="14.4" hidden="1" customHeight="1">
      <c r="A47" s="1193"/>
      <c r="B47" s="1389"/>
      <c r="C47" s="1390"/>
      <c r="D47" s="1390"/>
      <c r="E47" s="1390"/>
      <c r="F47" s="1390"/>
      <c r="G47" s="1390"/>
      <c r="H47" s="1390"/>
      <c r="I47" s="1390"/>
      <c r="J47" s="1390"/>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4" t="s">
        <v>695</v>
      </c>
      <c r="B50" s="1394"/>
      <c r="C50" s="1190"/>
      <c r="D50" s="1190"/>
      <c r="E50" s="1190"/>
      <c r="F50" s="1190"/>
      <c r="G50" s="1190"/>
      <c r="H50" s="1190"/>
      <c r="I50" s="1190"/>
      <c r="J50" s="1190"/>
      <c r="K50" s="1193"/>
      <c r="L50" s="1389"/>
      <c r="M50" s="1389"/>
    </row>
    <row r="51" spans="1:14">
      <c r="A51" s="820" t="s">
        <v>694</v>
      </c>
      <c r="B51" s="1196" t="s">
        <v>1565</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1567</v>
      </c>
      <c r="C53" s="1200"/>
      <c r="D53" s="1200"/>
      <c r="E53" s="1200"/>
      <c r="F53" s="1200"/>
      <c r="G53" s="1200"/>
      <c r="H53" s="1200"/>
      <c r="I53" s="1200"/>
      <c r="J53" s="1200"/>
      <c r="K53" s="1200"/>
      <c r="L53" s="1200"/>
      <c r="M53" s="1200"/>
    </row>
    <row r="54" spans="1:14">
      <c r="A54" s="820" t="s">
        <v>269</v>
      </c>
      <c r="B54" s="1196" t="s">
        <v>1568</v>
      </c>
      <c r="D54" s="1197"/>
      <c r="E54" s="1197"/>
      <c r="F54" s="1197"/>
      <c r="G54" s="1197"/>
      <c r="H54" s="1197"/>
      <c r="I54" s="1197"/>
      <c r="J54" s="1197"/>
      <c r="K54" s="1197"/>
      <c r="L54" s="1198"/>
      <c r="M54" s="1198"/>
    </row>
    <row r="55" spans="1:14" ht="15" customHeight="1">
      <c r="A55" s="820" t="s">
        <v>266</v>
      </c>
      <c r="B55" s="1196" t="s">
        <v>1569</v>
      </c>
      <c r="C55" s="1196"/>
      <c r="D55" s="1196"/>
      <c r="E55" s="1196"/>
      <c r="F55" s="1196"/>
      <c r="G55" s="1196"/>
      <c r="H55" s="1196"/>
      <c r="I55" s="1196"/>
      <c r="J55" s="1196"/>
      <c r="K55" s="1193"/>
      <c r="L55" s="855"/>
      <c r="M55" s="855"/>
    </row>
    <row r="56" spans="1:14" ht="15" customHeight="1">
      <c r="A56" s="820" t="s">
        <v>255</v>
      </c>
      <c r="B56" s="1196" t="s">
        <v>1570</v>
      </c>
      <c r="C56" s="1196"/>
      <c r="D56" s="1196"/>
      <c r="E56" s="1196"/>
      <c r="F56" s="1196"/>
      <c r="G56" s="1196"/>
      <c r="H56" s="1196"/>
      <c r="I56" s="1196"/>
      <c r="J56" s="1196"/>
      <c r="K56" s="1196"/>
      <c r="L56" s="1196"/>
      <c r="M56" s="1196"/>
    </row>
    <row r="57" spans="1:14" ht="15" customHeight="1">
      <c r="A57" s="820" t="s">
        <v>389</v>
      </c>
      <c r="B57" s="855" t="s">
        <v>1571</v>
      </c>
      <c r="C57" s="855"/>
      <c r="D57" s="855"/>
      <c r="E57" s="855"/>
      <c r="F57" s="855"/>
      <c r="G57" s="855"/>
      <c r="H57" s="855"/>
      <c r="I57" s="855"/>
      <c r="J57" s="855"/>
      <c r="K57" s="855"/>
      <c r="L57" s="855"/>
      <c r="M57" s="855"/>
    </row>
    <row r="58" spans="1:14" ht="15" customHeight="1">
      <c r="A58" s="820" t="s">
        <v>393</v>
      </c>
      <c r="B58" s="855" t="s">
        <v>1572</v>
      </c>
      <c r="C58" s="855"/>
      <c r="D58" s="855"/>
      <c r="E58" s="855"/>
      <c r="F58" s="855"/>
      <c r="G58" s="855"/>
      <c r="H58" s="855"/>
      <c r="I58" s="855"/>
      <c r="J58" s="855"/>
      <c r="K58" s="855"/>
    </row>
    <row r="59" spans="1:14" ht="15" customHeight="1">
      <c r="A59" s="820" t="s">
        <v>675</v>
      </c>
      <c r="B59" s="855" t="s">
        <v>1573</v>
      </c>
      <c r="C59" s="1200"/>
      <c r="D59" s="1200"/>
      <c r="E59" s="1200"/>
      <c r="F59" s="1200"/>
      <c r="G59" s="1200"/>
      <c r="H59" s="1200"/>
      <c r="I59" s="1200"/>
      <c r="J59" s="1200"/>
    </row>
    <row r="60" spans="1:14" ht="15" customHeight="1">
      <c r="A60" s="820" t="s">
        <v>673</v>
      </c>
      <c r="B60" s="854" t="s">
        <v>1574</v>
      </c>
      <c r="C60" s="854"/>
      <c r="D60" s="854"/>
      <c r="E60" s="854"/>
      <c r="F60" s="854"/>
      <c r="G60" s="854"/>
      <c r="H60" s="854"/>
      <c r="I60" s="854"/>
      <c r="J60" s="854"/>
      <c r="K60" s="854"/>
      <c r="L60" s="854"/>
      <c r="M60" s="854"/>
      <c r="N60" s="854"/>
    </row>
    <row r="61" spans="1:14" ht="15" customHeight="1">
      <c r="A61" s="820" t="s">
        <v>671</v>
      </c>
      <c r="B61" s="854" t="s">
        <v>1575</v>
      </c>
      <c r="C61" s="854"/>
      <c r="D61" s="854"/>
      <c r="E61" s="854"/>
      <c r="F61" s="854"/>
      <c r="G61" s="854"/>
      <c r="H61" s="854"/>
      <c r="I61" s="854"/>
      <c r="J61" s="854"/>
      <c r="K61" s="854"/>
      <c r="L61" s="854"/>
      <c r="M61" s="854"/>
      <c r="N61" s="854"/>
    </row>
    <row r="62" spans="1:14">
      <c r="A62" s="820" t="s">
        <v>786</v>
      </c>
      <c r="B62" s="1201" t="s">
        <v>1576</v>
      </c>
      <c r="C62" s="1202"/>
      <c r="D62" s="1202"/>
      <c r="E62" s="1202"/>
      <c r="F62" s="1202"/>
      <c r="G62" s="1202"/>
      <c r="H62" s="1202"/>
      <c r="I62" s="1202"/>
      <c r="J62" s="1202"/>
      <c r="K62" s="1202"/>
      <c r="L62" s="1202"/>
      <c r="M62" s="1202"/>
      <c r="N62" s="1202"/>
    </row>
    <row r="63" spans="1:14" ht="15" customHeight="1">
      <c r="A63" s="820" t="s">
        <v>1335</v>
      </c>
      <c r="B63" s="854" t="s">
        <v>1577</v>
      </c>
      <c r="C63" s="854"/>
      <c r="D63" s="854"/>
      <c r="E63" s="854"/>
      <c r="F63" s="854"/>
      <c r="G63" s="854"/>
      <c r="H63" s="854"/>
      <c r="I63" s="854"/>
      <c r="J63" s="854"/>
      <c r="K63" s="854"/>
      <c r="L63" s="854"/>
      <c r="M63" s="854"/>
      <c r="N63" s="854"/>
    </row>
    <row r="64" spans="1:14">
      <c r="A64" s="820" t="s">
        <v>742</v>
      </c>
      <c r="B64" s="1201" t="s">
        <v>1578</v>
      </c>
      <c r="C64" s="1202"/>
      <c r="D64" s="1202"/>
      <c r="E64" s="1202"/>
      <c r="F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854" t="s">
        <v>1581</v>
      </c>
      <c r="D68" s="1205"/>
      <c r="E68" s="1205"/>
      <c r="F68" s="1205"/>
      <c r="G68" s="1205"/>
      <c r="H68" s="1205"/>
      <c r="I68" s="1205"/>
      <c r="J68" s="1205"/>
      <c r="K68" s="1205"/>
    </row>
    <row r="69" spans="1:14">
      <c r="A69" s="1162">
        <v>16</v>
      </c>
      <c r="B69" s="854" t="s">
        <v>1582</v>
      </c>
      <c r="D69" s="1205"/>
      <c r="E69" s="1205"/>
      <c r="F69" s="1205"/>
      <c r="G69" s="1205"/>
      <c r="H69" s="1205"/>
      <c r="I69" s="1205"/>
    </row>
    <row r="70" spans="1:14">
      <c r="A70" s="1162">
        <v>24</v>
      </c>
      <c r="B70" s="854" t="s">
        <v>1583</v>
      </c>
      <c r="D70" s="1205"/>
      <c r="E70" s="1205"/>
      <c r="F70" s="1205"/>
      <c r="G70" s="1205"/>
      <c r="H70" s="1205"/>
      <c r="I70" s="1205"/>
      <c r="J70" s="1205"/>
      <c r="K70" s="1205"/>
    </row>
    <row r="71" spans="1:14">
      <c r="A71" s="1162">
        <v>26</v>
      </c>
      <c r="B71" s="854" t="s">
        <v>1584</v>
      </c>
      <c r="D71" s="1205"/>
      <c r="E71" s="1205"/>
      <c r="F71" s="1205"/>
      <c r="G71" s="1205"/>
      <c r="H71" s="1205"/>
      <c r="I71" s="1205"/>
      <c r="J71" s="1205"/>
      <c r="K71" s="1205"/>
    </row>
    <row r="72" spans="1:14">
      <c r="A72">
        <v>27</v>
      </c>
      <c r="B72" s="854" t="s">
        <v>1585</v>
      </c>
    </row>
  </sheetData>
  <mergeCells count="17">
    <mergeCell ref="L48:M48"/>
    <mergeCell ref="L49:M49"/>
    <mergeCell ref="A50:B50"/>
    <mergeCell ref="L50:M50"/>
    <mergeCell ref="B45:J45"/>
    <mergeCell ref="L45:M45"/>
    <mergeCell ref="C46:K46"/>
    <mergeCell ref="L46:M46"/>
    <mergeCell ref="B47:J47"/>
    <mergeCell ref="L47:M47"/>
    <mergeCell ref="C44:K44"/>
    <mergeCell ref="L44:M44"/>
    <mergeCell ref="C3:L3"/>
    <mergeCell ref="G4:H4"/>
    <mergeCell ref="I4:J4"/>
    <mergeCell ref="A43:I43"/>
    <mergeCell ref="L43:M43"/>
  </mergeCells>
  <hyperlinks>
    <hyperlink ref="C3" location="INDEX" display="Biogas plant, additional straw input in the feedstock mix" xr:uid="{B5B2EB6E-9CDC-4117-A967-3ABC193FE6F3}"/>
  </hyperlinks>
  <pageMargins left="0.7" right="0.7" top="0.75" bottom="0.75" header="0.3" footer="0.3"/>
  <pageSetup paperSize="9" orientation="portrait"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3AC6F-4D3F-4F7A-8257-4F9AB3E75C1C}">
  <sheetPr>
    <tabColor theme="4" tint="0.39997558519241921"/>
  </sheetPr>
  <dimension ref="A2:N71"/>
  <sheetViews>
    <sheetView showGridLines="0"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1" t="s">
        <v>1586</v>
      </c>
      <c r="D3" s="1392"/>
      <c r="E3" s="1392"/>
      <c r="F3" s="1392"/>
      <c r="G3" s="1392"/>
      <c r="H3" s="1392"/>
      <c r="I3" s="1392"/>
      <c r="J3" s="1392"/>
      <c r="K3" s="1392"/>
      <c r="L3" s="1392"/>
    </row>
    <row r="4" spans="1:13">
      <c r="A4" s="1162"/>
      <c r="B4" s="1164"/>
      <c r="C4" s="1165">
        <v>2020</v>
      </c>
      <c r="D4" s="1165">
        <v>2030</v>
      </c>
      <c r="E4" s="1165">
        <v>2040</v>
      </c>
      <c r="F4" s="1165">
        <v>2050</v>
      </c>
      <c r="G4" s="1393" t="s">
        <v>290</v>
      </c>
      <c r="H4" s="1393"/>
      <c r="I4" s="1393" t="s">
        <v>289</v>
      </c>
      <c r="J4" s="1393"/>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100</v>
      </c>
      <c r="D6" s="1167">
        <v>100</v>
      </c>
      <c r="E6" s="1167">
        <v>100</v>
      </c>
      <c r="F6" s="1167">
        <v>100</v>
      </c>
      <c r="G6" s="1167">
        <v>100</v>
      </c>
      <c r="H6" s="1167">
        <v>100</v>
      </c>
      <c r="I6" s="1167">
        <v>100</v>
      </c>
      <c r="J6" s="1167">
        <v>100</v>
      </c>
      <c r="K6" s="1168"/>
      <c r="L6" s="1166"/>
    </row>
    <row r="7" spans="1:13">
      <c r="A7" s="1162"/>
      <c r="B7" s="1164" t="s">
        <v>1536</v>
      </c>
      <c r="C7" s="1167">
        <f t="shared" ref="C7:J7" si="0">C6*3600*(C15/100)*24/120</f>
        <v>47880</v>
      </c>
      <c r="D7" s="1167">
        <f t="shared" si="0"/>
        <v>48960.000000000007</v>
      </c>
      <c r="E7" s="1167">
        <f t="shared" si="0"/>
        <v>51480</v>
      </c>
      <c r="F7" s="1167">
        <f t="shared" si="0"/>
        <v>54000</v>
      </c>
      <c r="G7" s="1167">
        <f t="shared" si="0"/>
        <v>45360</v>
      </c>
      <c r="H7" s="1167">
        <f t="shared" si="0"/>
        <v>50399.999999999993</v>
      </c>
      <c r="I7" s="1167">
        <f t="shared" si="0"/>
        <v>50399.999999999993</v>
      </c>
      <c r="J7" s="1167">
        <f t="shared" si="0"/>
        <v>57600</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 t="shared" ref="C12:J12" si="1">C21+(C21*8)</f>
        <v>179.56795679567958</v>
      </c>
      <c r="D12" s="1167">
        <f t="shared" si="1"/>
        <v>183.61836183618362</v>
      </c>
      <c r="E12" s="1167">
        <f t="shared" si="1"/>
        <v>193.06930693069307</v>
      </c>
      <c r="F12" s="1167">
        <f t="shared" si="1"/>
        <v>202.52025202520252</v>
      </c>
      <c r="G12" s="1167">
        <f t="shared" si="1"/>
        <v>170.11701170117013</v>
      </c>
      <c r="H12" s="1167">
        <f t="shared" si="1"/>
        <v>189.01890189018903</v>
      </c>
      <c r="I12" s="1167">
        <f t="shared" si="1"/>
        <v>189.01890189018903</v>
      </c>
      <c r="J12" s="1167">
        <f t="shared" si="1"/>
        <v>216.02160216021602</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(63+70)/2</f>
        <v>66.5</v>
      </c>
      <c r="D15" s="1174">
        <f>(65+71)/2</f>
        <v>68</v>
      </c>
      <c r="E15" s="1174">
        <f>(D15+F15)/2</f>
        <v>71.5</v>
      </c>
      <c r="F15" s="1174">
        <f>(70+80)/2</f>
        <v>75</v>
      </c>
      <c r="G15" s="1174">
        <v>63</v>
      </c>
      <c r="H15" s="1174">
        <v>70</v>
      </c>
      <c r="I15" s="1174">
        <v>70</v>
      </c>
      <c r="J15" s="1174">
        <v>80</v>
      </c>
      <c r="K15" s="1168" t="s">
        <v>692</v>
      </c>
      <c r="L15" s="1166" t="s">
        <v>1541</v>
      </c>
      <c r="M15" s="1175"/>
    </row>
    <row r="16" spans="1:13">
      <c r="A16" s="1162"/>
      <c r="B16" s="1164" t="s">
        <v>1542</v>
      </c>
      <c r="C16" s="1174">
        <f t="shared" ref="C16:J16" si="2">(C21*39.4/1000*100)-C15</f>
        <v>12.110861086108613</v>
      </c>
      <c r="D16" s="1174">
        <f t="shared" si="2"/>
        <v>12.384038403840378</v>
      </c>
      <c r="E16" s="1174">
        <f t="shared" si="2"/>
        <v>13.021452145214511</v>
      </c>
      <c r="F16" s="1174">
        <f t="shared" si="2"/>
        <v>13.658865886588657</v>
      </c>
      <c r="G16" s="1174">
        <f t="shared" si="2"/>
        <v>11.473447344734481</v>
      </c>
      <c r="H16" s="1174">
        <f t="shared" si="2"/>
        <v>12.748274827482746</v>
      </c>
      <c r="I16" s="1174">
        <f t="shared" si="2"/>
        <v>12.748274827482746</v>
      </c>
      <c r="J16" s="1174">
        <f t="shared" si="2"/>
        <v>14.569456945694569</v>
      </c>
      <c r="K16" s="1168" t="s">
        <v>742</v>
      </c>
      <c r="L16" s="1166"/>
    </row>
    <row r="17" spans="1:13">
      <c r="A17" s="1162"/>
      <c r="B17" s="1164" t="s">
        <v>1543</v>
      </c>
      <c r="C17" s="1174">
        <f>100-C15-C16</f>
        <v>21.389138913891387</v>
      </c>
      <c r="D17" s="1174">
        <f t="shared" ref="D17:J17" si="3">100-D15-D16</f>
        <v>19.615961596159622</v>
      </c>
      <c r="E17" s="1174">
        <f t="shared" si="3"/>
        <v>15.478547854785489</v>
      </c>
      <c r="F17" s="1174">
        <f t="shared" si="3"/>
        <v>11.341134113411343</v>
      </c>
      <c r="G17" s="1174">
        <f t="shared" si="3"/>
        <v>25.526552655265519</v>
      </c>
      <c r="H17" s="1174">
        <f t="shared" si="3"/>
        <v>17.251725172517254</v>
      </c>
      <c r="I17" s="1174">
        <f t="shared" si="3"/>
        <v>17.251725172517254</v>
      </c>
      <c r="J17" s="1174">
        <f t="shared" si="3"/>
        <v>5.4305430543054314</v>
      </c>
      <c r="K17" s="1168"/>
      <c r="L17" s="1166"/>
    </row>
    <row r="18" spans="1:13">
      <c r="A18" s="1162"/>
      <c r="B18" s="1164" t="s">
        <v>1544</v>
      </c>
      <c r="C18" s="1174">
        <v>3</v>
      </c>
      <c r="D18" s="1174">
        <v>3</v>
      </c>
      <c r="E18" s="1174">
        <v>3</v>
      </c>
      <c r="F18" s="1174">
        <v>3</v>
      </c>
      <c r="G18" s="1174">
        <v>3</v>
      </c>
      <c r="H18" s="1174">
        <v>3</v>
      </c>
      <c r="I18" s="1174">
        <v>3</v>
      </c>
      <c r="J18" s="1174">
        <v>3</v>
      </c>
      <c r="K18" s="1168" t="s">
        <v>694</v>
      </c>
      <c r="L18" s="1166"/>
    </row>
    <row r="19" spans="1:13" ht="14.1" customHeight="1">
      <c r="A19" s="1162"/>
      <c r="B19" s="1164" t="s">
        <v>1545</v>
      </c>
      <c r="C19" s="1174">
        <f>C17-C18</f>
        <v>18.389138913891387</v>
      </c>
      <c r="D19" s="1174">
        <f t="shared" ref="D19:J19" si="4">D17-D18</f>
        <v>16.615961596159622</v>
      </c>
      <c r="E19" s="1174">
        <f t="shared" si="4"/>
        <v>12.478547854785489</v>
      </c>
      <c r="F19" s="1174">
        <f t="shared" si="4"/>
        <v>8.3411341134113428</v>
      </c>
      <c r="G19" s="1174">
        <f t="shared" si="4"/>
        <v>22.526552655265519</v>
      </c>
      <c r="H19" s="1174">
        <f t="shared" si="4"/>
        <v>14.251725172517254</v>
      </c>
      <c r="I19" s="1174">
        <f t="shared" si="4"/>
        <v>14.251725172517254</v>
      </c>
      <c r="J19" s="1174">
        <f t="shared" si="4"/>
        <v>2.4305430543054314</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C15/100/33.33*1000</f>
        <v>19.951995199519953</v>
      </c>
      <c r="D21" s="1174">
        <f t="shared" ref="D21:J21" si="5">D15/33.33*1000/100</f>
        <v>20.402040204020402</v>
      </c>
      <c r="E21" s="1174">
        <f t="shared" si="5"/>
        <v>21.452145214521451</v>
      </c>
      <c r="F21" s="1174">
        <f t="shared" si="5"/>
        <v>22.502250225022504</v>
      </c>
      <c r="G21" s="1174">
        <f t="shared" si="5"/>
        <v>18.901890189018903</v>
      </c>
      <c r="H21" s="1174">
        <f t="shared" si="5"/>
        <v>21.002100210021002</v>
      </c>
      <c r="I21" s="1174">
        <f t="shared" si="5"/>
        <v>21.002100210021002</v>
      </c>
      <c r="J21" s="1174">
        <f t="shared" si="5"/>
        <v>24.002400240024002</v>
      </c>
      <c r="K21" s="1168" t="s">
        <v>692</v>
      </c>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25</v>
      </c>
      <c r="D25" s="1167">
        <v>30</v>
      </c>
      <c r="E25" s="1167">
        <v>32</v>
      </c>
      <c r="F25" s="1167">
        <v>35</v>
      </c>
      <c r="G25" s="1167">
        <v>25</v>
      </c>
      <c r="H25" s="1167">
        <v>25</v>
      </c>
      <c r="I25" s="1167">
        <v>30</v>
      </c>
      <c r="J25" s="1167">
        <v>35</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1587</v>
      </c>
      <c r="C28" s="1173"/>
      <c r="D28" s="1173"/>
      <c r="E28" s="1173"/>
      <c r="F28" s="1173"/>
      <c r="G28" s="1173"/>
      <c r="H28" s="1173"/>
      <c r="I28" s="1173"/>
      <c r="J28" s="1173"/>
      <c r="K28" s="1168"/>
      <c r="L28" s="1166"/>
    </row>
    <row r="29" spans="1:13">
      <c r="A29" s="1162"/>
      <c r="B29" s="1164" t="s">
        <v>1550</v>
      </c>
      <c r="C29" s="1167">
        <v>650</v>
      </c>
      <c r="D29" s="1167">
        <v>450</v>
      </c>
      <c r="E29" s="1167">
        <v>300</v>
      </c>
      <c r="F29" s="1167">
        <v>250</v>
      </c>
      <c r="G29" s="1167">
        <v>400</v>
      </c>
      <c r="H29" s="1167">
        <v>800</v>
      </c>
      <c r="I29" s="1167">
        <v>150</v>
      </c>
      <c r="J29" s="1167">
        <v>400</v>
      </c>
      <c r="K29" s="1168" t="s">
        <v>1551</v>
      </c>
      <c r="L29" s="1166"/>
      <c r="M29" s="1178"/>
    </row>
    <row r="30" spans="1:13">
      <c r="A30" s="1162"/>
      <c r="B30" s="1164" t="s">
        <v>1552</v>
      </c>
      <c r="C30" s="1167">
        <f t="shared" ref="C30:J30" si="6">C29/(C7/1000/C6)</f>
        <v>1357.5605680868839</v>
      </c>
      <c r="D30" s="1167">
        <f t="shared" si="6"/>
        <v>919.11764705882331</v>
      </c>
      <c r="E30" s="1167">
        <f t="shared" si="6"/>
        <v>582.75058275058279</v>
      </c>
      <c r="F30" s="1167">
        <f t="shared" si="6"/>
        <v>462.96296296296293</v>
      </c>
      <c r="G30" s="1167">
        <f t="shared" si="6"/>
        <v>881.83421516754845</v>
      </c>
      <c r="H30" s="1167">
        <f t="shared" si="6"/>
        <v>1587.3015873015877</v>
      </c>
      <c r="I30" s="1167">
        <f t="shared" si="6"/>
        <v>297.61904761904771</v>
      </c>
      <c r="J30" s="1167">
        <f t="shared" si="6"/>
        <v>694.44444444444434</v>
      </c>
      <c r="K30" s="1168" t="s">
        <v>1553</v>
      </c>
      <c r="L30" s="1166"/>
    </row>
    <row r="31" spans="1:13">
      <c r="A31" s="1162"/>
      <c r="B31" s="1164" t="s">
        <v>954</v>
      </c>
      <c r="C31" s="1167">
        <v>90</v>
      </c>
      <c r="D31" s="1167">
        <v>90</v>
      </c>
      <c r="E31" s="1167">
        <v>90</v>
      </c>
      <c r="F31" s="1167">
        <v>90</v>
      </c>
      <c r="G31" s="1167">
        <v>90</v>
      </c>
      <c r="H31" s="1167">
        <v>90</v>
      </c>
      <c r="I31" s="1167">
        <v>90</v>
      </c>
      <c r="J31" s="1167">
        <v>90</v>
      </c>
      <c r="K31" s="1168" t="s">
        <v>255</v>
      </c>
      <c r="L31" s="1166"/>
    </row>
    <row r="32" spans="1:13">
      <c r="A32" s="1162"/>
      <c r="B32" s="1164" t="s">
        <v>952</v>
      </c>
      <c r="C32" s="1167">
        <v>10</v>
      </c>
      <c r="D32" s="1167">
        <v>10</v>
      </c>
      <c r="E32" s="1167">
        <v>10</v>
      </c>
      <c r="F32" s="1167">
        <v>10</v>
      </c>
      <c r="G32" s="1167">
        <v>10</v>
      </c>
      <c r="H32" s="1167">
        <v>10</v>
      </c>
      <c r="I32" s="1167">
        <v>10</v>
      </c>
      <c r="J32" s="1167">
        <v>10</v>
      </c>
      <c r="K32" s="1168" t="s">
        <v>255</v>
      </c>
      <c r="L32" s="1166"/>
    </row>
    <row r="33" spans="1:14">
      <c r="A33" s="1162"/>
      <c r="B33" s="1164" t="s">
        <v>1554</v>
      </c>
      <c r="C33" s="1167">
        <v>2</v>
      </c>
      <c r="D33" s="1167">
        <v>2</v>
      </c>
      <c r="E33" s="1167">
        <v>2</v>
      </c>
      <c r="F33" s="1167">
        <v>2</v>
      </c>
      <c r="G33" s="1167">
        <v>2</v>
      </c>
      <c r="H33" s="1167">
        <v>2</v>
      </c>
      <c r="I33" s="1167">
        <v>2</v>
      </c>
      <c r="J33" s="1167">
        <v>2</v>
      </c>
      <c r="K33" s="1168" t="s">
        <v>1555</v>
      </c>
      <c r="L33" s="1166" t="s">
        <v>1556</v>
      </c>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260</v>
      </c>
      <c r="C37" s="1173"/>
      <c r="D37" s="1173"/>
      <c r="E37" s="1173"/>
      <c r="F37" s="1173"/>
      <c r="G37" s="1173"/>
      <c r="H37" s="1173"/>
      <c r="I37" s="1173"/>
      <c r="J37" s="1173"/>
      <c r="K37" s="1168"/>
      <c r="L37" s="1166"/>
    </row>
    <row r="38" spans="1:14">
      <c r="A38" s="1162"/>
      <c r="B38" s="1164" t="s">
        <v>1559</v>
      </c>
      <c r="C38" s="1174">
        <v>0.6</v>
      </c>
      <c r="D38" s="1174">
        <v>1</v>
      </c>
      <c r="E38" s="1174">
        <v>1.2</v>
      </c>
      <c r="F38" s="1174">
        <v>1.5</v>
      </c>
      <c r="G38" s="1174">
        <v>0.4</v>
      </c>
      <c r="H38" s="1174">
        <v>0.6</v>
      </c>
      <c r="I38" s="1174">
        <v>1.2</v>
      </c>
      <c r="J38" s="1174">
        <v>1.5</v>
      </c>
      <c r="K38" s="1168" t="s">
        <v>393</v>
      </c>
      <c r="L38" s="1166" t="s">
        <v>1560</v>
      </c>
      <c r="M38" s="1180"/>
    </row>
    <row r="39" spans="1:14" ht="17.100000000000001" customHeight="1">
      <c r="A39" s="1162"/>
      <c r="B39" s="1164" t="s">
        <v>1561</v>
      </c>
      <c r="C39" s="1181">
        <v>12.5</v>
      </c>
      <c r="D39" s="1181">
        <v>10</v>
      </c>
      <c r="E39" s="1181">
        <v>8</v>
      </c>
      <c r="F39" s="1181">
        <v>7.5</v>
      </c>
      <c r="G39" s="1181">
        <v>10</v>
      </c>
      <c r="H39" s="1181">
        <v>15</v>
      </c>
      <c r="I39" s="1181">
        <v>5</v>
      </c>
      <c r="J39" s="1181">
        <v>10</v>
      </c>
      <c r="K39" s="1182" t="s">
        <v>393</v>
      </c>
      <c r="L39" s="1183" t="s">
        <v>1560</v>
      </c>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0"/>
      <c r="E44" s="1390"/>
      <c r="F44" s="1390"/>
      <c r="G44" s="1390"/>
      <c r="H44" s="1390"/>
      <c r="I44" s="1390"/>
      <c r="J44" s="1390"/>
      <c r="K44" s="1390"/>
      <c r="L44" s="1389"/>
      <c r="M44" s="1389"/>
    </row>
    <row r="45" spans="1:14" ht="14.4" hidden="1" customHeight="1">
      <c r="A45" s="1194"/>
      <c r="B45" s="1389"/>
      <c r="C45" s="1390"/>
      <c r="D45" s="1390"/>
      <c r="E45" s="1390"/>
      <c r="F45" s="1390"/>
      <c r="G45" s="1390"/>
      <c r="H45" s="1390"/>
      <c r="I45" s="1390"/>
      <c r="J45" s="1390"/>
      <c r="K45" s="1193"/>
      <c r="L45" s="1389"/>
      <c r="M45" s="1389"/>
    </row>
    <row r="46" spans="1:14" ht="14.4" hidden="1" customHeight="1">
      <c r="A46" s="1193"/>
      <c r="C46" s="1389"/>
      <c r="D46" s="1390"/>
      <c r="E46" s="1390"/>
      <c r="F46" s="1390"/>
      <c r="G46" s="1390"/>
      <c r="H46" s="1390"/>
      <c r="I46" s="1390"/>
      <c r="J46" s="1390"/>
      <c r="K46" s="1390"/>
      <c r="L46" s="1389"/>
      <c r="M46" s="1389"/>
    </row>
    <row r="47" spans="1:14" ht="14.4" hidden="1" customHeight="1">
      <c r="A47" s="1193"/>
      <c r="B47" s="1389"/>
      <c r="C47" s="1390"/>
      <c r="D47" s="1390"/>
      <c r="E47" s="1390"/>
      <c r="F47" s="1390"/>
      <c r="G47" s="1390"/>
      <c r="H47" s="1390"/>
      <c r="I47" s="1390"/>
      <c r="J47" s="1390"/>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4" t="s">
        <v>695</v>
      </c>
      <c r="B50" s="1394"/>
      <c r="C50" s="1190"/>
      <c r="D50" s="1190"/>
      <c r="E50" s="1190"/>
      <c r="F50" s="1190"/>
      <c r="G50" s="1190"/>
      <c r="H50" s="1190"/>
      <c r="I50" s="1190"/>
      <c r="J50" s="1190"/>
      <c r="K50" s="1193"/>
      <c r="L50" s="1389"/>
      <c r="M50" s="1389"/>
    </row>
    <row r="51" spans="1:14">
      <c r="A51" s="820" t="s">
        <v>694</v>
      </c>
      <c r="B51" s="1196" t="s">
        <v>1588</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1589</v>
      </c>
      <c r="C53" s="1200"/>
      <c r="D53" s="1200"/>
      <c r="E53" s="1200"/>
      <c r="F53" s="1200"/>
      <c r="G53" s="1200"/>
      <c r="H53" s="1200"/>
      <c r="I53" s="1200"/>
      <c r="J53" s="1200"/>
      <c r="K53" s="1200"/>
      <c r="L53" s="1200"/>
      <c r="M53" s="1200"/>
    </row>
    <row r="54" spans="1:14">
      <c r="A54" s="820" t="s">
        <v>269</v>
      </c>
      <c r="B54" s="1196" t="s">
        <v>1590</v>
      </c>
      <c r="D54" s="1197"/>
      <c r="E54" s="1197"/>
      <c r="F54" s="1197"/>
      <c r="G54" s="1197"/>
      <c r="H54" s="1197"/>
      <c r="I54" s="1197"/>
      <c r="J54" s="1197"/>
      <c r="K54" s="1197"/>
      <c r="L54" s="1198"/>
      <c r="M54" s="1198"/>
    </row>
    <row r="55" spans="1:14" ht="15" customHeight="1">
      <c r="A55" s="820" t="s">
        <v>266</v>
      </c>
      <c r="B55" s="1196" t="s">
        <v>1591</v>
      </c>
      <c r="C55" s="1196"/>
      <c r="D55" s="1196"/>
      <c r="E55" s="1196"/>
      <c r="F55" s="1196"/>
      <c r="G55" s="1196"/>
      <c r="H55" s="1196"/>
      <c r="I55" s="1196"/>
      <c r="J55" s="1196"/>
      <c r="K55" s="1193"/>
      <c r="L55" s="855"/>
      <c r="M55" s="855"/>
    </row>
    <row r="56" spans="1:14" ht="15" customHeight="1">
      <c r="A56" s="820" t="s">
        <v>255</v>
      </c>
      <c r="B56" s="1196" t="s">
        <v>1592</v>
      </c>
      <c r="C56" s="1196"/>
      <c r="D56" s="1196"/>
      <c r="E56" s="1196"/>
      <c r="F56" s="1196"/>
      <c r="G56" s="1196"/>
      <c r="H56" s="1196"/>
      <c r="I56" s="1196"/>
      <c r="J56" s="1196"/>
      <c r="K56" s="1196"/>
      <c r="L56" s="1196"/>
      <c r="M56" s="1196"/>
    </row>
    <row r="57" spans="1:14" ht="15" customHeight="1">
      <c r="A57" s="820" t="s">
        <v>389</v>
      </c>
      <c r="B57" s="855" t="s">
        <v>1593</v>
      </c>
      <c r="C57" s="855"/>
      <c r="D57" s="855"/>
      <c r="E57" s="855"/>
      <c r="F57" s="855"/>
      <c r="G57" s="855"/>
      <c r="H57" s="855"/>
      <c r="I57" s="855"/>
      <c r="J57" s="855"/>
      <c r="K57" s="855"/>
      <c r="L57" s="855"/>
      <c r="M57" s="855"/>
    </row>
    <row r="58" spans="1:14" ht="15" customHeight="1">
      <c r="A58" s="820" t="s">
        <v>393</v>
      </c>
      <c r="B58" s="855" t="s">
        <v>1594</v>
      </c>
      <c r="C58" s="855"/>
      <c r="D58" s="855"/>
      <c r="E58" s="855"/>
      <c r="F58" s="855"/>
      <c r="G58" s="855"/>
      <c r="H58" s="855"/>
      <c r="I58" s="855"/>
      <c r="J58" s="855"/>
      <c r="K58" s="855"/>
    </row>
    <row r="59" spans="1:14" ht="15" customHeight="1">
      <c r="A59" s="820" t="s">
        <v>675</v>
      </c>
      <c r="B59" s="855" t="s">
        <v>1573</v>
      </c>
      <c r="C59" s="1200"/>
      <c r="D59" s="1200"/>
      <c r="E59" s="1200"/>
      <c r="F59" s="1200"/>
      <c r="G59" s="1200"/>
      <c r="H59" s="1200"/>
      <c r="I59" s="1200"/>
      <c r="J59" s="1200"/>
    </row>
    <row r="60" spans="1:14" ht="15" customHeight="1">
      <c r="A60" s="820" t="s">
        <v>673</v>
      </c>
      <c r="B60" s="854" t="s">
        <v>1574</v>
      </c>
      <c r="C60" s="854"/>
      <c r="D60" s="854"/>
      <c r="E60" s="854"/>
      <c r="F60" s="854"/>
      <c r="G60" s="854"/>
      <c r="H60" s="854"/>
      <c r="I60" s="854"/>
      <c r="J60" s="854"/>
      <c r="K60" s="854"/>
      <c r="L60" s="854"/>
      <c r="M60" s="854"/>
      <c r="N60" s="854"/>
    </row>
    <row r="61" spans="1:14" ht="15" customHeight="1">
      <c r="A61" s="820" t="s">
        <v>671</v>
      </c>
      <c r="B61" s="854" t="s">
        <v>1575</v>
      </c>
      <c r="C61" s="854"/>
      <c r="D61" s="854"/>
      <c r="E61" s="854"/>
      <c r="F61" s="854"/>
      <c r="G61" s="854"/>
      <c r="H61" s="854"/>
      <c r="I61" s="854"/>
      <c r="J61" s="854"/>
      <c r="K61" s="854"/>
      <c r="L61" s="854"/>
      <c r="M61" s="854"/>
      <c r="N61" s="854"/>
    </row>
    <row r="62" spans="1:14">
      <c r="A62" s="820" t="s">
        <v>786</v>
      </c>
      <c r="B62" s="1201" t="s">
        <v>1576</v>
      </c>
      <c r="C62" s="1202"/>
      <c r="D62" s="1202"/>
      <c r="E62" s="1202"/>
      <c r="F62" s="1202"/>
      <c r="G62" s="1202"/>
      <c r="H62" s="1202"/>
      <c r="I62" s="1202"/>
      <c r="J62" s="1202"/>
      <c r="K62" s="1202"/>
      <c r="L62" s="1202"/>
      <c r="M62" s="1202"/>
      <c r="N62" s="1202"/>
    </row>
    <row r="63" spans="1:14" ht="15" customHeight="1">
      <c r="A63" s="820" t="s">
        <v>1335</v>
      </c>
      <c r="B63" s="854" t="s">
        <v>1577</v>
      </c>
      <c r="C63" s="854"/>
      <c r="D63" s="854"/>
      <c r="E63" s="854"/>
      <c r="F63" s="854"/>
      <c r="G63" s="854"/>
      <c r="H63" s="854"/>
      <c r="I63" s="854"/>
      <c r="J63" s="854"/>
      <c r="K63" s="854"/>
      <c r="L63" s="854"/>
      <c r="M63" s="854"/>
      <c r="N63" s="854"/>
    </row>
    <row r="64" spans="1:14">
      <c r="A64" s="820" t="s">
        <v>742</v>
      </c>
      <c r="B64" s="1201" t="s">
        <v>1578</v>
      </c>
      <c r="C64" s="1202"/>
      <c r="D64" s="1202"/>
      <c r="E64" s="1202"/>
      <c r="F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1201" t="s">
        <v>1581</v>
      </c>
      <c r="D68" s="1205"/>
      <c r="E68" s="1205"/>
      <c r="F68" s="1205"/>
      <c r="G68" s="1205"/>
      <c r="H68" s="1205"/>
      <c r="I68" s="1205"/>
      <c r="J68" s="1205"/>
      <c r="K68" s="1205"/>
    </row>
    <row r="69" spans="1:14">
      <c r="A69" s="1162">
        <v>24</v>
      </c>
      <c r="B69" s="1201" t="s">
        <v>1583</v>
      </c>
      <c r="D69" s="1205"/>
      <c r="E69" s="1205"/>
      <c r="F69" s="1205"/>
      <c r="G69" s="1205"/>
      <c r="H69" s="1205"/>
      <c r="I69" s="1205"/>
      <c r="J69" s="1205"/>
      <c r="K69" s="1205"/>
    </row>
    <row r="70" spans="1:14">
      <c r="A70" s="1162">
        <v>26</v>
      </c>
      <c r="B70" s="1201" t="s">
        <v>1584</v>
      </c>
      <c r="D70" s="1205"/>
      <c r="E70" s="1205"/>
      <c r="F70" s="1205"/>
      <c r="G70" s="1205"/>
      <c r="H70" s="1205"/>
      <c r="I70" s="1205"/>
      <c r="J70" s="1205"/>
      <c r="K70" s="1205"/>
    </row>
    <row r="71" spans="1:14">
      <c r="A71">
        <v>27</v>
      </c>
      <c r="B71" s="1201" t="s">
        <v>1585</v>
      </c>
    </row>
  </sheetData>
  <mergeCells count="17">
    <mergeCell ref="L48:M48"/>
    <mergeCell ref="L49:M49"/>
    <mergeCell ref="A50:B50"/>
    <mergeCell ref="L50:M50"/>
    <mergeCell ref="B45:J45"/>
    <mergeCell ref="L45:M45"/>
    <mergeCell ref="C46:K46"/>
    <mergeCell ref="L46:M46"/>
    <mergeCell ref="B47:J47"/>
    <mergeCell ref="L47:M47"/>
    <mergeCell ref="C44:K44"/>
    <mergeCell ref="L44:M44"/>
    <mergeCell ref="C3:L3"/>
    <mergeCell ref="G4:H4"/>
    <mergeCell ref="I4:J4"/>
    <mergeCell ref="A43:I43"/>
    <mergeCell ref="L43:M43"/>
  </mergeCells>
  <hyperlinks>
    <hyperlink ref="C3" location="INDEX" display="Biogas plant, additional straw input in the feedstock mix" xr:uid="{022C4A08-C959-44EF-BE27-BAFA1F769EE0}"/>
  </hyperlinks>
  <pageMargins left="0.7" right="0.7" top="0.75" bottom="0.75" header="0.3" footer="0.3"/>
  <pageSetup paperSize="9" orientation="portrait"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26F94-2D88-4101-B420-FCCC695F0077}">
  <sheetPr>
    <tabColor theme="4" tint="0.39997558519241921"/>
  </sheetPr>
  <dimension ref="A2:N71"/>
  <sheetViews>
    <sheetView showGridLines="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1" t="s">
        <v>1595</v>
      </c>
      <c r="D3" s="1392"/>
      <c r="E3" s="1392"/>
      <c r="F3" s="1392"/>
      <c r="G3" s="1392"/>
      <c r="H3" s="1392"/>
      <c r="I3" s="1392"/>
      <c r="J3" s="1392"/>
      <c r="K3" s="1392"/>
      <c r="L3" s="1392"/>
    </row>
    <row r="4" spans="1:13">
      <c r="A4" s="1162"/>
      <c r="B4" s="1164"/>
      <c r="C4" s="1165">
        <v>2020</v>
      </c>
      <c r="D4" s="1165">
        <v>2030</v>
      </c>
      <c r="E4" s="1165">
        <v>2040</v>
      </c>
      <c r="F4" s="1165">
        <v>2050</v>
      </c>
      <c r="G4" s="1393" t="s">
        <v>290</v>
      </c>
      <c r="H4" s="1393"/>
      <c r="I4" s="1393" t="s">
        <v>289</v>
      </c>
      <c r="J4" s="1393"/>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v>
      </c>
      <c r="D6" s="1167">
        <v>1</v>
      </c>
      <c r="E6" s="1167">
        <v>1</v>
      </c>
      <c r="F6" s="1167">
        <v>1</v>
      </c>
      <c r="G6" s="1167">
        <v>1</v>
      </c>
      <c r="H6" s="1167">
        <v>1</v>
      </c>
      <c r="I6" s="1167">
        <v>1</v>
      </c>
      <c r="J6" s="1167">
        <v>1</v>
      </c>
      <c r="K6" s="1168"/>
      <c r="L6" s="1166"/>
    </row>
    <row r="7" spans="1:13">
      <c r="A7" s="1162"/>
      <c r="B7" s="1164" t="s">
        <v>1536</v>
      </c>
      <c r="C7" s="1167">
        <f t="shared" ref="C7:J7" si="0">C6*3600*(C15/100)*24/120</f>
        <v>417.6</v>
      </c>
      <c r="D7" s="1167">
        <f t="shared" si="0"/>
        <v>471.6</v>
      </c>
      <c r="E7" s="1167">
        <f t="shared" si="0"/>
        <v>489.6</v>
      </c>
      <c r="F7" s="1167">
        <f t="shared" si="0"/>
        <v>507.6</v>
      </c>
      <c r="G7" s="1167">
        <f t="shared" si="0"/>
        <v>432</v>
      </c>
      <c r="H7" s="1167">
        <f t="shared" si="0"/>
        <v>460.8</v>
      </c>
      <c r="I7" s="1167">
        <f t="shared" si="0"/>
        <v>489.6</v>
      </c>
      <c r="J7" s="1167">
        <f t="shared" si="0"/>
        <v>504</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 t="shared" ref="C12:J12" si="1">C21+(C21*8)</f>
        <v>156.6156615661566</v>
      </c>
      <c r="D12" s="1167">
        <f t="shared" si="1"/>
        <v>176.86768676867689</v>
      </c>
      <c r="E12" s="1167">
        <f t="shared" si="1"/>
        <v>183.61836183618362</v>
      </c>
      <c r="F12" s="1167">
        <f t="shared" si="1"/>
        <v>190.36903690369036</v>
      </c>
      <c r="G12" s="1167">
        <f t="shared" si="1"/>
        <v>162.01620162016201</v>
      </c>
      <c r="H12" s="1167">
        <f t="shared" si="1"/>
        <v>172.81728172817284</v>
      </c>
      <c r="I12" s="1167">
        <f t="shared" si="1"/>
        <v>183.61836183618362</v>
      </c>
      <c r="J12" s="1167">
        <f t="shared" si="1"/>
        <v>189.01890189018903</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(56+60)/2</f>
        <v>58</v>
      </c>
      <c r="D15" s="1174">
        <f>(63+68)/2</f>
        <v>65.5</v>
      </c>
      <c r="E15" s="1174">
        <f>(D15+F15)/2</f>
        <v>68</v>
      </c>
      <c r="F15" s="1174">
        <f>(67+74)/2</f>
        <v>70.5</v>
      </c>
      <c r="G15" s="1174">
        <v>60</v>
      </c>
      <c r="H15" s="1174">
        <v>64</v>
      </c>
      <c r="I15" s="1174">
        <v>68</v>
      </c>
      <c r="J15" s="1174">
        <v>70</v>
      </c>
      <c r="K15" s="1168" t="s">
        <v>692</v>
      </c>
      <c r="L15" s="1166" t="s">
        <v>1541</v>
      </c>
      <c r="M15" s="1175"/>
    </row>
    <row r="16" spans="1:13">
      <c r="A16" s="1162"/>
      <c r="B16" s="1164" t="s">
        <v>1542</v>
      </c>
      <c r="C16" s="1174">
        <f t="shared" ref="C16:J16" si="2">(C21*39.4/1000*100)-C15</f>
        <v>10.562856285628555</v>
      </c>
      <c r="D16" s="1174">
        <f t="shared" si="2"/>
        <v>11.928742874287437</v>
      </c>
      <c r="E16" s="1174">
        <f t="shared" si="2"/>
        <v>12.384038403840378</v>
      </c>
      <c r="F16" s="1174">
        <f t="shared" si="2"/>
        <v>12.83933393339332</v>
      </c>
      <c r="G16" s="1174">
        <f t="shared" si="2"/>
        <v>10.927092709270923</v>
      </c>
      <c r="H16" s="1174">
        <f t="shared" si="2"/>
        <v>11.655565556555672</v>
      </c>
      <c r="I16" s="1174">
        <f t="shared" si="2"/>
        <v>12.384038403840378</v>
      </c>
      <c r="J16" s="1174">
        <f t="shared" si="2"/>
        <v>12.748274827482746</v>
      </c>
      <c r="K16" s="1168" t="s">
        <v>742</v>
      </c>
      <c r="L16" s="1166"/>
    </row>
    <row r="17" spans="1:13">
      <c r="A17" s="1162"/>
      <c r="B17" s="1164" t="s">
        <v>1543</v>
      </c>
      <c r="C17" s="1174">
        <f>100-C15-C16</f>
        <v>31.437143714371445</v>
      </c>
      <c r="D17" s="1174">
        <f t="shared" ref="D17:J17" si="3">100-D15-D16</f>
        <v>22.571257125712563</v>
      </c>
      <c r="E17" s="1174">
        <f t="shared" si="3"/>
        <v>19.615961596159622</v>
      </c>
      <c r="F17" s="1174">
        <f t="shared" si="3"/>
        <v>16.66066606660668</v>
      </c>
      <c r="G17" s="1174">
        <f t="shared" si="3"/>
        <v>29.072907290729077</v>
      </c>
      <c r="H17" s="1174">
        <f t="shared" si="3"/>
        <v>24.344434443444328</v>
      </c>
      <c r="I17" s="1174">
        <f t="shared" si="3"/>
        <v>19.615961596159622</v>
      </c>
      <c r="J17" s="1174">
        <f t="shared" si="3"/>
        <v>17.251725172517254</v>
      </c>
      <c r="K17" s="1168"/>
      <c r="L17" s="1166"/>
    </row>
    <row r="18" spans="1:13">
      <c r="A18" s="1162"/>
      <c r="B18" s="1164" t="s">
        <v>1544</v>
      </c>
      <c r="C18" s="1174">
        <v>5</v>
      </c>
      <c r="D18" s="1174">
        <v>5</v>
      </c>
      <c r="E18" s="1174">
        <v>5</v>
      </c>
      <c r="F18" s="1174">
        <v>5</v>
      </c>
      <c r="G18" s="1174">
        <v>5</v>
      </c>
      <c r="H18" s="1174">
        <v>5</v>
      </c>
      <c r="I18" s="1174">
        <v>5</v>
      </c>
      <c r="J18" s="1174">
        <v>5</v>
      </c>
      <c r="K18" s="1168" t="s">
        <v>694</v>
      </c>
      <c r="L18" s="1166"/>
    </row>
    <row r="19" spans="1:13" ht="14.4" customHeight="1">
      <c r="A19" s="1162"/>
      <c r="B19" s="1164" t="s">
        <v>1545</v>
      </c>
      <c r="C19" s="1174">
        <f>C17-C18</f>
        <v>26.437143714371445</v>
      </c>
      <c r="D19" s="1174">
        <f t="shared" ref="D19:J19" si="4">D17-D18</f>
        <v>17.571257125712563</v>
      </c>
      <c r="E19" s="1174">
        <f t="shared" si="4"/>
        <v>14.615961596159622</v>
      </c>
      <c r="F19" s="1174">
        <f t="shared" si="4"/>
        <v>11.66066606660668</v>
      </c>
      <c r="G19" s="1174">
        <f t="shared" si="4"/>
        <v>24.072907290729077</v>
      </c>
      <c r="H19" s="1174">
        <f t="shared" si="4"/>
        <v>19.344434443444328</v>
      </c>
      <c r="I19" s="1174">
        <f t="shared" si="4"/>
        <v>14.615961596159622</v>
      </c>
      <c r="J19" s="1174">
        <f t="shared" si="4"/>
        <v>12.251725172517254</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 t="shared" ref="C21:J21" si="5">C15/33.33*1000/100</f>
        <v>17.401740174017402</v>
      </c>
      <c r="D21" s="1174">
        <f t="shared" si="5"/>
        <v>19.651965196519654</v>
      </c>
      <c r="E21" s="1174">
        <f t="shared" si="5"/>
        <v>20.402040204020402</v>
      </c>
      <c r="F21" s="1174">
        <f t="shared" si="5"/>
        <v>21.152115211521149</v>
      </c>
      <c r="G21" s="1174">
        <f t="shared" si="5"/>
        <v>18.001800180018002</v>
      </c>
      <c r="H21" s="1174">
        <f t="shared" si="5"/>
        <v>19.201920192019205</v>
      </c>
      <c r="I21" s="1174">
        <f t="shared" si="5"/>
        <v>20.402040204020402</v>
      </c>
      <c r="J21" s="1174">
        <f t="shared" si="5"/>
        <v>21.002100210021002</v>
      </c>
      <c r="K21" s="1168" t="s">
        <v>692</v>
      </c>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20</v>
      </c>
      <c r="D25" s="1167">
        <v>25</v>
      </c>
      <c r="E25" s="1167">
        <v>28</v>
      </c>
      <c r="F25" s="1167">
        <v>30</v>
      </c>
      <c r="G25" s="1167">
        <v>20</v>
      </c>
      <c r="H25" s="1167">
        <v>20</v>
      </c>
      <c r="I25" s="1167">
        <v>25</v>
      </c>
      <c r="J25" s="1167">
        <v>30</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1587</v>
      </c>
      <c r="C28" s="1173"/>
      <c r="D28" s="1173"/>
      <c r="E28" s="1173"/>
      <c r="F28" s="1173"/>
      <c r="G28" s="1173"/>
      <c r="H28" s="1173"/>
      <c r="I28" s="1173"/>
      <c r="J28" s="1173"/>
      <c r="K28" s="1168"/>
      <c r="L28" s="1166"/>
    </row>
    <row r="29" spans="1:13">
      <c r="A29" s="1162"/>
      <c r="B29" s="1164" t="s">
        <v>1550</v>
      </c>
      <c r="C29" s="1167">
        <v>925</v>
      </c>
      <c r="D29" s="1167">
        <v>650</v>
      </c>
      <c r="E29" s="1167">
        <v>450</v>
      </c>
      <c r="F29" s="1167">
        <v>400</v>
      </c>
      <c r="G29" s="1167">
        <v>700</v>
      </c>
      <c r="H29" s="1167">
        <v>1250</v>
      </c>
      <c r="I29" s="1167">
        <v>300</v>
      </c>
      <c r="J29" s="1167">
        <v>500</v>
      </c>
      <c r="K29" s="1168" t="s">
        <v>1551</v>
      </c>
      <c r="L29" s="1166"/>
      <c r="M29" s="1178"/>
    </row>
    <row r="30" spans="1:13">
      <c r="A30" s="1162"/>
      <c r="B30" s="1164" t="s">
        <v>1552</v>
      </c>
      <c r="C30" s="1167">
        <f t="shared" ref="C30:J30" si="6">(C21/1000)^-1/24*C29</f>
        <v>2214.8168103448279</v>
      </c>
      <c r="D30" s="1167">
        <f t="shared" si="6"/>
        <v>1378.1488549618321</v>
      </c>
      <c r="E30" s="1167">
        <f t="shared" si="6"/>
        <v>919.02573529411768</v>
      </c>
      <c r="F30" s="1167">
        <f t="shared" si="6"/>
        <v>787.94326241134763</v>
      </c>
      <c r="G30" s="1167">
        <f t="shared" si="6"/>
        <v>1620.2083333333333</v>
      </c>
      <c r="H30" s="1167">
        <f t="shared" si="6"/>
        <v>2712.4023437499995</v>
      </c>
      <c r="I30" s="1167">
        <f t="shared" si="6"/>
        <v>612.68382352941182</v>
      </c>
      <c r="J30" s="1167">
        <f t="shared" si="6"/>
        <v>991.96428571428578</v>
      </c>
      <c r="K30" s="1168" t="s">
        <v>1553</v>
      </c>
      <c r="L30" s="1166"/>
    </row>
    <row r="31" spans="1:13">
      <c r="A31" s="1162"/>
      <c r="B31" s="1164" t="s">
        <v>954</v>
      </c>
      <c r="C31" s="1167">
        <v>95</v>
      </c>
      <c r="D31" s="1167">
        <v>95</v>
      </c>
      <c r="E31" s="1167">
        <v>95</v>
      </c>
      <c r="F31" s="1167">
        <v>95</v>
      </c>
      <c r="G31" s="1167">
        <v>95</v>
      </c>
      <c r="H31" s="1167">
        <v>95</v>
      </c>
      <c r="I31" s="1167">
        <v>95</v>
      </c>
      <c r="J31" s="1167">
        <v>95</v>
      </c>
      <c r="K31" s="1168" t="s">
        <v>255</v>
      </c>
      <c r="L31" s="1166"/>
    </row>
    <row r="32" spans="1:13">
      <c r="A32" s="1162"/>
      <c r="B32" s="1164" t="s">
        <v>952</v>
      </c>
      <c r="C32" s="1167">
        <v>5</v>
      </c>
      <c r="D32" s="1167">
        <v>5</v>
      </c>
      <c r="E32" s="1167">
        <v>5</v>
      </c>
      <c r="F32" s="1167">
        <v>5</v>
      </c>
      <c r="G32" s="1167">
        <v>5</v>
      </c>
      <c r="H32" s="1167">
        <v>5</v>
      </c>
      <c r="I32" s="1167">
        <v>5</v>
      </c>
      <c r="J32" s="1167">
        <v>5</v>
      </c>
      <c r="K32" s="1168" t="s">
        <v>255</v>
      </c>
      <c r="L32" s="1166"/>
    </row>
    <row r="33" spans="1:14">
      <c r="A33" s="1162"/>
      <c r="B33" s="1164" t="s">
        <v>1554</v>
      </c>
      <c r="C33" s="1167">
        <v>7</v>
      </c>
      <c r="D33" s="1167">
        <v>7</v>
      </c>
      <c r="E33" s="1167">
        <v>7</v>
      </c>
      <c r="F33" s="1167">
        <v>7</v>
      </c>
      <c r="G33" s="1167">
        <v>7</v>
      </c>
      <c r="H33" s="1167">
        <v>7</v>
      </c>
      <c r="I33" s="1167">
        <v>7</v>
      </c>
      <c r="J33" s="1167">
        <v>7</v>
      </c>
      <c r="K33" s="1168" t="s">
        <v>1555</v>
      </c>
      <c r="L33" s="1166"/>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642</v>
      </c>
      <c r="C37" s="1173"/>
      <c r="D37" s="1173"/>
      <c r="E37" s="1173"/>
      <c r="F37" s="1173"/>
      <c r="G37" s="1173"/>
      <c r="H37" s="1173"/>
      <c r="I37" s="1173"/>
      <c r="J37" s="1173"/>
      <c r="K37" s="1168"/>
      <c r="L37" s="1166"/>
    </row>
    <row r="38" spans="1:14">
      <c r="A38" s="1162"/>
      <c r="B38" s="1164" t="s">
        <v>1559</v>
      </c>
      <c r="C38" s="1174">
        <v>2.2000000000000002</v>
      </c>
      <c r="D38" s="1174">
        <v>3.5</v>
      </c>
      <c r="E38" s="1174">
        <v>3.8</v>
      </c>
      <c r="F38" s="1174">
        <v>4</v>
      </c>
      <c r="G38" s="1174">
        <v>2.2000000000000002</v>
      </c>
      <c r="H38" s="1174">
        <v>2.2000000000000002</v>
      </c>
      <c r="I38" s="1174">
        <v>3.2</v>
      </c>
      <c r="J38" s="1174">
        <v>4</v>
      </c>
      <c r="K38" s="1168"/>
      <c r="L38" s="1166" t="s">
        <v>1560</v>
      </c>
      <c r="M38" s="1180"/>
    </row>
    <row r="39" spans="1:14" ht="17.100000000000001" customHeight="1">
      <c r="A39" s="1162"/>
      <c r="B39" s="1164" t="s">
        <v>1561</v>
      </c>
      <c r="C39" s="1181">
        <v>20</v>
      </c>
      <c r="D39" s="1181">
        <v>20</v>
      </c>
      <c r="E39" s="1181">
        <v>20</v>
      </c>
      <c r="F39" s="1181">
        <v>20</v>
      </c>
      <c r="G39" s="1181">
        <v>20</v>
      </c>
      <c r="H39" s="1181">
        <v>20</v>
      </c>
      <c r="I39" s="1181">
        <v>20</v>
      </c>
      <c r="J39" s="1181">
        <v>20</v>
      </c>
      <c r="K39" s="1182" t="s">
        <v>393</v>
      </c>
      <c r="L39" s="1183"/>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0"/>
      <c r="E44" s="1390"/>
      <c r="F44" s="1390"/>
      <c r="G44" s="1390"/>
      <c r="H44" s="1390"/>
      <c r="I44" s="1390"/>
      <c r="J44" s="1390"/>
      <c r="K44" s="1390"/>
      <c r="L44" s="1389"/>
      <c r="M44" s="1389"/>
    </row>
    <row r="45" spans="1:14" ht="14.4" hidden="1" customHeight="1">
      <c r="A45" s="1194"/>
      <c r="B45" s="1389"/>
      <c r="C45" s="1390"/>
      <c r="D45" s="1390"/>
      <c r="E45" s="1390"/>
      <c r="F45" s="1390"/>
      <c r="G45" s="1390"/>
      <c r="H45" s="1390"/>
      <c r="I45" s="1390"/>
      <c r="J45" s="1390"/>
      <c r="K45" s="1193"/>
      <c r="L45" s="1389"/>
      <c r="M45" s="1389"/>
    </row>
    <row r="46" spans="1:14" ht="14.4" hidden="1" customHeight="1">
      <c r="A46" s="1193"/>
      <c r="C46" s="1389"/>
      <c r="D46" s="1390"/>
      <c r="E46" s="1390"/>
      <c r="F46" s="1390"/>
      <c r="G46" s="1390"/>
      <c r="H46" s="1390"/>
      <c r="I46" s="1390"/>
      <c r="J46" s="1390"/>
      <c r="K46" s="1390"/>
      <c r="L46" s="1389"/>
      <c r="M46" s="1389"/>
    </row>
    <row r="47" spans="1:14" ht="14.4" hidden="1" customHeight="1">
      <c r="A47" s="1193"/>
      <c r="B47" s="1389"/>
      <c r="C47" s="1390"/>
      <c r="D47" s="1390"/>
      <c r="E47" s="1390"/>
      <c r="F47" s="1390"/>
      <c r="G47" s="1390"/>
      <c r="H47" s="1390"/>
      <c r="I47" s="1390"/>
      <c r="J47" s="1390"/>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4" t="s">
        <v>695</v>
      </c>
      <c r="B50" s="1394"/>
      <c r="C50" s="1190"/>
      <c r="D50" s="1190"/>
      <c r="E50" s="1190"/>
      <c r="F50" s="1190"/>
      <c r="G50" s="1190"/>
      <c r="H50" s="1190"/>
      <c r="I50" s="1190"/>
      <c r="J50" s="1190"/>
      <c r="K50" s="1193"/>
      <c r="L50" s="1389"/>
      <c r="M50" s="1389"/>
    </row>
    <row r="51" spans="1:14">
      <c r="A51" s="820" t="s">
        <v>694</v>
      </c>
      <c r="B51" s="1196" t="s">
        <v>1565</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1567</v>
      </c>
      <c r="C53" s="1200"/>
      <c r="D53" s="1200"/>
      <c r="E53" s="1200"/>
      <c r="F53" s="1200"/>
      <c r="G53" s="1200"/>
      <c r="H53" s="1200"/>
      <c r="I53" s="1200"/>
      <c r="J53" s="1200"/>
      <c r="K53" s="1200"/>
      <c r="L53" s="1200"/>
      <c r="M53" s="1200"/>
    </row>
    <row r="54" spans="1:14">
      <c r="A54" s="820" t="s">
        <v>269</v>
      </c>
      <c r="B54" s="1196" t="s">
        <v>1596</v>
      </c>
      <c r="D54" s="1197"/>
      <c r="E54" s="1197"/>
      <c r="F54" s="1197"/>
      <c r="G54" s="1197"/>
      <c r="H54" s="1197"/>
      <c r="I54" s="1197"/>
      <c r="J54" s="1197"/>
      <c r="K54" s="1197"/>
      <c r="L54" s="1198"/>
      <c r="M54" s="1198"/>
    </row>
    <row r="55" spans="1:14" ht="15" customHeight="1">
      <c r="A55" s="820" t="s">
        <v>266</v>
      </c>
      <c r="B55" s="1196" t="s">
        <v>1591</v>
      </c>
      <c r="C55" s="1196"/>
      <c r="D55" s="1196"/>
      <c r="E55" s="1196"/>
      <c r="F55" s="1196"/>
      <c r="G55" s="1196"/>
      <c r="H55" s="1196"/>
      <c r="I55" s="1196"/>
      <c r="J55" s="1196"/>
      <c r="K55" s="1193"/>
      <c r="L55" s="855"/>
      <c r="M55" s="855"/>
    </row>
    <row r="56" spans="1:14" ht="15" customHeight="1">
      <c r="A56" s="820" t="s">
        <v>255</v>
      </c>
      <c r="B56" s="1196" t="s">
        <v>1597</v>
      </c>
      <c r="C56" s="1196"/>
      <c r="D56" s="1196"/>
      <c r="E56" s="1196"/>
      <c r="F56" s="1196"/>
      <c r="G56" s="1196"/>
      <c r="H56" s="1196"/>
      <c r="I56" s="1196"/>
      <c r="J56" s="1196"/>
      <c r="K56" s="1196"/>
      <c r="L56" s="1196"/>
      <c r="M56" s="1196"/>
    </row>
    <row r="57" spans="1:14" ht="15" customHeight="1">
      <c r="A57" s="820" t="s">
        <v>389</v>
      </c>
      <c r="B57" s="855" t="s">
        <v>1598</v>
      </c>
      <c r="C57" s="855"/>
      <c r="D57" s="855"/>
      <c r="E57" s="855"/>
      <c r="F57" s="855"/>
      <c r="G57" s="855"/>
      <c r="H57" s="855"/>
      <c r="I57" s="855"/>
      <c r="J57" s="855"/>
      <c r="K57" s="855"/>
      <c r="L57" s="855"/>
      <c r="M57" s="855"/>
    </row>
    <row r="58" spans="1:14" ht="15" customHeight="1">
      <c r="A58" s="820" t="s">
        <v>393</v>
      </c>
      <c r="B58" s="855" t="s">
        <v>1599</v>
      </c>
      <c r="C58" s="855"/>
      <c r="D58" s="855"/>
      <c r="E58" s="855"/>
      <c r="F58" s="855"/>
      <c r="G58" s="855"/>
      <c r="H58" s="855"/>
      <c r="I58" s="855"/>
      <c r="J58" s="855"/>
      <c r="K58" s="855"/>
    </row>
    <row r="59" spans="1:14" ht="15" customHeight="1">
      <c r="A59" s="820" t="s">
        <v>675</v>
      </c>
      <c r="B59" s="855" t="s">
        <v>1573</v>
      </c>
      <c r="C59" s="1200"/>
      <c r="D59" s="1200"/>
      <c r="E59" s="1200"/>
      <c r="F59" s="1200"/>
      <c r="G59" s="1200"/>
      <c r="H59" s="1200"/>
      <c r="I59" s="1200"/>
      <c r="J59" s="1200"/>
    </row>
    <row r="60" spans="1:14" ht="15" customHeight="1">
      <c r="A60" s="820" t="s">
        <v>673</v>
      </c>
      <c r="B60" s="854" t="s">
        <v>1600</v>
      </c>
      <c r="C60" s="854"/>
      <c r="D60" s="854"/>
      <c r="E60" s="854"/>
      <c r="F60" s="854"/>
      <c r="G60" s="854"/>
      <c r="H60" s="854"/>
      <c r="I60" s="854"/>
      <c r="J60" s="854"/>
      <c r="K60" s="854"/>
      <c r="L60" s="854"/>
      <c r="M60" s="854"/>
      <c r="N60" s="854"/>
    </row>
    <row r="61" spans="1:14" ht="15" customHeight="1">
      <c r="A61" s="820" t="s">
        <v>671</v>
      </c>
      <c r="B61" s="854" t="s">
        <v>1575</v>
      </c>
      <c r="C61" s="854"/>
      <c r="D61" s="854"/>
      <c r="E61" s="854"/>
      <c r="F61" s="854"/>
      <c r="G61" s="854"/>
      <c r="H61" s="854"/>
      <c r="I61" s="854"/>
      <c r="J61" s="854"/>
      <c r="K61" s="854"/>
      <c r="L61" s="854"/>
      <c r="M61" s="854"/>
      <c r="N61" s="854"/>
    </row>
    <row r="62" spans="1:14">
      <c r="A62" s="820" t="s">
        <v>786</v>
      </c>
      <c r="B62" s="1201" t="s">
        <v>1576</v>
      </c>
      <c r="C62" s="1202"/>
      <c r="D62" s="1202"/>
      <c r="E62" s="1202"/>
      <c r="F62" s="1202"/>
      <c r="G62" s="1202"/>
      <c r="H62" s="1202"/>
      <c r="I62" s="1202"/>
      <c r="J62" s="1202"/>
      <c r="K62" s="1202"/>
      <c r="L62" s="1202"/>
      <c r="M62" s="1202"/>
      <c r="N62" s="1202"/>
    </row>
    <row r="63" spans="1:14" ht="15" customHeight="1">
      <c r="A63" s="820" t="s">
        <v>1335</v>
      </c>
      <c r="B63" s="854" t="s">
        <v>1577</v>
      </c>
      <c r="C63" s="854"/>
      <c r="D63" s="854"/>
      <c r="E63" s="854"/>
      <c r="F63" s="854"/>
      <c r="G63" s="854"/>
      <c r="H63" s="854"/>
      <c r="I63" s="854"/>
      <c r="J63" s="854"/>
      <c r="K63" s="854"/>
      <c r="L63" s="854"/>
      <c r="M63" s="854"/>
      <c r="N63" s="854"/>
    </row>
    <row r="64" spans="1:14">
      <c r="A64" s="820" t="s">
        <v>742</v>
      </c>
      <c r="B64" s="1201" t="s">
        <v>1578</v>
      </c>
      <c r="C64" s="1202"/>
      <c r="D64" s="1202"/>
      <c r="E64" s="1202"/>
      <c r="F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854" t="s">
        <v>1581</v>
      </c>
      <c r="D68" s="1205"/>
      <c r="E68" s="1205"/>
      <c r="F68" s="1205"/>
      <c r="G68" s="1205"/>
      <c r="H68" s="1205"/>
      <c r="I68" s="1205"/>
      <c r="J68" s="1205"/>
      <c r="K68" s="1205"/>
    </row>
    <row r="69" spans="1:14">
      <c r="A69" s="1162">
        <v>24</v>
      </c>
      <c r="B69" s="854" t="s">
        <v>1583</v>
      </c>
      <c r="D69" s="1205"/>
      <c r="E69" s="1205"/>
      <c r="F69" s="1205"/>
      <c r="G69" s="1205"/>
      <c r="H69" s="1205"/>
      <c r="I69" s="1205"/>
      <c r="J69" s="1205"/>
      <c r="K69" s="1205"/>
    </row>
    <row r="70" spans="1:14">
      <c r="A70" s="1162">
        <v>26</v>
      </c>
      <c r="B70" s="854" t="s">
        <v>1584</v>
      </c>
      <c r="D70" s="1205"/>
      <c r="E70" s="1205"/>
      <c r="F70" s="1205"/>
      <c r="G70" s="1205"/>
      <c r="H70" s="1205"/>
      <c r="I70" s="1205"/>
      <c r="J70" s="1205"/>
      <c r="K70" s="1205"/>
    </row>
    <row r="71" spans="1:14">
      <c r="A71">
        <v>27</v>
      </c>
      <c r="B71" s="854" t="s">
        <v>1585</v>
      </c>
    </row>
  </sheetData>
  <mergeCells count="17">
    <mergeCell ref="L48:M48"/>
    <mergeCell ref="L49:M49"/>
    <mergeCell ref="A50:B50"/>
    <mergeCell ref="L50:M50"/>
    <mergeCell ref="B45:J45"/>
    <mergeCell ref="L45:M45"/>
    <mergeCell ref="C46:K46"/>
    <mergeCell ref="L46:M46"/>
    <mergeCell ref="B47:J47"/>
    <mergeCell ref="L47:M47"/>
    <mergeCell ref="C44:K44"/>
    <mergeCell ref="L44:M44"/>
    <mergeCell ref="C3:L3"/>
    <mergeCell ref="G4:H4"/>
    <mergeCell ref="I4:J4"/>
    <mergeCell ref="A43:I43"/>
    <mergeCell ref="L43:M43"/>
  </mergeCells>
  <hyperlinks>
    <hyperlink ref="C3" location="INDEX" display="Biogas plant, additional straw input in the feedstock mix" xr:uid="{421CD388-FC1F-436D-AA22-0DD357D86113}"/>
  </hyperlinks>
  <pageMargins left="0.7" right="0.7" top="0.75" bottom="0.75" header="0.3" footer="0.3"/>
  <pageSetup paperSize="9" orientation="portrait"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B879C-54A1-4958-A611-8E9094803C5A}">
  <sheetPr>
    <tabColor theme="4" tint="0.39997558519241921"/>
  </sheetPr>
  <dimension ref="A2:N71"/>
  <sheetViews>
    <sheetView showGridLines="0"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1" t="s">
        <v>1601</v>
      </c>
      <c r="D3" s="1392"/>
      <c r="E3" s="1392"/>
      <c r="F3" s="1392"/>
      <c r="G3" s="1392"/>
      <c r="H3" s="1392"/>
      <c r="I3" s="1392"/>
      <c r="J3" s="1392"/>
      <c r="K3" s="1392"/>
      <c r="L3" s="1392"/>
    </row>
    <row r="4" spans="1:13">
      <c r="A4" s="1162"/>
      <c r="B4" s="1164"/>
      <c r="C4" s="1165">
        <v>2020</v>
      </c>
      <c r="D4" s="1165">
        <v>2030</v>
      </c>
      <c r="E4" s="1165">
        <v>2040</v>
      </c>
      <c r="F4" s="1165">
        <v>2050</v>
      </c>
      <c r="G4" s="1393" t="s">
        <v>290</v>
      </c>
      <c r="H4" s="1393"/>
      <c r="I4" s="1393" t="s">
        <v>289</v>
      </c>
      <c r="J4" s="1393"/>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100</v>
      </c>
      <c r="D6" s="1167">
        <v>100</v>
      </c>
      <c r="E6" s="1167">
        <v>100</v>
      </c>
      <c r="F6" s="1167">
        <v>100</v>
      </c>
      <c r="G6" s="1167">
        <v>100</v>
      </c>
      <c r="H6" s="1167">
        <v>100</v>
      </c>
      <c r="I6" s="1167">
        <v>100</v>
      </c>
      <c r="J6" s="1167">
        <v>100</v>
      </c>
      <c r="K6" s="1168"/>
      <c r="L6" s="1166"/>
    </row>
    <row r="7" spans="1:13">
      <c r="A7" s="1162"/>
      <c r="B7" s="1164" t="s">
        <v>1536</v>
      </c>
      <c r="C7" s="1167">
        <f>C6*3600*(C15/100)*24/120</f>
        <v>41760</v>
      </c>
      <c r="D7" s="1167">
        <f t="shared" ref="D7:J7" si="0">D6*3600*(D15/100)*24/120</f>
        <v>47160</v>
      </c>
      <c r="E7" s="1167">
        <f t="shared" si="0"/>
        <v>48960.000000000007</v>
      </c>
      <c r="F7" s="1167">
        <f t="shared" si="0"/>
        <v>50760</v>
      </c>
      <c r="G7" s="1167">
        <f t="shared" si="0"/>
        <v>43200</v>
      </c>
      <c r="H7" s="1167">
        <f t="shared" si="0"/>
        <v>46080</v>
      </c>
      <c r="I7" s="1167">
        <f t="shared" si="0"/>
        <v>48960.000000000007</v>
      </c>
      <c r="J7" s="1167">
        <f t="shared" si="0"/>
        <v>50399.999999999993</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C21+(C21*8)</f>
        <v>156.6156615661566</v>
      </c>
      <c r="D12" s="1167">
        <f t="shared" ref="D12:J12" si="1">D21+(D21*8)</f>
        <v>176.86768676867689</v>
      </c>
      <c r="E12" s="1167">
        <f t="shared" si="1"/>
        <v>183.61836183618362</v>
      </c>
      <c r="F12" s="1167">
        <f t="shared" si="1"/>
        <v>190.36903690369036</v>
      </c>
      <c r="G12" s="1167">
        <f t="shared" si="1"/>
        <v>162.01620162016201</v>
      </c>
      <c r="H12" s="1167">
        <f t="shared" si="1"/>
        <v>172.81728172817284</v>
      </c>
      <c r="I12" s="1167">
        <f t="shared" si="1"/>
        <v>183.61836183618362</v>
      </c>
      <c r="J12" s="1167">
        <f t="shared" si="1"/>
        <v>189.01890189018903</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(56+60)/2</f>
        <v>58</v>
      </c>
      <c r="D15" s="1174">
        <f>(63+68)/2</f>
        <v>65.5</v>
      </c>
      <c r="E15" s="1174">
        <f>(D15+F15)/2</f>
        <v>68</v>
      </c>
      <c r="F15" s="1174">
        <f>(67+74)/2</f>
        <v>70.5</v>
      </c>
      <c r="G15" s="1174">
        <v>60</v>
      </c>
      <c r="H15" s="1174">
        <v>64</v>
      </c>
      <c r="I15" s="1174">
        <v>68</v>
      </c>
      <c r="J15" s="1174">
        <v>70</v>
      </c>
      <c r="K15" s="1168" t="s">
        <v>692</v>
      </c>
      <c r="L15" s="1166" t="s">
        <v>1541</v>
      </c>
      <c r="M15" s="1175"/>
    </row>
    <row r="16" spans="1:13">
      <c r="A16" s="1162"/>
      <c r="B16" s="1164" t="s">
        <v>1542</v>
      </c>
      <c r="C16" s="1174">
        <f>(C21*39.4/1000*100)-C15</f>
        <v>10.562856285628555</v>
      </c>
      <c r="D16" s="1174">
        <f t="shared" ref="D16:J16" si="2">(D21*39.4/1000*100)-D15</f>
        <v>11.928742874287437</v>
      </c>
      <c r="E16" s="1174">
        <f t="shared" si="2"/>
        <v>12.384038403840378</v>
      </c>
      <c r="F16" s="1174">
        <f t="shared" si="2"/>
        <v>12.83933393339332</v>
      </c>
      <c r="G16" s="1174">
        <f t="shared" si="2"/>
        <v>10.927092709270923</v>
      </c>
      <c r="H16" s="1174">
        <f t="shared" si="2"/>
        <v>11.655565556555672</v>
      </c>
      <c r="I16" s="1174">
        <f t="shared" si="2"/>
        <v>12.384038403840378</v>
      </c>
      <c r="J16" s="1174">
        <f t="shared" si="2"/>
        <v>12.748274827482746</v>
      </c>
      <c r="K16" s="1168" t="s">
        <v>742</v>
      </c>
      <c r="L16" s="1166"/>
    </row>
    <row r="17" spans="1:13">
      <c r="A17" s="1162"/>
      <c r="B17" s="1164" t="s">
        <v>1543</v>
      </c>
      <c r="C17" s="1174">
        <f>100-C15-C16</f>
        <v>31.437143714371445</v>
      </c>
      <c r="D17" s="1174">
        <f t="shared" ref="D17:J17" si="3">100-D15-D16</f>
        <v>22.571257125712563</v>
      </c>
      <c r="E17" s="1174">
        <f t="shared" si="3"/>
        <v>19.615961596159622</v>
      </c>
      <c r="F17" s="1174">
        <f t="shared" si="3"/>
        <v>16.66066606660668</v>
      </c>
      <c r="G17" s="1174">
        <f t="shared" si="3"/>
        <v>29.072907290729077</v>
      </c>
      <c r="H17" s="1174">
        <f t="shared" si="3"/>
        <v>24.344434443444328</v>
      </c>
      <c r="I17" s="1174">
        <f t="shared" si="3"/>
        <v>19.615961596159622</v>
      </c>
      <c r="J17" s="1174">
        <f t="shared" si="3"/>
        <v>17.251725172517254</v>
      </c>
      <c r="K17" s="1168"/>
      <c r="L17" s="1166"/>
    </row>
    <row r="18" spans="1:13">
      <c r="A18" s="1162"/>
      <c r="B18" s="1164" t="s">
        <v>1544</v>
      </c>
      <c r="C18" s="1174">
        <v>3</v>
      </c>
      <c r="D18" s="1174">
        <v>3</v>
      </c>
      <c r="E18" s="1174">
        <v>3</v>
      </c>
      <c r="F18" s="1174">
        <v>3</v>
      </c>
      <c r="G18" s="1174">
        <v>3</v>
      </c>
      <c r="H18" s="1174">
        <v>3</v>
      </c>
      <c r="I18" s="1174">
        <v>3</v>
      </c>
      <c r="J18" s="1174">
        <v>3</v>
      </c>
      <c r="K18" s="1168" t="s">
        <v>694</v>
      </c>
      <c r="L18" s="1166"/>
    </row>
    <row r="19" spans="1:13" ht="14.4" customHeight="1">
      <c r="A19" s="1162"/>
      <c r="B19" s="1164" t="s">
        <v>1545</v>
      </c>
      <c r="C19" s="1174">
        <f>C17-C18</f>
        <v>28.437143714371445</v>
      </c>
      <c r="D19" s="1174">
        <f t="shared" ref="D19:J19" si="4">D17-D18</f>
        <v>19.571257125712563</v>
      </c>
      <c r="E19" s="1174">
        <f t="shared" si="4"/>
        <v>16.615961596159622</v>
      </c>
      <c r="F19" s="1174">
        <f t="shared" si="4"/>
        <v>13.66066606660668</v>
      </c>
      <c r="G19" s="1174">
        <f t="shared" si="4"/>
        <v>26.072907290729077</v>
      </c>
      <c r="H19" s="1174">
        <f t="shared" si="4"/>
        <v>21.344434443444328</v>
      </c>
      <c r="I19" s="1174">
        <f t="shared" si="4"/>
        <v>16.615961596159622</v>
      </c>
      <c r="J19" s="1174">
        <f t="shared" si="4"/>
        <v>14.251725172517254</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C15/33.33*1000/100</f>
        <v>17.401740174017402</v>
      </c>
      <c r="D21" s="1174">
        <f t="shared" ref="D21:J21" si="5">D15/33.33*1000/100</f>
        <v>19.651965196519654</v>
      </c>
      <c r="E21" s="1174">
        <f t="shared" si="5"/>
        <v>20.402040204020402</v>
      </c>
      <c r="F21" s="1174">
        <f t="shared" si="5"/>
        <v>21.152115211521149</v>
      </c>
      <c r="G21" s="1174">
        <f t="shared" si="5"/>
        <v>18.001800180018002</v>
      </c>
      <c r="H21" s="1174">
        <f>H15/33.33*1000/100</f>
        <v>19.201920192019205</v>
      </c>
      <c r="I21" s="1174">
        <f t="shared" si="5"/>
        <v>20.402040204020402</v>
      </c>
      <c r="J21" s="1174">
        <f t="shared" si="5"/>
        <v>21.002100210021002</v>
      </c>
      <c r="K21" s="1168"/>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20</v>
      </c>
      <c r="D25" s="1167">
        <v>25</v>
      </c>
      <c r="E25" s="1167">
        <v>28</v>
      </c>
      <c r="F25" s="1167">
        <v>30</v>
      </c>
      <c r="G25" s="1167">
        <v>20</v>
      </c>
      <c r="H25" s="1167">
        <v>20</v>
      </c>
      <c r="I25" s="1167">
        <v>25</v>
      </c>
      <c r="J25" s="1167">
        <v>30</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1549</v>
      </c>
      <c r="C28" s="1173"/>
      <c r="D28" s="1173"/>
      <c r="E28" s="1173"/>
      <c r="F28" s="1173"/>
      <c r="G28" s="1173"/>
      <c r="H28" s="1173"/>
      <c r="I28" s="1173"/>
      <c r="J28" s="1173"/>
      <c r="K28" s="1168"/>
      <c r="L28" s="1166"/>
    </row>
    <row r="29" spans="1:13">
      <c r="A29" s="1162"/>
      <c r="B29" s="1164" t="s">
        <v>1550</v>
      </c>
      <c r="C29" s="1167">
        <v>925</v>
      </c>
      <c r="D29" s="1167">
        <v>650</v>
      </c>
      <c r="E29" s="1167">
        <v>450</v>
      </c>
      <c r="F29" s="1167">
        <v>400</v>
      </c>
      <c r="G29" s="1167">
        <v>700</v>
      </c>
      <c r="H29" s="1167">
        <v>1250</v>
      </c>
      <c r="I29" s="1167">
        <v>300</v>
      </c>
      <c r="J29" s="1167">
        <v>500</v>
      </c>
      <c r="K29" s="1168" t="s">
        <v>1551</v>
      </c>
      <c r="L29" s="1166"/>
      <c r="M29" s="1178"/>
    </row>
    <row r="30" spans="1:13">
      <c r="A30" s="1162"/>
      <c r="B30" s="1164" t="s">
        <v>1552</v>
      </c>
      <c r="C30" s="1167">
        <f t="shared" ref="C30:J30" si="6">(C21/1000)^-1/24*C29</f>
        <v>2214.8168103448279</v>
      </c>
      <c r="D30" s="1167">
        <f t="shared" si="6"/>
        <v>1378.1488549618321</v>
      </c>
      <c r="E30" s="1167">
        <f t="shared" si="6"/>
        <v>919.02573529411768</v>
      </c>
      <c r="F30" s="1167">
        <f t="shared" si="6"/>
        <v>787.94326241134763</v>
      </c>
      <c r="G30" s="1167">
        <f t="shared" si="6"/>
        <v>1620.2083333333333</v>
      </c>
      <c r="H30" s="1167">
        <f t="shared" si="6"/>
        <v>2712.4023437499995</v>
      </c>
      <c r="I30" s="1167">
        <f t="shared" si="6"/>
        <v>612.68382352941182</v>
      </c>
      <c r="J30" s="1167">
        <f t="shared" si="6"/>
        <v>991.96428571428578</v>
      </c>
      <c r="K30" s="1168" t="s">
        <v>1553</v>
      </c>
      <c r="L30" s="1166"/>
    </row>
    <row r="31" spans="1:13">
      <c r="A31" s="1162"/>
      <c r="B31" s="1164" t="s">
        <v>954</v>
      </c>
      <c r="C31" s="1167">
        <v>90</v>
      </c>
      <c r="D31" s="1167">
        <v>90</v>
      </c>
      <c r="E31" s="1167">
        <v>90</v>
      </c>
      <c r="F31" s="1167">
        <v>90</v>
      </c>
      <c r="G31" s="1167">
        <v>90</v>
      </c>
      <c r="H31" s="1167">
        <v>90</v>
      </c>
      <c r="I31" s="1167">
        <v>90</v>
      </c>
      <c r="J31" s="1167">
        <v>90</v>
      </c>
      <c r="K31" s="1168" t="s">
        <v>255</v>
      </c>
      <c r="L31" s="1166"/>
    </row>
    <row r="32" spans="1:13">
      <c r="A32" s="1162"/>
      <c r="B32" s="1164" t="s">
        <v>952</v>
      </c>
      <c r="C32" s="1167">
        <v>10</v>
      </c>
      <c r="D32" s="1167">
        <v>10</v>
      </c>
      <c r="E32" s="1167">
        <v>10</v>
      </c>
      <c r="F32" s="1167">
        <v>10</v>
      </c>
      <c r="G32" s="1167">
        <v>10</v>
      </c>
      <c r="H32" s="1167">
        <v>10</v>
      </c>
      <c r="I32" s="1167">
        <v>10</v>
      </c>
      <c r="J32" s="1167">
        <v>10</v>
      </c>
      <c r="K32" s="1168" t="s">
        <v>255</v>
      </c>
      <c r="L32" s="1166"/>
    </row>
    <row r="33" spans="1:14">
      <c r="A33" s="1162"/>
      <c r="B33" s="1164" t="s">
        <v>1554</v>
      </c>
      <c r="C33" s="1167">
        <v>4</v>
      </c>
      <c r="D33" s="1167">
        <v>4</v>
      </c>
      <c r="E33" s="1167">
        <v>4</v>
      </c>
      <c r="F33" s="1167">
        <v>4</v>
      </c>
      <c r="G33" s="1167">
        <v>4</v>
      </c>
      <c r="H33" s="1167">
        <v>4</v>
      </c>
      <c r="I33" s="1167">
        <v>4</v>
      </c>
      <c r="J33" s="1167">
        <v>4</v>
      </c>
      <c r="K33" s="1168" t="s">
        <v>1555</v>
      </c>
      <c r="L33" s="1166"/>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642</v>
      </c>
      <c r="C37" s="1173"/>
      <c r="D37" s="1173"/>
      <c r="E37" s="1173"/>
      <c r="F37" s="1173"/>
      <c r="G37" s="1173"/>
      <c r="H37" s="1173"/>
      <c r="I37" s="1173"/>
      <c r="J37" s="1173"/>
      <c r="K37" s="1168"/>
      <c r="L37" s="1166"/>
    </row>
    <row r="38" spans="1:14">
      <c r="A38" s="1162"/>
      <c r="B38" s="1164" t="s">
        <v>1559</v>
      </c>
      <c r="C38" s="1174">
        <v>2.2000000000000002</v>
      </c>
      <c r="D38" s="1174">
        <v>3.5</v>
      </c>
      <c r="E38" s="1174">
        <v>3.8</v>
      </c>
      <c r="F38" s="1174">
        <v>4</v>
      </c>
      <c r="G38" s="1174">
        <v>2.2000000000000002</v>
      </c>
      <c r="H38" s="1174">
        <v>2.2000000000000002</v>
      </c>
      <c r="I38" s="1174">
        <v>3.2</v>
      </c>
      <c r="J38" s="1174">
        <v>4</v>
      </c>
      <c r="K38" s="1168"/>
      <c r="L38" s="1166" t="s">
        <v>1560</v>
      </c>
      <c r="M38" s="1180"/>
    </row>
    <row r="39" spans="1:14" ht="17.100000000000001" customHeight="1">
      <c r="A39" s="1162"/>
      <c r="B39" s="1164" t="s">
        <v>1561</v>
      </c>
      <c r="C39" s="1181">
        <v>20</v>
      </c>
      <c r="D39" s="1181">
        <v>20</v>
      </c>
      <c r="E39" s="1181">
        <v>20</v>
      </c>
      <c r="F39" s="1181">
        <v>20</v>
      </c>
      <c r="G39" s="1181">
        <v>20</v>
      </c>
      <c r="H39" s="1181">
        <v>20</v>
      </c>
      <c r="I39" s="1181">
        <v>20</v>
      </c>
      <c r="J39" s="1181">
        <v>20</v>
      </c>
      <c r="K39" s="1182" t="s">
        <v>393</v>
      </c>
      <c r="L39" s="1183"/>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0"/>
      <c r="E44" s="1390"/>
      <c r="F44" s="1390"/>
      <c r="G44" s="1390"/>
      <c r="H44" s="1390"/>
      <c r="I44" s="1390"/>
      <c r="J44" s="1390"/>
      <c r="K44" s="1390"/>
      <c r="L44" s="1389"/>
      <c r="M44" s="1389"/>
    </row>
    <row r="45" spans="1:14" ht="14.4" hidden="1" customHeight="1">
      <c r="A45" s="1194"/>
      <c r="B45" s="1389"/>
      <c r="C45" s="1390"/>
      <c r="D45" s="1390"/>
      <c r="E45" s="1390"/>
      <c r="F45" s="1390"/>
      <c r="G45" s="1390"/>
      <c r="H45" s="1390"/>
      <c r="I45" s="1390"/>
      <c r="J45" s="1390"/>
      <c r="K45" s="1193"/>
      <c r="L45" s="1389"/>
      <c r="M45" s="1389"/>
    </row>
    <row r="46" spans="1:14" ht="14.4" hidden="1" customHeight="1">
      <c r="A46" s="1193"/>
      <c r="C46" s="1389"/>
      <c r="D46" s="1390"/>
      <c r="E46" s="1390"/>
      <c r="F46" s="1390"/>
      <c r="G46" s="1390"/>
      <c r="H46" s="1390"/>
      <c r="I46" s="1390"/>
      <c r="J46" s="1390"/>
      <c r="K46" s="1390"/>
      <c r="L46" s="1389"/>
      <c r="M46" s="1389"/>
    </row>
    <row r="47" spans="1:14" ht="14.4" hidden="1" customHeight="1">
      <c r="A47" s="1193"/>
      <c r="B47" s="1389"/>
      <c r="C47" s="1390"/>
      <c r="D47" s="1390"/>
      <c r="E47" s="1390"/>
      <c r="F47" s="1390"/>
      <c r="G47" s="1390"/>
      <c r="H47" s="1390"/>
      <c r="I47" s="1390"/>
      <c r="J47" s="1390"/>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4" t="s">
        <v>695</v>
      </c>
      <c r="B50" s="1394"/>
      <c r="C50" s="1190"/>
      <c r="D50" s="1190"/>
      <c r="E50" s="1190"/>
      <c r="F50" s="1190"/>
      <c r="G50" s="1190"/>
      <c r="H50" s="1190"/>
      <c r="I50" s="1190"/>
      <c r="J50" s="1190"/>
      <c r="K50" s="1193"/>
      <c r="L50" s="1389"/>
      <c r="M50" s="1389"/>
    </row>
    <row r="51" spans="1:14">
      <c r="A51" s="820" t="s">
        <v>694</v>
      </c>
      <c r="B51" s="1196" t="s">
        <v>1588</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1567</v>
      </c>
      <c r="C53" s="1200"/>
      <c r="D53" s="1200"/>
      <c r="E53" s="1200"/>
      <c r="F53" s="1200"/>
      <c r="G53" s="1200"/>
      <c r="H53" s="1200"/>
      <c r="I53" s="1200"/>
      <c r="J53" s="1200"/>
      <c r="K53" s="1200"/>
      <c r="L53" s="1200"/>
      <c r="M53" s="1200"/>
    </row>
    <row r="54" spans="1:14">
      <c r="A54" s="820" t="s">
        <v>269</v>
      </c>
      <c r="B54" s="1196" t="s">
        <v>1596</v>
      </c>
      <c r="D54" s="1197"/>
      <c r="E54" s="1197"/>
      <c r="F54" s="1197"/>
      <c r="G54" s="1197"/>
      <c r="H54" s="1197"/>
      <c r="I54" s="1197"/>
      <c r="J54" s="1197"/>
      <c r="K54" s="1197"/>
      <c r="L54" s="1198"/>
      <c r="M54" s="1198"/>
    </row>
    <row r="55" spans="1:14" ht="15" customHeight="1">
      <c r="A55" s="820" t="s">
        <v>266</v>
      </c>
      <c r="B55" s="1196" t="s">
        <v>1591</v>
      </c>
      <c r="C55" s="1196"/>
      <c r="D55" s="1196"/>
      <c r="E55" s="1196"/>
      <c r="F55" s="1196"/>
      <c r="G55" s="1196"/>
      <c r="H55" s="1196"/>
      <c r="I55" s="1196"/>
      <c r="J55" s="1196"/>
      <c r="K55" s="1193"/>
      <c r="L55" s="855"/>
      <c r="M55" s="855"/>
    </row>
    <row r="56" spans="1:14" ht="15" customHeight="1">
      <c r="A56" s="820" t="s">
        <v>255</v>
      </c>
      <c r="B56" s="1196" t="s">
        <v>1597</v>
      </c>
      <c r="C56" s="1196"/>
      <c r="D56" s="1196"/>
      <c r="E56" s="1196"/>
      <c r="F56" s="1196"/>
      <c r="G56" s="1196"/>
      <c r="H56" s="1196"/>
      <c r="I56" s="1196"/>
      <c r="J56" s="1196"/>
      <c r="K56" s="1196"/>
      <c r="L56" s="1196"/>
      <c r="M56" s="1196"/>
    </row>
    <row r="57" spans="1:14" ht="15" customHeight="1">
      <c r="A57" s="820" t="s">
        <v>389</v>
      </c>
      <c r="B57" s="855" t="s">
        <v>1602</v>
      </c>
      <c r="C57" s="855"/>
      <c r="D57" s="855"/>
      <c r="E57" s="855"/>
      <c r="F57" s="855"/>
      <c r="G57" s="855"/>
      <c r="H57" s="855"/>
      <c r="I57" s="855"/>
      <c r="J57" s="855"/>
      <c r="K57" s="855"/>
      <c r="L57" s="855"/>
      <c r="M57" s="855"/>
    </row>
    <row r="58" spans="1:14" ht="15" customHeight="1">
      <c r="A58" s="820" t="s">
        <v>393</v>
      </c>
      <c r="B58" s="855" t="s">
        <v>1599</v>
      </c>
      <c r="C58" s="855"/>
      <c r="D58" s="855"/>
      <c r="E58" s="855"/>
      <c r="F58" s="855"/>
      <c r="G58" s="855"/>
      <c r="H58" s="855"/>
      <c r="I58" s="855"/>
      <c r="J58" s="855"/>
      <c r="K58" s="855"/>
    </row>
    <row r="59" spans="1:14" ht="15" customHeight="1">
      <c r="A59" s="820" t="s">
        <v>675</v>
      </c>
      <c r="B59" s="854" t="s">
        <v>1573</v>
      </c>
      <c r="C59" s="1200"/>
      <c r="D59" s="1200"/>
      <c r="E59" s="1200"/>
      <c r="F59" s="1200"/>
      <c r="G59" s="1200"/>
      <c r="H59" s="1200"/>
      <c r="I59" s="1200"/>
      <c r="J59" s="1200"/>
    </row>
    <row r="60" spans="1:14" ht="15" customHeight="1">
      <c r="A60" s="820" t="s">
        <v>673</v>
      </c>
      <c r="B60" s="854" t="s">
        <v>1600</v>
      </c>
      <c r="C60" s="854"/>
      <c r="D60" s="854"/>
      <c r="E60" s="854"/>
      <c r="F60" s="854"/>
      <c r="G60" s="854"/>
      <c r="H60" s="854"/>
      <c r="I60" s="854"/>
      <c r="J60" s="854"/>
      <c r="K60" s="854"/>
      <c r="L60" s="854"/>
      <c r="M60" s="854"/>
      <c r="N60" s="854"/>
    </row>
    <row r="61" spans="1:14" ht="15" customHeight="1">
      <c r="A61" s="820" t="s">
        <v>671</v>
      </c>
      <c r="B61" s="1201" t="s">
        <v>1575</v>
      </c>
      <c r="C61" s="854"/>
      <c r="D61" s="854"/>
      <c r="E61" s="854"/>
      <c r="F61" s="854"/>
      <c r="G61" s="854"/>
      <c r="H61" s="854"/>
      <c r="I61" s="854"/>
      <c r="J61" s="854"/>
      <c r="K61" s="854"/>
      <c r="L61" s="854"/>
      <c r="M61" s="854"/>
      <c r="N61" s="854"/>
    </row>
    <row r="62" spans="1:14">
      <c r="A62" s="820" t="s">
        <v>786</v>
      </c>
      <c r="B62" s="854" t="s">
        <v>1576</v>
      </c>
      <c r="C62" s="1202"/>
      <c r="D62" s="1202"/>
      <c r="E62" s="1202"/>
      <c r="F62" s="1202"/>
      <c r="G62" s="1202"/>
      <c r="H62" s="1202"/>
      <c r="I62" s="1202"/>
      <c r="J62" s="1202"/>
      <c r="K62" s="1202"/>
      <c r="L62" s="1202"/>
      <c r="M62" s="1202"/>
      <c r="N62" s="1202"/>
    </row>
    <row r="63" spans="1:14" ht="15" customHeight="1">
      <c r="A63" s="820" t="s">
        <v>1335</v>
      </c>
      <c r="B63" s="1201" t="s">
        <v>1577</v>
      </c>
      <c r="C63" s="854"/>
      <c r="D63" s="854"/>
      <c r="E63" s="854"/>
      <c r="F63" s="854"/>
      <c r="G63" s="854"/>
      <c r="H63" s="854"/>
      <c r="I63" s="854"/>
      <c r="J63" s="854"/>
      <c r="K63" s="854"/>
      <c r="L63" s="854"/>
      <c r="M63" s="854"/>
      <c r="N63" s="854"/>
    </row>
    <row r="64" spans="1:14">
      <c r="A64" s="820" t="s">
        <v>742</v>
      </c>
      <c r="B64" s="855" t="s">
        <v>1578</v>
      </c>
      <c r="C64" s="1202"/>
      <c r="D64" s="1202"/>
      <c r="E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854" t="s">
        <v>1581</v>
      </c>
      <c r="D68" s="1205"/>
      <c r="E68" s="1205"/>
      <c r="F68" s="1205"/>
      <c r="G68" s="1205"/>
      <c r="H68" s="1205"/>
      <c r="I68" s="1205"/>
      <c r="J68" s="1205"/>
      <c r="K68" s="1205"/>
    </row>
    <row r="69" spans="1:14">
      <c r="A69" s="1162">
        <v>24</v>
      </c>
      <c r="B69" s="854" t="s">
        <v>1583</v>
      </c>
      <c r="D69" s="1205"/>
      <c r="E69" s="1205"/>
      <c r="F69" s="1205"/>
      <c r="G69" s="1205"/>
      <c r="H69" s="1205"/>
      <c r="I69" s="1205"/>
      <c r="J69" s="1205"/>
      <c r="K69" s="1205"/>
    </row>
    <row r="70" spans="1:14">
      <c r="A70" s="1162">
        <v>26</v>
      </c>
      <c r="B70" s="854" t="s">
        <v>1584</v>
      </c>
      <c r="D70" s="1205"/>
      <c r="E70" s="1205"/>
      <c r="F70" s="1205"/>
      <c r="G70" s="1205"/>
      <c r="H70" s="1205"/>
      <c r="I70" s="1205"/>
      <c r="J70" s="1205"/>
      <c r="K70" s="1205"/>
    </row>
    <row r="71" spans="1:14">
      <c r="A71">
        <v>27</v>
      </c>
      <c r="B71" s="854" t="s">
        <v>1585</v>
      </c>
    </row>
  </sheetData>
  <mergeCells count="17">
    <mergeCell ref="L48:M48"/>
    <mergeCell ref="L49:M49"/>
    <mergeCell ref="A50:B50"/>
    <mergeCell ref="L50:M50"/>
    <mergeCell ref="B45:J45"/>
    <mergeCell ref="L45:M45"/>
    <mergeCell ref="C46:K46"/>
    <mergeCell ref="L46:M46"/>
    <mergeCell ref="B47:J47"/>
    <mergeCell ref="L47:M47"/>
    <mergeCell ref="C44:K44"/>
    <mergeCell ref="L44:M44"/>
    <mergeCell ref="C3:L3"/>
    <mergeCell ref="G4:H4"/>
    <mergeCell ref="I4:J4"/>
    <mergeCell ref="A43:I43"/>
    <mergeCell ref="L43:M43"/>
  </mergeCells>
  <hyperlinks>
    <hyperlink ref="C3" location="INDEX" display="Biogas plant, additional straw input in the feedstock mix" xr:uid="{AA67AC9D-BBF1-40AB-BE36-BB82CF45F81B}"/>
  </hyperlinks>
  <pageMargins left="0.7" right="0.7" top="0.75" bottom="0.75" header="0.3" footer="0.3"/>
  <pageSetup paperSize="9" orientation="portrait"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F2CF2-E1AD-45C8-8BB1-DFE2DA6C4806}">
  <sheetPr>
    <tabColor theme="4" tint="0.39997558519241921"/>
  </sheetPr>
  <dimension ref="A2:N63"/>
  <sheetViews>
    <sheetView showGridLines="0"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1" t="s">
        <v>1603</v>
      </c>
      <c r="D3" s="1392"/>
      <c r="E3" s="1392"/>
      <c r="F3" s="1392"/>
      <c r="G3" s="1392"/>
      <c r="H3" s="1392"/>
      <c r="I3" s="1392"/>
      <c r="J3" s="1392"/>
      <c r="K3" s="1392"/>
      <c r="L3" s="1392"/>
    </row>
    <row r="4" spans="1:13">
      <c r="A4" s="1162"/>
      <c r="B4" s="1164"/>
      <c r="C4" s="1165">
        <v>2020</v>
      </c>
      <c r="D4" s="1165">
        <v>2030</v>
      </c>
      <c r="E4" s="1165">
        <v>2040</v>
      </c>
      <c r="F4" s="1165">
        <v>2050</v>
      </c>
      <c r="G4" s="1393" t="s">
        <v>290</v>
      </c>
      <c r="H4" s="1393"/>
      <c r="I4" s="1393" t="s">
        <v>289</v>
      </c>
      <c r="J4" s="1393"/>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964</v>
      </c>
      <c r="C6" s="1167">
        <v>1</v>
      </c>
      <c r="D6" s="1167">
        <v>1</v>
      </c>
      <c r="E6" s="1167">
        <v>1</v>
      </c>
      <c r="F6" s="1167">
        <v>1</v>
      </c>
      <c r="G6" s="1167">
        <v>1</v>
      </c>
      <c r="H6" s="1167">
        <v>1</v>
      </c>
      <c r="I6" s="1167">
        <v>1</v>
      </c>
      <c r="J6" s="1167">
        <v>1</v>
      </c>
      <c r="K6" s="1168" t="s">
        <v>694</v>
      </c>
      <c r="L6" s="1166"/>
    </row>
    <row r="7" spans="1:13">
      <c r="A7" s="1162"/>
      <c r="B7" s="1164" t="s">
        <v>1536</v>
      </c>
      <c r="C7" s="1167">
        <f t="shared" ref="C7:J7" si="0">C6*3600*(C16/100)*24/120</f>
        <v>558</v>
      </c>
      <c r="D7" s="1167">
        <f t="shared" si="0"/>
        <v>579.6</v>
      </c>
      <c r="E7" s="1167">
        <f t="shared" si="0"/>
        <v>590.4</v>
      </c>
      <c r="F7" s="1167">
        <f t="shared" si="0"/>
        <v>601.20000000000005</v>
      </c>
      <c r="G7" s="1167">
        <f t="shared" si="0"/>
        <v>532.79999999999995</v>
      </c>
      <c r="H7" s="1167">
        <f t="shared" si="0"/>
        <v>583.20000000000005</v>
      </c>
      <c r="I7" s="1167">
        <f t="shared" si="0"/>
        <v>554.4</v>
      </c>
      <c r="J7" s="1167">
        <f t="shared" si="0"/>
        <v>609.12</v>
      </c>
      <c r="K7" s="1168" t="s">
        <v>266</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74">
        <v>79.5</v>
      </c>
      <c r="D10" s="1174">
        <v>80.5</v>
      </c>
      <c r="E10" s="1174">
        <v>81.400000000000006</v>
      </c>
      <c r="F10" s="1174">
        <v>81.400000000000006</v>
      </c>
      <c r="G10" s="1174">
        <v>79</v>
      </c>
      <c r="H10" s="1174">
        <v>82</v>
      </c>
      <c r="I10" s="1174">
        <v>81</v>
      </c>
      <c r="J10" s="1174">
        <v>83</v>
      </c>
      <c r="K10" s="1168" t="s">
        <v>694</v>
      </c>
      <c r="L10" s="1166"/>
    </row>
    <row r="11" spans="1:13">
      <c r="A11" s="1162"/>
      <c r="B11" s="1164" t="s">
        <v>1604</v>
      </c>
      <c r="C11" s="1174">
        <f>100-C10</f>
        <v>20.5</v>
      </c>
      <c r="D11" s="1174">
        <f t="shared" ref="D11:J11" si="1">100-D10</f>
        <v>19.5</v>
      </c>
      <c r="E11" s="1174">
        <f t="shared" si="1"/>
        <v>18.599999999999994</v>
      </c>
      <c r="F11" s="1174">
        <f t="shared" si="1"/>
        <v>18.599999999999994</v>
      </c>
      <c r="G11" s="1174">
        <f t="shared" si="1"/>
        <v>21</v>
      </c>
      <c r="H11" s="1174">
        <f t="shared" si="1"/>
        <v>18</v>
      </c>
      <c r="I11" s="1174">
        <f t="shared" si="1"/>
        <v>19</v>
      </c>
      <c r="J11" s="1174">
        <f t="shared" si="1"/>
        <v>17</v>
      </c>
      <c r="K11" s="1168"/>
      <c r="L11" s="1166"/>
    </row>
    <row r="12" spans="1:13">
      <c r="A12" s="1162"/>
      <c r="B12" s="1164"/>
      <c r="C12" s="857"/>
      <c r="D12" s="857"/>
      <c r="E12" s="857"/>
      <c r="F12" s="857"/>
      <c r="G12" s="857"/>
      <c r="H12" s="857"/>
      <c r="I12" s="857"/>
      <c r="J12" s="857"/>
      <c r="K12" s="857"/>
      <c r="L12" s="857"/>
    </row>
    <row r="13" spans="1:13">
      <c r="A13" s="1162"/>
      <c r="B13" s="1164" t="s">
        <v>1605</v>
      </c>
      <c r="C13" s="1167">
        <f>C20+(C20*8)</f>
        <v>209.27092709270929</v>
      </c>
      <c r="D13" s="1167">
        <f t="shared" ref="D13:J13" si="2">D20+(D20*8)</f>
        <v>217.37173717371738</v>
      </c>
      <c r="E13" s="1167">
        <f t="shared" si="2"/>
        <v>221.42214221422142</v>
      </c>
      <c r="F13" s="1167">
        <f t="shared" si="2"/>
        <v>225.47254725472547</v>
      </c>
      <c r="G13" s="1167">
        <f t="shared" si="2"/>
        <v>199.81998199819981</v>
      </c>
      <c r="H13" s="1167">
        <f t="shared" si="2"/>
        <v>218.72187218721871</v>
      </c>
      <c r="I13" s="1167">
        <f t="shared" si="2"/>
        <v>207.92079207920793</v>
      </c>
      <c r="J13" s="1167">
        <f t="shared" si="2"/>
        <v>228.44284428442845</v>
      </c>
      <c r="K13" s="1168"/>
      <c r="L13" s="1166"/>
    </row>
    <row r="14" spans="1:13">
      <c r="A14" s="1162"/>
      <c r="B14" s="1170"/>
      <c r="C14" s="857"/>
      <c r="D14" s="857"/>
      <c r="E14" s="857"/>
      <c r="F14" s="857"/>
      <c r="G14" s="857"/>
      <c r="H14" s="857"/>
      <c r="I14" s="857"/>
      <c r="J14" s="857"/>
      <c r="K14" s="857"/>
      <c r="L14" s="857"/>
      <c r="M14" s="1171"/>
    </row>
    <row r="15" spans="1:13">
      <c r="A15" s="1162"/>
      <c r="B15" s="1172" t="s">
        <v>721</v>
      </c>
      <c r="C15" s="1206"/>
      <c r="D15" s="1207"/>
      <c r="E15" s="1206"/>
      <c r="F15" s="1206"/>
      <c r="G15" s="1208"/>
      <c r="H15" s="1208"/>
      <c r="I15" s="1208"/>
      <c r="J15" s="1208"/>
      <c r="K15" s="1206"/>
      <c r="L15" s="1206"/>
    </row>
    <row r="16" spans="1:13">
      <c r="A16" s="1162"/>
      <c r="B16" s="1164" t="s">
        <v>1540</v>
      </c>
      <c r="C16" s="1174">
        <f>(74+81)/2</f>
        <v>77.5</v>
      </c>
      <c r="D16" s="1174">
        <f>(77+84)/2</f>
        <v>80.5</v>
      </c>
      <c r="E16" s="1174">
        <f>(D16+F16)/2</f>
        <v>82</v>
      </c>
      <c r="F16" s="1174">
        <f>(77+90)/2</f>
        <v>83.5</v>
      </c>
      <c r="G16" s="1174">
        <v>74</v>
      </c>
      <c r="H16" s="1174">
        <v>81</v>
      </c>
      <c r="I16" s="1174">
        <v>77</v>
      </c>
      <c r="J16" s="1174">
        <v>84.6</v>
      </c>
      <c r="K16" s="1168" t="s">
        <v>1606</v>
      </c>
      <c r="L16" s="1166" t="s">
        <v>1541</v>
      </c>
      <c r="M16" s="1175"/>
    </row>
    <row r="17" spans="1:13">
      <c r="A17" s="1162"/>
      <c r="B17" s="1164" t="s">
        <v>1607</v>
      </c>
      <c r="C17" s="1174">
        <f t="shared" ref="C17:J17" si="3">C16/33.33*39.4-C16</f>
        <v>14.114161416141613</v>
      </c>
      <c r="D17" s="1174">
        <f t="shared" si="3"/>
        <v>14.660516051605157</v>
      </c>
      <c r="E17" s="1174">
        <f t="shared" si="3"/>
        <v>14.933693369336936</v>
      </c>
      <c r="F17" s="1174">
        <f t="shared" si="3"/>
        <v>15.206870687068701</v>
      </c>
      <c r="G17" s="1174">
        <f>G16/33.33*39.4-G16</f>
        <v>13.476747674767466</v>
      </c>
      <c r="H17" s="1174">
        <f t="shared" si="3"/>
        <v>14.751575157515745</v>
      </c>
      <c r="I17" s="1174">
        <f t="shared" si="3"/>
        <v>14.023102310231025</v>
      </c>
      <c r="J17" s="1174">
        <f t="shared" si="3"/>
        <v>15.407200720072012</v>
      </c>
      <c r="K17" s="1168" t="s">
        <v>393</v>
      </c>
      <c r="L17" s="1166"/>
    </row>
    <row r="18" spans="1:13">
      <c r="A18" s="1162"/>
      <c r="B18" s="1164" t="s">
        <v>1608</v>
      </c>
      <c r="C18" s="1174">
        <f t="shared" ref="C18:J18" si="4">100-C16-C17</f>
        <v>8.3858385838583871</v>
      </c>
      <c r="D18" s="1174">
        <f t="shared" si="4"/>
        <v>4.8394839483948431</v>
      </c>
      <c r="E18" s="1174">
        <f t="shared" si="4"/>
        <v>3.066306630663064</v>
      </c>
      <c r="F18" s="1174">
        <f t="shared" si="4"/>
        <v>1.2931293129312991</v>
      </c>
      <c r="G18" s="1174">
        <f t="shared" si="4"/>
        <v>12.523252325232534</v>
      </c>
      <c r="H18" s="1174">
        <f>100-H16-H17</f>
        <v>4.2484248424842548</v>
      </c>
      <c r="I18" s="1174">
        <f t="shared" si="4"/>
        <v>8.9768976897689754</v>
      </c>
      <c r="J18" s="1174">
        <f t="shared" si="4"/>
        <v>-7.2007200720065612E-3</v>
      </c>
      <c r="K18" s="1168"/>
      <c r="L18" s="1166"/>
    </row>
    <row r="19" spans="1:13">
      <c r="A19" s="1162"/>
      <c r="B19" s="1164"/>
      <c r="C19" s="857"/>
      <c r="D19" s="857"/>
      <c r="E19" s="857"/>
      <c r="F19" s="857"/>
      <c r="G19" s="857"/>
      <c r="H19" s="857"/>
      <c r="I19" s="857"/>
      <c r="J19" s="857"/>
      <c r="K19" s="857"/>
      <c r="L19" s="857"/>
    </row>
    <row r="20" spans="1:13">
      <c r="A20" s="1162"/>
      <c r="B20" s="1164" t="s">
        <v>1609</v>
      </c>
      <c r="C20" s="1174">
        <f>C16/33.33*1000/100</f>
        <v>23.252325232523255</v>
      </c>
      <c r="D20" s="1174">
        <f t="shared" ref="D20:J20" si="5">D16/33.33*1000/100</f>
        <v>24.152415241524153</v>
      </c>
      <c r="E20" s="1174">
        <f t="shared" si="5"/>
        <v>24.602460246024602</v>
      </c>
      <c r="F20" s="1174">
        <f t="shared" si="5"/>
        <v>25.052505250525051</v>
      </c>
      <c r="G20" s="1174">
        <f t="shared" si="5"/>
        <v>22.202220222022202</v>
      </c>
      <c r="H20" s="1174">
        <f t="shared" si="5"/>
        <v>24.3024302430243</v>
      </c>
      <c r="I20" s="1174">
        <f t="shared" si="5"/>
        <v>23.102310231023104</v>
      </c>
      <c r="J20" s="1174">
        <f t="shared" si="5"/>
        <v>25.382538253825384</v>
      </c>
      <c r="K20" s="1168"/>
      <c r="L20" s="1166"/>
    </row>
    <row r="21" spans="1:13">
      <c r="A21" s="1162"/>
      <c r="B21" s="1164"/>
      <c r="C21" s="1167"/>
      <c r="D21" s="1167"/>
      <c r="E21" s="1167"/>
      <c r="F21" s="1167"/>
      <c r="G21" s="1167"/>
      <c r="H21" s="1167"/>
      <c r="I21" s="1167"/>
      <c r="J21" s="1167"/>
      <c r="K21" s="1168"/>
      <c r="L21" s="1166"/>
    </row>
    <row r="22" spans="1:13">
      <c r="A22" s="1162"/>
      <c r="B22" s="1164" t="s">
        <v>59</v>
      </c>
      <c r="C22" s="1174">
        <v>1.4</v>
      </c>
      <c r="D22" s="1174">
        <v>1.4</v>
      </c>
      <c r="E22" s="1174">
        <v>1.4</v>
      </c>
      <c r="F22" s="1174">
        <v>1.4</v>
      </c>
      <c r="G22" s="1174">
        <v>1.4</v>
      </c>
      <c r="H22" s="1174">
        <v>1.4</v>
      </c>
      <c r="I22" s="1174">
        <v>1.4</v>
      </c>
      <c r="J22" s="1174">
        <v>1.4</v>
      </c>
      <c r="K22" s="1168" t="s">
        <v>694</v>
      </c>
      <c r="L22" s="1166"/>
    </row>
    <row r="23" spans="1:13">
      <c r="A23" s="1162"/>
      <c r="B23" s="1164" t="s">
        <v>712</v>
      </c>
      <c r="C23" s="1167">
        <v>5</v>
      </c>
      <c r="D23" s="1167">
        <v>5</v>
      </c>
      <c r="E23" s="1167">
        <v>5</v>
      </c>
      <c r="F23" s="1167">
        <v>5</v>
      </c>
      <c r="G23" s="1167">
        <v>5</v>
      </c>
      <c r="H23" s="1167">
        <v>5</v>
      </c>
      <c r="I23" s="1167">
        <v>5</v>
      </c>
      <c r="J23" s="1167">
        <v>5</v>
      </c>
      <c r="K23" s="1168" t="s">
        <v>694</v>
      </c>
      <c r="L23" s="1166"/>
    </row>
    <row r="24" spans="1:13">
      <c r="A24" s="1162"/>
      <c r="B24" s="1164" t="s">
        <v>58</v>
      </c>
      <c r="C24" s="1167">
        <v>10</v>
      </c>
      <c r="D24" s="1167">
        <v>20</v>
      </c>
      <c r="E24" s="1167">
        <v>20</v>
      </c>
      <c r="F24" s="1167">
        <v>20</v>
      </c>
      <c r="G24" s="1167">
        <v>10</v>
      </c>
      <c r="H24" s="1167">
        <v>10</v>
      </c>
      <c r="I24" s="1167">
        <v>15</v>
      </c>
      <c r="J24" s="1167">
        <v>20</v>
      </c>
      <c r="K24" s="1168" t="s">
        <v>694</v>
      </c>
      <c r="L24" s="1166"/>
    </row>
    <row r="25" spans="1:13">
      <c r="A25" s="1162"/>
      <c r="B25" s="1164" t="s">
        <v>1610</v>
      </c>
      <c r="C25" s="1174">
        <v>4</v>
      </c>
      <c r="D25" s="1174">
        <v>0.5</v>
      </c>
      <c r="E25" s="1174">
        <v>0.5</v>
      </c>
      <c r="F25" s="1174">
        <v>0.5</v>
      </c>
      <c r="G25" s="1174">
        <v>4</v>
      </c>
      <c r="H25" s="1174">
        <v>4</v>
      </c>
      <c r="I25" s="1174">
        <v>0.5</v>
      </c>
      <c r="J25" s="1174">
        <v>1</v>
      </c>
      <c r="K25" s="1168" t="s">
        <v>694</v>
      </c>
      <c r="L25" s="1166"/>
    </row>
    <row r="26" spans="1:13">
      <c r="A26" s="1162"/>
      <c r="B26" s="1164"/>
      <c r="C26" s="1164"/>
      <c r="D26" s="1164"/>
      <c r="E26" s="1164"/>
      <c r="F26" s="1164"/>
      <c r="G26" s="1164"/>
      <c r="H26" s="1164"/>
      <c r="I26" s="1164"/>
      <c r="J26" s="1164"/>
      <c r="K26" s="1164"/>
      <c r="L26" s="1164"/>
    </row>
    <row r="27" spans="1:13">
      <c r="A27" s="1162"/>
      <c r="B27" s="1177" t="s">
        <v>1549</v>
      </c>
      <c r="C27" s="1173"/>
      <c r="D27" s="1173"/>
      <c r="E27" s="1173"/>
      <c r="F27" s="1173"/>
      <c r="G27" s="1173"/>
      <c r="H27" s="1173"/>
      <c r="I27" s="1173"/>
      <c r="J27" s="1173"/>
      <c r="K27" s="1168"/>
      <c r="L27" s="1166"/>
    </row>
    <row r="28" spans="1:13">
      <c r="A28" s="1162"/>
      <c r="B28" s="1164" t="s">
        <v>1550</v>
      </c>
      <c r="C28" s="1167">
        <f>((2800+5600)/2*0.85)/(C10/100)</f>
        <v>4490.566037735849</v>
      </c>
      <c r="D28" s="1167">
        <f>(800+2800)/2*0.85/(D10/100)</f>
        <v>1900.6211180124224</v>
      </c>
      <c r="E28" s="1167">
        <f>D28/2+F28/2</f>
        <v>1341.8953255909778</v>
      </c>
      <c r="F28" s="1167">
        <f>(500+1000)/2*0.85/(F10/100)</f>
        <v>783.16953316953311</v>
      </c>
      <c r="G28" s="1167">
        <f>2800*0.85/(G10/100)</f>
        <v>3012.658227848101</v>
      </c>
      <c r="H28" s="1167">
        <f>5600*0.85/(H10/100)</f>
        <v>5804.8780487804879</v>
      </c>
      <c r="I28" s="1167">
        <f>500*0.85/(I10/100)</f>
        <v>524.69135802469134</v>
      </c>
      <c r="J28" s="1167">
        <f>1000*0.85/(J10/100)</f>
        <v>1024.0963855421687</v>
      </c>
      <c r="K28" s="1168" t="s">
        <v>1142</v>
      </c>
      <c r="L28" s="1166" t="s">
        <v>1541</v>
      </c>
      <c r="M28" s="1178"/>
    </row>
    <row r="29" spans="1:13">
      <c r="A29" s="1162"/>
      <c r="B29" s="1164" t="s">
        <v>1552</v>
      </c>
      <c r="C29" s="1167">
        <f t="shared" ref="C29:J29" si="6">(C20/1000)^-1/24*C28</f>
        <v>8046.8046256847219</v>
      </c>
      <c r="D29" s="1167">
        <f t="shared" si="6"/>
        <v>3278.8665560742261</v>
      </c>
      <c r="E29" s="1167">
        <f t="shared" si="6"/>
        <v>2272.6306505054517</v>
      </c>
      <c r="F29" s="1167">
        <f t="shared" si="6"/>
        <v>1302.5469331607055</v>
      </c>
      <c r="G29" s="1167">
        <f t="shared" si="6"/>
        <v>5653.8231269243925</v>
      </c>
      <c r="H29" s="1167">
        <f t="shared" si="6"/>
        <v>9952.4992472146951</v>
      </c>
      <c r="I29" s="1167">
        <f t="shared" si="6"/>
        <v>946.31834215167544</v>
      </c>
      <c r="J29" s="1167">
        <f t="shared" si="6"/>
        <v>1681.1038480161778</v>
      </c>
      <c r="K29" s="1168" t="s">
        <v>1611</v>
      </c>
      <c r="L29" s="1166" t="s">
        <v>1541</v>
      </c>
    </row>
    <row r="30" spans="1:13">
      <c r="A30" s="1162"/>
      <c r="B30" s="1164" t="s">
        <v>954</v>
      </c>
      <c r="C30" s="1167">
        <v>80</v>
      </c>
      <c r="D30" s="1167">
        <v>80</v>
      </c>
      <c r="E30" s="1167">
        <v>80</v>
      </c>
      <c r="F30" s="1167">
        <v>80</v>
      </c>
      <c r="G30" s="1167">
        <v>80</v>
      </c>
      <c r="H30" s="1167">
        <v>80</v>
      </c>
      <c r="I30" s="1167">
        <v>80</v>
      </c>
      <c r="J30" s="1167">
        <v>80</v>
      </c>
      <c r="K30" s="1168" t="s">
        <v>694</v>
      </c>
      <c r="L30" s="1166"/>
    </row>
    <row r="31" spans="1:13">
      <c r="A31" s="1162"/>
      <c r="B31" s="1164" t="s">
        <v>952</v>
      </c>
      <c r="C31" s="1167">
        <v>20</v>
      </c>
      <c r="D31" s="1167">
        <v>20</v>
      </c>
      <c r="E31" s="1167">
        <v>20</v>
      </c>
      <c r="F31" s="1167">
        <v>20</v>
      </c>
      <c r="G31" s="1167">
        <v>20</v>
      </c>
      <c r="H31" s="1167">
        <v>20</v>
      </c>
      <c r="I31" s="1167">
        <v>20</v>
      </c>
      <c r="J31" s="1167">
        <v>20</v>
      </c>
      <c r="K31" s="1168" t="s">
        <v>694</v>
      </c>
      <c r="L31" s="1166"/>
    </row>
    <row r="32" spans="1:13">
      <c r="A32" s="1162"/>
      <c r="B32" s="1164" t="s">
        <v>1554</v>
      </c>
      <c r="C32" s="1167">
        <v>12</v>
      </c>
      <c r="D32" s="1167">
        <v>12</v>
      </c>
      <c r="E32" s="1167">
        <v>12</v>
      </c>
      <c r="F32" s="1167">
        <v>12</v>
      </c>
      <c r="G32" s="1167">
        <v>12</v>
      </c>
      <c r="H32" s="1167">
        <v>12</v>
      </c>
      <c r="I32" s="1167">
        <v>12</v>
      </c>
      <c r="J32" s="1167">
        <v>12</v>
      </c>
      <c r="K32" s="1167" t="s">
        <v>1612</v>
      </c>
      <c r="L32" s="1166" t="s">
        <v>1560</v>
      </c>
    </row>
    <row r="33" spans="1:14">
      <c r="A33" s="1162"/>
      <c r="B33" s="1164" t="s">
        <v>1557</v>
      </c>
      <c r="C33" s="1173" t="s">
        <v>706</v>
      </c>
      <c r="D33" s="1173" t="s">
        <v>706</v>
      </c>
      <c r="E33" s="1173" t="s">
        <v>706</v>
      </c>
      <c r="F33" s="1173" t="s">
        <v>706</v>
      </c>
      <c r="G33" s="1173"/>
      <c r="H33" s="1173"/>
      <c r="I33" s="1173"/>
      <c r="J33" s="1173"/>
      <c r="K33" s="1168" t="s">
        <v>255</v>
      </c>
      <c r="L33" s="1166"/>
    </row>
    <row r="34" spans="1:14">
      <c r="A34" s="1162"/>
      <c r="B34" s="1164" t="s">
        <v>1558</v>
      </c>
      <c r="C34" s="1173" t="s">
        <v>706</v>
      </c>
      <c r="D34" s="1173" t="s">
        <v>706</v>
      </c>
      <c r="E34" s="1173" t="s">
        <v>706</v>
      </c>
      <c r="F34" s="1173" t="s">
        <v>706</v>
      </c>
      <c r="G34" s="1173"/>
      <c r="H34" s="1173"/>
      <c r="I34" s="1173"/>
      <c r="J34" s="1173"/>
      <c r="K34" s="1168"/>
      <c r="L34" s="1166"/>
    </row>
    <row r="35" spans="1:14">
      <c r="A35" s="1162"/>
      <c r="B35" s="1179"/>
      <c r="C35" s="1179"/>
      <c r="D35" s="1179"/>
      <c r="E35" s="1179"/>
      <c r="F35" s="1179"/>
      <c r="G35" s="1179"/>
      <c r="H35" s="1179"/>
      <c r="I35" s="1179"/>
      <c r="J35" s="1179"/>
      <c r="K35" s="1179"/>
      <c r="L35" s="1179"/>
    </row>
    <row r="36" spans="1:14">
      <c r="A36" s="1162"/>
      <c r="B36" s="1177" t="s">
        <v>642</v>
      </c>
      <c r="C36" s="1173"/>
      <c r="D36" s="1173"/>
      <c r="E36" s="1173"/>
      <c r="F36" s="1173"/>
      <c r="G36" s="1173"/>
      <c r="H36" s="1173"/>
      <c r="I36" s="1173"/>
      <c r="J36" s="1173"/>
      <c r="K36" s="1168"/>
      <c r="L36" s="1166"/>
    </row>
    <row r="37" spans="1:14">
      <c r="A37" s="1162"/>
      <c r="B37" s="1164" t="s">
        <v>1559</v>
      </c>
      <c r="C37" s="1173">
        <v>0.65</v>
      </c>
      <c r="D37" s="1173">
        <v>1</v>
      </c>
      <c r="E37" s="1173">
        <v>1.5</v>
      </c>
      <c r="F37" s="1173">
        <v>1.5</v>
      </c>
      <c r="G37" s="1173">
        <v>0.5</v>
      </c>
      <c r="H37" s="1173">
        <v>0.65</v>
      </c>
      <c r="I37" s="1173">
        <v>1.5</v>
      </c>
      <c r="J37" s="1173">
        <v>1.8</v>
      </c>
      <c r="K37" s="1168"/>
      <c r="L37" s="1166" t="s">
        <v>1560</v>
      </c>
      <c r="M37" s="1180"/>
    </row>
    <row r="38" spans="1:14" ht="17.100000000000001" customHeight="1">
      <c r="A38" s="1162"/>
      <c r="B38" s="1164" t="s">
        <v>1561</v>
      </c>
      <c r="C38" s="1181">
        <v>35</v>
      </c>
      <c r="D38" s="1181">
        <v>20</v>
      </c>
      <c r="E38" s="1181">
        <v>15</v>
      </c>
      <c r="F38" s="1181">
        <v>10</v>
      </c>
      <c r="G38" s="1181">
        <v>35</v>
      </c>
      <c r="H38" s="1181">
        <v>35</v>
      </c>
      <c r="I38" s="1181">
        <v>10</v>
      </c>
      <c r="J38" s="1181">
        <v>20</v>
      </c>
      <c r="K38" s="1182"/>
      <c r="L38" s="1183" t="s">
        <v>1560</v>
      </c>
      <c r="M38" s="1180"/>
    </row>
    <row r="39" spans="1:14" ht="34.200000000000003" hidden="1">
      <c r="A39" s="1162"/>
      <c r="B39">
        <f>500/7.48</f>
        <v>66.844919786096256</v>
      </c>
      <c r="C39" s="1184" t="s">
        <v>1562</v>
      </c>
      <c r="D39" s="1185" t="e">
        <f>#REF!*100</f>
        <v>#REF!</v>
      </c>
      <c r="E39" s="1185" t="e">
        <f>#REF!</f>
        <v>#REF!</v>
      </c>
      <c r="F39" s="1185" t="e">
        <f>E39</f>
        <v>#REF!</v>
      </c>
      <c r="G39" s="1185" t="e">
        <f>F39</f>
        <v>#REF!</v>
      </c>
      <c r="H39" s="1186"/>
      <c r="I39" s="1186"/>
      <c r="J39" s="882"/>
      <c r="K39" s="882"/>
      <c r="L39" s="1187" t="s">
        <v>1563</v>
      </c>
      <c r="M39" s="1188" t="s">
        <v>1564</v>
      </c>
      <c r="N39" s="1189"/>
    </row>
    <row r="40" spans="1:14" hidden="1">
      <c r="A40" s="1162"/>
    </row>
    <row r="41" spans="1:14" hidden="1">
      <c r="A41" s="1162"/>
      <c r="C41" s="1190"/>
      <c r="D41" s="1191"/>
      <c r="E41" s="1191"/>
      <c r="F41" s="1191"/>
      <c r="G41" s="1191"/>
      <c r="H41" s="1192"/>
      <c r="I41" s="1192"/>
    </row>
    <row r="42" spans="1:14" ht="14.4" hidden="1" customHeight="1">
      <c r="A42" s="1389"/>
      <c r="B42" s="1389"/>
      <c r="C42" s="1389"/>
      <c r="D42" s="1389"/>
      <c r="E42" s="1389"/>
      <c r="F42" s="1389"/>
      <c r="G42" s="1389"/>
      <c r="H42" s="1389"/>
      <c r="I42" s="1389"/>
      <c r="J42" s="1129"/>
      <c r="K42" s="1193"/>
      <c r="L42" s="1389"/>
      <c r="M42" s="1389"/>
    </row>
    <row r="43" spans="1:14" ht="14.4" hidden="1" customHeight="1">
      <c r="A43" s="1193"/>
      <c r="C43" s="1389"/>
      <c r="D43" s="1390"/>
      <c r="E43" s="1390"/>
      <c r="F43" s="1390"/>
      <c r="G43" s="1390"/>
      <c r="H43" s="1390"/>
      <c r="I43" s="1390"/>
      <c r="J43" s="1390"/>
      <c r="K43" s="1390"/>
      <c r="L43" s="1389"/>
      <c r="M43" s="1389"/>
    </row>
    <row r="44" spans="1:14" ht="14.4" hidden="1" customHeight="1">
      <c r="A44" s="1194"/>
      <c r="B44" s="1389"/>
      <c r="C44" s="1390"/>
      <c r="D44" s="1390"/>
      <c r="E44" s="1390"/>
      <c r="F44" s="1390"/>
      <c r="G44" s="1390"/>
      <c r="H44" s="1390"/>
      <c r="I44" s="1390"/>
      <c r="J44" s="1390"/>
      <c r="K44" s="1193"/>
      <c r="L44" s="1389"/>
      <c r="M44" s="1389"/>
    </row>
    <row r="45" spans="1:14" ht="14.4" hidden="1" customHeight="1">
      <c r="A45" s="1193"/>
      <c r="C45" s="1389"/>
      <c r="D45" s="1390"/>
      <c r="E45" s="1390"/>
      <c r="F45" s="1390"/>
      <c r="G45" s="1390"/>
      <c r="H45" s="1390"/>
      <c r="I45" s="1390"/>
      <c r="J45" s="1390"/>
      <c r="K45" s="1390"/>
      <c r="L45" s="1389"/>
      <c r="M45" s="1389"/>
    </row>
    <row r="46" spans="1:14" ht="14.4" hidden="1" customHeight="1">
      <c r="A46" s="1193"/>
      <c r="B46" s="1389"/>
      <c r="C46" s="1390"/>
      <c r="D46" s="1390"/>
      <c r="E46" s="1390"/>
      <c r="F46" s="1390"/>
      <c r="G46" s="1390"/>
      <c r="H46" s="1390"/>
      <c r="I46" s="1390"/>
      <c r="J46" s="1390"/>
      <c r="K46" s="1193"/>
      <c r="L46" s="1389"/>
      <c r="M46" s="1389"/>
    </row>
    <row r="47" spans="1:14" ht="3.9" hidden="1" customHeight="1">
      <c r="B47" s="856"/>
      <c r="L47" s="1389"/>
      <c r="M47" s="1389"/>
    </row>
    <row r="48" spans="1:14">
      <c r="A48" s="1193"/>
      <c r="B48" s="1129"/>
      <c r="C48" s="1129"/>
      <c r="D48" s="1195"/>
      <c r="E48" s="1129"/>
      <c r="F48" s="1129"/>
      <c r="G48" s="1129"/>
      <c r="H48" s="1129"/>
      <c r="I48" s="1129"/>
      <c r="J48" s="1129"/>
      <c r="K48" s="1193"/>
      <c r="L48" s="1389"/>
      <c r="M48" s="1389"/>
    </row>
    <row r="49" spans="1:14" ht="14.4" customHeight="1">
      <c r="A49" s="1394" t="s">
        <v>695</v>
      </c>
      <c r="B49" s="1394"/>
      <c r="C49" s="1190"/>
      <c r="D49" s="1190"/>
      <c r="E49" s="1190"/>
      <c r="F49" s="1190"/>
      <c r="G49" s="1190"/>
      <c r="H49" s="1190"/>
      <c r="I49" s="1190"/>
      <c r="J49" s="1190"/>
      <c r="K49" s="1193"/>
      <c r="L49" s="1389"/>
      <c r="M49" s="1389"/>
    </row>
    <row r="50" spans="1:14">
      <c r="A50" s="820" t="s">
        <v>694</v>
      </c>
      <c r="B50" s="1196" t="s">
        <v>1613</v>
      </c>
      <c r="C50" s="1197"/>
      <c r="D50" s="1197"/>
      <c r="E50" s="1197"/>
      <c r="F50" s="1197"/>
      <c r="G50" s="1197"/>
      <c r="H50" s="1197"/>
      <c r="I50" s="1197"/>
      <c r="J50" s="1197"/>
      <c r="K50" s="1198"/>
      <c r="L50" s="1198"/>
      <c r="M50" s="1198"/>
    </row>
    <row r="51" spans="1:14">
      <c r="A51" s="820" t="s">
        <v>692</v>
      </c>
      <c r="B51" s="1196" t="s">
        <v>1614</v>
      </c>
      <c r="C51" s="1197"/>
      <c r="D51" s="1197"/>
      <c r="E51" s="1197"/>
      <c r="F51" s="1197"/>
      <c r="G51" s="1197"/>
      <c r="H51" s="1197"/>
      <c r="I51" s="1197"/>
      <c r="J51" s="1197"/>
      <c r="K51" s="1198"/>
      <c r="L51" s="1198"/>
      <c r="M51" s="1198"/>
      <c r="N51" s="1199"/>
    </row>
    <row r="52" spans="1:14" ht="15" customHeight="1">
      <c r="A52" s="820" t="s">
        <v>272</v>
      </c>
      <c r="B52" s="1196" t="s">
        <v>1591</v>
      </c>
      <c r="C52" s="1200"/>
      <c r="D52" s="1200"/>
      <c r="E52" s="1200"/>
      <c r="F52" s="1200"/>
      <c r="G52" s="1200"/>
      <c r="H52" s="1200"/>
      <c r="I52" s="1200"/>
      <c r="J52" s="1200"/>
      <c r="K52" s="1200"/>
      <c r="L52" s="1200"/>
      <c r="M52" s="1200"/>
    </row>
    <row r="53" spans="1:14">
      <c r="A53" s="820" t="s">
        <v>269</v>
      </c>
      <c r="B53" s="1196" t="s">
        <v>1615</v>
      </c>
      <c r="D53" s="1197"/>
      <c r="E53" s="1197"/>
      <c r="F53" s="1197"/>
      <c r="G53" s="1197"/>
      <c r="H53" s="1197"/>
      <c r="I53" s="1197"/>
      <c r="J53" s="1197"/>
      <c r="K53" s="1197"/>
      <c r="L53" s="1198"/>
      <c r="M53" s="1198"/>
    </row>
    <row r="54" spans="1:14" ht="15" customHeight="1">
      <c r="A54" s="820" t="s">
        <v>266</v>
      </c>
      <c r="B54" s="1196" t="s">
        <v>1616</v>
      </c>
      <c r="C54" s="1196"/>
      <c r="D54" s="1196"/>
      <c r="E54" s="1196"/>
      <c r="F54" s="1196"/>
      <c r="G54" s="1196"/>
      <c r="H54" s="1196"/>
      <c r="I54" s="1196"/>
      <c r="J54" s="1196"/>
      <c r="K54" s="1193"/>
      <c r="L54" s="855"/>
      <c r="M54" s="855"/>
    </row>
    <row r="55" spans="1:14" ht="15" customHeight="1">
      <c r="A55" s="820" t="s">
        <v>255</v>
      </c>
      <c r="B55" s="1196" t="s">
        <v>1617</v>
      </c>
      <c r="C55" s="1196"/>
      <c r="D55" s="1196"/>
      <c r="E55" s="1196"/>
      <c r="F55" s="1196"/>
      <c r="G55" s="1196"/>
      <c r="H55" s="1196"/>
      <c r="I55" s="1196"/>
      <c r="J55" s="1196"/>
      <c r="K55" s="1196"/>
      <c r="L55" s="1196"/>
      <c r="M55" s="1196"/>
    </row>
    <row r="56" spans="1:14" ht="15" customHeight="1">
      <c r="A56" s="820" t="s">
        <v>389</v>
      </c>
      <c r="B56" s="855" t="s">
        <v>1618</v>
      </c>
      <c r="C56" s="855"/>
      <c r="D56" s="855"/>
      <c r="E56" s="855"/>
      <c r="F56" s="855"/>
      <c r="G56" s="855"/>
      <c r="H56" s="855"/>
      <c r="I56" s="855"/>
      <c r="J56" s="855"/>
      <c r="K56" s="855"/>
      <c r="L56" s="855"/>
      <c r="M56" s="855"/>
    </row>
    <row r="57" spans="1:14" ht="15" customHeight="1">
      <c r="A57" s="820" t="s">
        <v>393</v>
      </c>
      <c r="B57" s="855" t="s">
        <v>1578</v>
      </c>
      <c r="C57" s="855"/>
      <c r="D57" s="855"/>
      <c r="E57" s="855"/>
      <c r="F57" s="855"/>
      <c r="G57" s="855"/>
      <c r="H57" s="855"/>
      <c r="I57" s="855"/>
      <c r="J57" s="855"/>
      <c r="K57" s="855"/>
    </row>
    <row r="58" spans="1:14" ht="15" customHeight="1">
      <c r="A58" s="820" t="s">
        <v>675</v>
      </c>
      <c r="B58" s="854" t="s">
        <v>1619</v>
      </c>
      <c r="C58" s="1200"/>
      <c r="D58" s="1200"/>
      <c r="E58" s="1200"/>
      <c r="F58" s="1200"/>
      <c r="G58" s="1200"/>
      <c r="H58" s="1200"/>
      <c r="I58" s="1200"/>
      <c r="J58" s="1200"/>
    </row>
    <row r="59" spans="1:14">
      <c r="A59" s="820"/>
      <c r="B59" s="1201"/>
      <c r="C59" s="1202"/>
      <c r="D59" s="1202"/>
      <c r="E59" s="1202"/>
      <c r="F59" s="1202"/>
      <c r="G59" s="1202"/>
      <c r="H59" s="1202"/>
      <c r="I59" s="1202"/>
      <c r="J59" s="1202"/>
      <c r="K59" s="1202"/>
      <c r="L59" s="1202"/>
      <c r="M59" s="1202"/>
      <c r="N59" s="1202"/>
    </row>
    <row r="60" spans="1:14">
      <c r="A60" s="1203" t="s">
        <v>669</v>
      </c>
      <c r="B60" s="1204"/>
      <c r="C60" s="1204"/>
      <c r="D60" s="1204"/>
      <c r="E60" s="1204"/>
      <c r="F60" s="1204"/>
      <c r="G60" s="1204"/>
      <c r="H60" s="1204"/>
      <c r="I60" s="1204"/>
    </row>
    <row r="61" spans="1:14">
      <c r="A61" s="1162">
        <v>21</v>
      </c>
      <c r="B61" s="854" t="s">
        <v>1581</v>
      </c>
      <c r="D61" s="1205"/>
      <c r="E61" s="1205"/>
      <c r="F61" s="1205"/>
      <c r="G61" s="1205"/>
      <c r="H61" s="1205"/>
      <c r="I61" s="1205"/>
      <c r="J61" s="1205"/>
      <c r="K61" s="1205"/>
    </row>
    <row r="62" spans="1:14">
      <c r="A62" s="1162">
        <v>24</v>
      </c>
      <c r="B62" s="854" t="s">
        <v>1583</v>
      </c>
      <c r="D62" s="1205"/>
      <c r="E62" s="1205"/>
      <c r="F62" s="1205"/>
      <c r="G62" s="1205"/>
      <c r="H62" s="1205"/>
      <c r="I62" s="1205"/>
      <c r="J62" s="1205"/>
      <c r="K62" s="1205"/>
    </row>
    <row r="63" spans="1:14">
      <c r="A63" s="1162">
        <v>26</v>
      </c>
      <c r="B63" s="854" t="s">
        <v>1584</v>
      </c>
      <c r="D63" s="1205"/>
      <c r="E63" s="1205"/>
      <c r="F63" s="1205"/>
      <c r="G63" s="1205"/>
      <c r="H63" s="1205"/>
      <c r="I63" s="1205"/>
      <c r="J63" s="1205"/>
      <c r="K63" s="1205"/>
    </row>
  </sheetData>
  <mergeCells count="17">
    <mergeCell ref="L47:M47"/>
    <mergeCell ref="L48:M48"/>
    <mergeCell ref="A49:B49"/>
    <mergeCell ref="L49:M49"/>
    <mergeCell ref="B44:J44"/>
    <mergeCell ref="L44:M44"/>
    <mergeCell ref="C45:K45"/>
    <mergeCell ref="L45:M45"/>
    <mergeCell ref="B46:J46"/>
    <mergeCell ref="L46:M46"/>
    <mergeCell ref="C43:K43"/>
    <mergeCell ref="L43:M43"/>
    <mergeCell ref="C3:L3"/>
    <mergeCell ref="G4:H4"/>
    <mergeCell ref="I4:J4"/>
    <mergeCell ref="A42:I42"/>
    <mergeCell ref="L42:M42"/>
  </mergeCells>
  <hyperlinks>
    <hyperlink ref="C3" location="INDEX" display="Biogas plant, additional straw input in the feedstock mix" xr:uid="{619847DB-6666-4F7E-9CE7-4B2A5ACB3E91}"/>
  </hyperlinks>
  <pageMargins left="0.7" right="0.7" top="0.75" bottom="0.75" header="0.3" footer="0.3"/>
  <pageSetup paperSize="9" orientation="portrait"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CD886-B0CD-4022-A0FE-4291D789C4F0}">
  <sheetPr>
    <tabColor theme="4" tint="0.39997558519241921"/>
  </sheetPr>
  <dimension ref="B1:N64"/>
  <sheetViews>
    <sheetView showGridLines="0" zoomScale="80" zoomScaleNormal="80" workbookViewId="0">
      <selection activeCell="P23" sqref="P23"/>
    </sheetView>
  </sheetViews>
  <sheetFormatPr defaultColWidth="9.109375" defaultRowHeight="14.4"/>
  <cols>
    <col min="1" max="1" width="3" customWidth="1"/>
    <col min="2" max="2" width="44.6640625" bestFit="1" customWidth="1"/>
    <col min="3" max="3" width="21.5546875" customWidth="1"/>
    <col min="4" max="13" width="7.109375" customWidth="1"/>
  </cols>
  <sheetData>
    <row r="1" spans="2:14">
      <c r="I1" s="884" t="s">
        <v>966</v>
      </c>
    </row>
    <row r="2" spans="2:14" ht="15" customHeight="1">
      <c r="C2" s="923" t="s">
        <v>296</v>
      </c>
      <c r="D2" s="922" t="s">
        <v>1021</v>
      </c>
      <c r="E2" s="921"/>
      <c r="F2" s="921"/>
      <c r="G2" s="921"/>
      <c r="H2" s="921"/>
      <c r="I2" s="921"/>
      <c r="J2" s="921"/>
      <c r="K2" s="921"/>
      <c r="L2" s="921"/>
      <c r="M2" s="921"/>
      <c r="N2" s="920"/>
    </row>
    <row r="3" spans="2:14" ht="24" customHeight="1">
      <c r="C3" s="892"/>
      <c r="D3" s="918">
        <v>2015</v>
      </c>
      <c r="E3" s="918">
        <v>2020</v>
      </c>
      <c r="F3" s="918">
        <v>2030</v>
      </c>
      <c r="G3" s="918">
        <v>2040</v>
      </c>
      <c r="H3" s="919">
        <v>2050</v>
      </c>
      <c r="I3" s="1395" t="s">
        <v>290</v>
      </c>
      <c r="J3" s="1395"/>
      <c r="K3" s="1395" t="s">
        <v>289</v>
      </c>
      <c r="L3" s="1395"/>
      <c r="M3" s="918" t="s">
        <v>288</v>
      </c>
      <c r="N3" s="918" t="s">
        <v>287</v>
      </c>
    </row>
    <row r="4" spans="2:14">
      <c r="C4" s="892"/>
      <c r="D4" s="918"/>
      <c r="E4" s="918"/>
      <c r="F4" s="918"/>
      <c r="G4" s="918"/>
      <c r="H4" s="919"/>
      <c r="I4" s="918" t="s">
        <v>284</v>
      </c>
      <c r="J4" s="918" t="s">
        <v>283</v>
      </c>
      <c r="K4" s="918" t="s">
        <v>284</v>
      </c>
      <c r="L4" s="918" t="s">
        <v>283</v>
      </c>
      <c r="M4" s="918"/>
      <c r="N4" s="918"/>
    </row>
    <row r="5" spans="2:14">
      <c r="C5" s="917" t="s">
        <v>282</v>
      </c>
      <c r="D5" s="915"/>
      <c r="E5" s="915"/>
      <c r="F5" s="915"/>
      <c r="G5" s="915"/>
      <c r="H5" s="915"/>
      <c r="I5" s="916"/>
      <c r="J5" s="915"/>
      <c r="K5" s="915"/>
      <c r="L5" s="915"/>
      <c r="M5" s="914"/>
      <c r="N5" s="913"/>
    </row>
    <row r="6" spans="2:14" ht="21.6">
      <c r="B6" t="str">
        <f>IF(IF(OR(LEFT(C6,27)=SUP_Biofuels!$N$8,LEFT(C6,20)=SUP_Biofuels!$O$8,LEFT(C6,20)=SUP_Biofuels!$P$8),LEFT(C6,20),C6)="Specific investment ","Specific investment (M€ /MW",IF(OR(LEFT(C6,27)=SUP_Biofuels!$N$8,LEFT(C6,20)=SUP_Biofuels!$O$8,LEFT(C6,20)=SUP_Biofuels!$P$8),LEFT(C6,20),C6))</f>
        <v>Typical total plant size 1,000 t biodiesel/year</v>
      </c>
      <c r="C6" s="891" t="s">
        <v>1020</v>
      </c>
      <c r="D6" s="892">
        <v>100</v>
      </c>
      <c r="E6" s="892">
        <v>100</v>
      </c>
      <c r="F6" s="892">
        <v>100</v>
      </c>
      <c r="G6" s="892">
        <v>100</v>
      </c>
      <c r="H6" s="893">
        <v>100</v>
      </c>
      <c r="I6" s="912">
        <v>0.5</v>
      </c>
      <c r="J6" s="912">
        <v>2</v>
      </c>
      <c r="K6" s="912">
        <v>0.5</v>
      </c>
      <c r="L6" s="912">
        <v>2</v>
      </c>
      <c r="M6" s="887" t="s">
        <v>694</v>
      </c>
      <c r="N6" s="887">
        <v>1</v>
      </c>
    </row>
    <row r="7" spans="2:14" ht="21.6">
      <c r="B7" t="str">
        <f>IF(IF(OR(LEFT(C7,27)=SUP_Biofuels!$N$8,LEFT(C7,20)=SUP_Biofuels!$O$8,LEFT(C7,20)=SUP_Biofuels!$P$8),LEFT(C7,20),C7)="Specific investment ","Specific investment (M€ /MW",IF(OR(LEFT(C7,27)=SUP_Biofuels!$N$8,LEFT(C7,20)=SUP_Biofuels!$O$8,LEFT(C7,20)=SUP_Biofuels!$P$8),LEFT(C7,20),C7))</f>
        <v>Typical total plant size MW biodiesel</v>
      </c>
      <c r="C7" s="911" t="s">
        <v>1019</v>
      </c>
      <c r="D7" s="910">
        <v>125</v>
      </c>
      <c r="E7" s="910">
        <v>125</v>
      </c>
      <c r="F7" s="910">
        <v>125</v>
      </c>
      <c r="G7" s="910">
        <v>125</v>
      </c>
      <c r="H7" s="909">
        <v>125</v>
      </c>
      <c r="I7" s="908">
        <v>0.5</v>
      </c>
      <c r="J7" s="908">
        <v>2</v>
      </c>
      <c r="K7" s="908">
        <v>0.5</v>
      </c>
      <c r="L7" s="908">
        <v>2</v>
      </c>
      <c r="M7" s="907" t="s">
        <v>1018</v>
      </c>
      <c r="N7" s="907"/>
    </row>
    <row r="8" spans="2:14">
      <c r="B8" t="str">
        <f>IF(IF(OR(LEFT(C8,27)=SUP_Biofuels!$N$8,LEFT(C8,20)=SUP_Biofuels!$O$8,LEFT(C8,20)=SUP_Biofuels!$P$8),LEFT(C8,20),C8)="Specific investment ","Specific investment (M€ /MW",IF(OR(LEFT(C8,27)=SUP_Biofuels!$N$8,LEFT(C8,20)=SUP_Biofuels!$O$8,LEFT(C8,20)=SUP_Biofuels!$P$8),LEFT(C8,20),C8))</f>
        <v>Inputs</v>
      </c>
      <c r="C8" s="899" t="s">
        <v>275</v>
      </c>
      <c r="D8" s="898"/>
      <c r="E8" s="898"/>
      <c r="F8" s="898"/>
      <c r="G8" s="898"/>
      <c r="H8" s="898"/>
      <c r="I8" s="893"/>
      <c r="J8" s="898"/>
      <c r="K8" s="898"/>
      <c r="L8" s="898"/>
      <c r="M8" s="897"/>
      <c r="N8" s="896"/>
    </row>
    <row r="9" spans="2:14" ht="21.6">
      <c r="B9" t="str">
        <f>IF(IF(OR(LEFT(C9,27)=SUP_Biofuels!$N$8,LEFT(C9,20)=SUP_Biofuels!$O$8,LEFT(C9,20)=SUP_Biofuels!$P$8),LEFT(C9,20),C9)="Specific investment ","Specific investment (M€ /MW",IF(OR(LEFT(C9,27)=SUP_Biofuels!$N$8,LEFT(C9,20)=SUP_Biofuels!$O$8,LEFT(C9,20)=SUP_Biofuels!$P$8),LEFT(C9,20),C9))</f>
        <v>Veg Oil Consumption, MWh/MWh Total Input</v>
      </c>
      <c r="C9" s="906" t="s">
        <v>93</v>
      </c>
      <c r="D9" s="905">
        <v>0.92500000000000004</v>
      </c>
      <c r="E9" s="905">
        <v>0.92600000000000005</v>
      </c>
      <c r="F9" s="905">
        <v>0.92900000000000005</v>
      </c>
      <c r="G9" s="905">
        <v>0.93100000000000005</v>
      </c>
      <c r="H9" s="904">
        <v>0.93300000000000005</v>
      </c>
      <c r="I9" s="903">
        <v>0.99</v>
      </c>
      <c r="J9" s="903">
        <v>1.01</v>
      </c>
      <c r="K9" s="903">
        <v>0.99</v>
      </c>
      <c r="L9" s="903">
        <v>1.01</v>
      </c>
      <c r="M9" s="902" t="s">
        <v>1016</v>
      </c>
      <c r="N9" s="902">
        <v>4</v>
      </c>
    </row>
    <row r="10" spans="2:14" ht="21.6">
      <c r="B10" t="str">
        <f>IF(IF(OR(LEFT(C10,27)=SUP_Biofuels!$N$8,LEFT(C10,20)=SUP_Biofuels!$O$8,LEFT(C10,20)=SUP_Biofuels!$P$8),LEFT(C10,20),C10)="Specific investment ","Specific investment (M€ /MW",IF(OR(LEFT(C10,27)=SUP_Biofuels!$N$8,LEFT(C10,20)=SUP_Biofuels!$O$8,LEFT(C10,20)=SUP_Biofuels!$P$8),LEFT(C10,20),C10))</f>
        <v>Methanol Consumption, MWh/MWh Total Input</v>
      </c>
      <c r="C10" s="891" t="s">
        <v>95</v>
      </c>
      <c r="D10" s="892">
        <v>4.5999999999999999E-2</v>
      </c>
      <c r="E10" s="892">
        <v>4.5999999999999999E-2</v>
      </c>
      <c r="F10" s="892">
        <v>4.5999999999999999E-2</v>
      </c>
      <c r="G10" s="892">
        <v>4.5999999999999999E-2</v>
      </c>
      <c r="H10" s="893">
        <v>4.5999999999999999E-2</v>
      </c>
      <c r="I10" s="888">
        <v>0.93</v>
      </c>
      <c r="J10" s="888">
        <v>1.07</v>
      </c>
      <c r="K10" s="888">
        <v>0.93</v>
      </c>
      <c r="L10" s="888">
        <v>1.07</v>
      </c>
      <c r="M10" s="887" t="s">
        <v>1017</v>
      </c>
      <c r="N10" s="887">
        <v>4</v>
      </c>
    </row>
    <row r="11" spans="2:14" ht="21.6">
      <c r="B11" t="str">
        <f>IF(IF(OR(LEFT(C11,27)=SUP_Biofuels!$N$8,LEFT(C11,20)=SUP_Biofuels!$O$8,LEFT(C11,20)=SUP_Biofuels!$P$8),LEFT(C11,20),C11)="Specific investment ","Specific investment (M€ /MW",IF(OR(LEFT(C11,27)=SUP_Biofuels!$N$8,LEFT(C11,20)=SUP_Biofuels!$O$8,LEFT(C11,20)=SUP_Biofuels!$P$8),LEFT(C11,20),C11))</f>
        <v>Electricity Consumption, MWh/MWh Total Input</v>
      </c>
      <c r="C11" s="891" t="s">
        <v>96</v>
      </c>
      <c r="D11" s="892">
        <v>4.0000000000000001E-3</v>
      </c>
      <c r="E11" s="892">
        <v>4.0000000000000001E-3</v>
      </c>
      <c r="F11" s="892">
        <v>3.0000000000000001E-3</v>
      </c>
      <c r="G11" s="890">
        <v>2.5000000000000001E-3</v>
      </c>
      <c r="H11" s="893">
        <v>2E-3</v>
      </c>
      <c r="I11" s="888">
        <v>0.5</v>
      </c>
      <c r="J11" s="888">
        <v>1.5</v>
      </c>
      <c r="K11" s="888">
        <v>0.75</v>
      </c>
      <c r="L11" s="888">
        <v>1.25</v>
      </c>
      <c r="M11" s="887" t="s">
        <v>1016</v>
      </c>
      <c r="N11" s="887">
        <v>4</v>
      </c>
    </row>
    <row r="12" spans="2:14" ht="21.6">
      <c r="B12" t="str">
        <f>IF(IF(OR(LEFT(C12,27)=SUP_Biofuels!$N$8,LEFT(C12,20)=SUP_Biofuels!$O$8,LEFT(C12,20)=SUP_Biofuels!$P$8),LEFT(C12,20),C12)="Specific investment ","Specific investment (M€ /MW",IF(OR(LEFT(C12,27)=SUP_Biofuels!$N$8,LEFT(C12,20)=SUP_Biofuels!$O$8,LEFT(C12,20)=SUP_Biofuels!$P$8),LEFT(C12,20),C12))</f>
        <v>Natural Gas Consumption, MWh/MWh Total Input</v>
      </c>
      <c r="C12" s="891" t="s">
        <v>97</v>
      </c>
      <c r="D12" s="892">
        <v>2.5000000000000001E-2</v>
      </c>
      <c r="E12" s="892">
        <v>2.4E-2</v>
      </c>
      <c r="F12" s="892">
        <v>2.1999999999999999E-2</v>
      </c>
      <c r="G12" s="892">
        <v>0.02</v>
      </c>
      <c r="H12" s="893">
        <v>1.7999999999999999E-2</v>
      </c>
      <c r="I12" s="888">
        <v>0.5</v>
      </c>
      <c r="J12" s="888">
        <v>1.5</v>
      </c>
      <c r="K12" s="888">
        <v>0.75</v>
      </c>
      <c r="L12" s="888">
        <v>1.25</v>
      </c>
      <c r="M12" s="887" t="s">
        <v>1016</v>
      </c>
      <c r="N12" s="887">
        <v>4</v>
      </c>
    </row>
    <row r="13" spans="2:14">
      <c r="B13" t="str">
        <f>IF(IF(OR(LEFT(C13,27)=SUP_Biofuels!$N$8,LEFT(C13,20)=SUP_Biofuels!$O$8,LEFT(C13,20)=SUP_Biofuels!$P$8),LEFT(C13,20),C13)="Specific investment ","Specific investment (M€ /MW",IF(OR(LEFT(C13,27)=SUP_Biofuels!$N$8,LEFT(C13,20)=SUP_Biofuels!$O$8,LEFT(C13,20)=SUP_Biofuels!$P$8),LEFT(C13,20),C13))</f>
        <v>Outputs</v>
      </c>
      <c r="C13" s="901" t="s">
        <v>271</v>
      </c>
      <c r="D13" s="892"/>
      <c r="E13" s="892"/>
      <c r="F13" s="892"/>
      <c r="G13" s="892"/>
      <c r="H13" s="893"/>
      <c r="I13" s="892"/>
      <c r="J13" s="892"/>
      <c r="K13" s="892"/>
      <c r="L13" s="892"/>
      <c r="M13" s="887"/>
      <c r="N13" s="887"/>
    </row>
    <row r="14" spans="2:14" ht="21.6">
      <c r="B14" t="str">
        <f>IF(IF(OR(LEFT(C14,27)=SUP_Biofuels!$N$8,LEFT(C14,20)=SUP_Biofuels!$O$8,LEFT(C14,20)=SUP_Biofuels!$P$8),LEFT(C14,20),C14)="Specific investment ","Specific investment (M€ /MW",IF(OR(LEFT(C14,27)=SUP_Biofuels!$N$8,LEFT(C14,20)=SUP_Biofuels!$O$8,LEFT(C14,20)=SUP_Biofuels!$P$8),LEFT(C14,20),C14))</f>
        <v>Biodiesel Output, MWh/MWh Total Input</v>
      </c>
      <c r="C14" s="891" t="s">
        <v>94</v>
      </c>
      <c r="D14" s="892">
        <v>0.90300000000000002</v>
      </c>
      <c r="E14" s="892">
        <v>0.90300000000000002</v>
      </c>
      <c r="F14" s="892">
        <v>0.90300000000000002</v>
      </c>
      <c r="G14" s="892">
        <v>0.90300000000000002</v>
      </c>
      <c r="H14" s="893">
        <v>0.90300000000000002</v>
      </c>
      <c r="I14" s="888">
        <v>0.99</v>
      </c>
      <c r="J14" s="888">
        <v>1.01</v>
      </c>
      <c r="K14" s="888">
        <v>0.99</v>
      </c>
      <c r="L14" s="888">
        <v>1.01</v>
      </c>
      <c r="M14" s="887" t="s">
        <v>255</v>
      </c>
      <c r="N14" s="887">
        <v>4</v>
      </c>
    </row>
    <row r="15" spans="2:14" ht="21.6">
      <c r="B15" t="str">
        <f>IF(IF(OR(LEFT(C15,27)=SUP_Biofuels!$N$8,LEFT(C15,20)=SUP_Biofuels!$O$8,LEFT(C15,20)=SUP_Biofuels!$P$8),LEFT(C15,20),C15)="Specific investment ","Specific investment (M€ /MW",IF(OR(LEFT(C15,27)=SUP_Biofuels!$N$8,LEFT(C15,20)=SUP_Biofuels!$O$8,LEFT(C15,20)=SUP_Biofuels!$P$8),LEFT(C15,20),C15))</f>
        <v>Glycerine  Output, MWh/MWh Total Input</v>
      </c>
      <c r="C15" s="891" t="s">
        <v>98</v>
      </c>
      <c r="D15" s="892">
        <v>3.9E-2</v>
      </c>
      <c r="E15" s="892">
        <v>3.9E-2</v>
      </c>
      <c r="F15" s="892">
        <v>3.9E-2</v>
      </c>
      <c r="G15" s="892">
        <v>3.9E-2</v>
      </c>
      <c r="H15" s="893">
        <v>3.9E-2</v>
      </c>
      <c r="I15" s="888">
        <v>0.99</v>
      </c>
      <c r="J15" s="888">
        <v>1.01</v>
      </c>
      <c r="K15" s="888">
        <v>0.99</v>
      </c>
      <c r="L15" s="888">
        <v>1.01</v>
      </c>
      <c r="M15" s="887" t="s">
        <v>255</v>
      </c>
      <c r="N15" s="887">
        <v>4</v>
      </c>
    </row>
    <row r="16" spans="2:14">
      <c r="B16">
        <f>IF(IF(OR(LEFT(C16,27)=SUP_Biofuels!$N$8,LEFT(C16,20)=SUP_Biofuels!$O$8,LEFT(C16,20)=SUP_Biofuels!$P$8),LEFT(C16,20),C16)="Specific investment ","Specific investment (M€ /MW",IF(OR(LEFT(C16,27)=SUP_Biofuels!$N$8,LEFT(C16,20)=SUP_Biofuels!$O$8,LEFT(C16,20)=SUP_Biofuels!$P$8),LEFT(C16,20),C16))</f>
        <v>0</v>
      </c>
      <c r="C16" s="899"/>
      <c r="D16" s="898"/>
      <c r="E16" s="898"/>
      <c r="F16" s="898"/>
      <c r="G16" s="898"/>
      <c r="H16" s="898"/>
      <c r="I16" s="893"/>
      <c r="J16" s="898"/>
      <c r="K16" s="898"/>
      <c r="L16" s="898"/>
      <c r="M16" s="897"/>
      <c r="N16" s="896"/>
    </row>
    <row r="17" spans="2:14">
      <c r="B17" t="str">
        <f>IF(IF(OR(LEFT(C17,27)=SUP_Biofuels!$N$8,LEFT(C17,20)=SUP_Biofuels!$O$8,LEFT(C17,20)=SUP_Biofuels!$P$8),LEFT(C17,20),C17)="Specific investment ","Specific investment (M€ /MW",IF(OR(LEFT(C17,27)=SUP_Biofuels!$N$8,LEFT(C17,20)=SUP_Biofuels!$O$8,LEFT(C17,20)=SUP_Biofuels!$P$8),LEFT(C17,20),C17))</f>
        <v>Forced outage (%)</v>
      </c>
      <c r="C17" s="891" t="s">
        <v>59</v>
      </c>
      <c r="D17" s="892">
        <v>0</v>
      </c>
      <c r="E17" s="892">
        <v>0</v>
      </c>
      <c r="F17" s="892">
        <v>0</v>
      </c>
      <c r="G17" s="892">
        <v>0</v>
      </c>
      <c r="H17" s="893">
        <v>0</v>
      </c>
      <c r="I17" s="892"/>
      <c r="J17" s="892"/>
      <c r="K17" s="892"/>
      <c r="L17" s="892"/>
      <c r="M17" s="887" t="s">
        <v>393</v>
      </c>
      <c r="N17" s="887"/>
    </row>
    <row r="18" spans="2:14" ht="21.6">
      <c r="B18" t="str">
        <f>IF(IF(OR(LEFT(C18,27)=SUP_Biofuels!$N$8,LEFT(C18,20)=SUP_Biofuels!$O$8,LEFT(C18,20)=SUP_Biofuels!$P$8),LEFT(C18,20),C18)="Specific investment ","Specific investment (M€ /MW",IF(OR(LEFT(C18,27)=SUP_Biofuels!$N$8,LEFT(C18,20)=SUP_Biofuels!$O$8,LEFT(C18,20)=SUP_Biofuels!$P$8),LEFT(C18,20),C18))</f>
        <v>Planned outage (weeks per year)</v>
      </c>
      <c r="C18" s="891" t="s">
        <v>92</v>
      </c>
      <c r="D18" s="892">
        <v>2</v>
      </c>
      <c r="E18" s="892">
        <v>2</v>
      </c>
      <c r="F18" s="892">
        <v>2</v>
      </c>
      <c r="G18" s="892">
        <v>2</v>
      </c>
      <c r="H18" s="893">
        <v>2</v>
      </c>
      <c r="I18" s="892"/>
      <c r="J18" s="892"/>
      <c r="K18" s="892"/>
      <c r="L18" s="887"/>
      <c r="M18" s="887"/>
      <c r="N18" s="892"/>
    </row>
    <row r="19" spans="2:14">
      <c r="B19" t="str">
        <f>IF(IF(OR(LEFT(C19,27)=SUP_Biofuels!$N$8,LEFT(C19,20)=SUP_Biofuels!$O$8,LEFT(C19,20)=SUP_Biofuels!$P$8),LEFT(C19,20),C19)="Specific investment ","Specific investment (M€ /MW",IF(OR(LEFT(C19,27)=SUP_Biofuels!$N$8,LEFT(C19,20)=SUP_Biofuels!$O$8,LEFT(C19,20)=SUP_Biofuels!$P$8),LEFT(C19,20),C19))</f>
        <v>Technical lifetime (years)</v>
      </c>
      <c r="C19" s="891" t="s">
        <v>58</v>
      </c>
      <c r="D19" s="892">
        <v>25</v>
      </c>
      <c r="E19" s="892">
        <v>25</v>
      </c>
      <c r="F19" s="892">
        <v>25</v>
      </c>
      <c r="G19" s="892">
        <v>25</v>
      </c>
      <c r="H19" s="893">
        <v>25</v>
      </c>
      <c r="I19" s="892"/>
      <c r="J19" s="892"/>
      <c r="K19" s="892"/>
      <c r="L19" s="887"/>
      <c r="M19" s="887"/>
      <c r="N19" s="892"/>
    </row>
    <row r="20" spans="2:14">
      <c r="B20" t="str">
        <f>IF(IF(OR(LEFT(C20,27)=SUP_Biofuels!$N$8,LEFT(C20,20)=SUP_Biofuels!$O$8,LEFT(C20,20)=SUP_Biofuels!$P$8),LEFT(C20,20),C20)="Specific investment ","Specific investment (M€ /MW",IF(OR(LEFT(C20,27)=SUP_Biofuels!$N$8,LEFT(C20,20)=SUP_Biofuels!$O$8,LEFT(C20,20)=SUP_Biofuels!$P$8),LEFT(C20,20),C20))</f>
        <v>Construction time (years)</v>
      </c>
      <c r="C20" s="891" t="s">
        <v>60</v>
      </c>
      <c r="D20" s="892">
        <v>1.5</v>
      </c>
      <c r="E20" s="892">
        <v>1.5</v>
      </c>
      <c r="F20" s="892">
        <v>1.5</v>
      </c>
      <c r="G20" s="892">
        <v>1.5</v>
      </c>
      <c r="H20" s="893">
        <v>1.5</v>
      </c>
      <c r="I20" s="892"/>
      <c r="J20" s="892"/>
      <c r="K20" s="892"/>
      <c r="L20" s="887"/>
      <c r="M20" s="887"/>
      <c r="N20" s="892"/>
    </row>
    <row r="21" spans="2:14">
      <c r="B21" t="str">
        <f>IF(IF(OR(LEFT(C21,27)=SUP_Biofuels!$N$8,LEFT(C21,20)=SUP_Biofuels!$O$8,LEFT(C21,20)=SUP_Biofuels!$P$8),LEFT(C21,20),C21)="Specific investment ","Specific investment (M€ /MW",IF(OR(LEFT(C21,27)=SUP_Biofuels!$N$8,LEFT(C21,20)=SUP_Biofuels!$O$8,LEFT(C21,20)=SUP_Biofuels!$P$8),LEFT(C21,20),C21))</f>
        <v xml:space="preserve">Financial data                                 </v>
      </c>
      <c r="C21" s="899" t="s">
        <v>264</v>
      </c>
      <c r="D21" s="898"/>
      <c r="E21" s="898"/>
      <c r="F21" s="898"/>
      <c r="G21" s="898"/>
      <c r="H21" s="898"/>
      <c r="I21" s="893"/>
      <c r="J21" s="898"/>
      <c r="K21" s="898"/>
      <c r="L21" s="898"/>
      <c r="M21" s="897"/>
      <c r="N21" s="896"/>
    </row>
    <row r="22" spans="2:14">
      <c r="B22" t="str">
        <f>IF(IF(OR(LEFT(C22,27)=SUP_Biofuels!$N$8,LEFT(C22,20)=SUP_Biofuels!$O$8,LEFT(C22,20)=SUP_Biofuels!$P$8),LEFT(C22,20),C22)="Specific investment ","Specific investment (M€ /MW",IF(OR(LEFT(C22,27)=SUP_Biofuels!$N$8,LEFT(C22,20)=SUP_Biofuels!$O$8,LEFT(C22,20)=SUP_Biofuels!$P$8),LEFT(C22,20),C22))</f>
        <v>Specific investment (M€ /MW</v>
      </c>
      <c r="C22" s="891" t="s">
        <v>1015</v>
      </c>
      <c r="D22" s="900">
        <f>D31/1.25</f>
        <v>0.51200000000000001</v>
      </c>
      <c r="E22" s="900">
        <f>E31/1.25</f>
        <v>0.504</v>
      </c>
      <c r="F22" s="900">
        <f>F31/1.25</f>
        <v>0.496</v>
      </c>
      <c r="G22" s="900">
        <v>0.49</v>
      </c>
      <c r="H22" s="895">
        <f>H31/1.25</f>
        <v>0.48</v>
      </c>
      <c r="I22" s="888">
        <v>0.9</v>
      </c>
      <c r="J22" s="888">
        <v>1.1000000000000001</v>
      </c>
      <c r="K22" s="888">
        <v>0.9</v>
      </c>
      <c r="L22" s="888">
        <v>1.1000000000000001</v>
      </c>
      <c r="M22" s="887" t="s">
        <v>1014</v>
      </c>
      <c r="N22" s="887"/>
    </row>
    <row r="23" spans="2:14">
      <c r="B23" t="str">
        <f>IF(IF(OR(LEFT(C23,27)=SUP_Biofuels!$N$8,LEFT(C23,20)=SUP_Biofuels!$O$8,LEFT(C23,20)=SUP_Biofuels!$P$8),LEFT(C23,20),C23)="Specific investment ","Specific investment (M€ /MW",IF(OR(LEFT(C23,27)=SUP_Biofuels!$N$8,LEFT(C23,20)=SUP_Biofuels!$O$8,LEFT(C23,20)=SUP_Biofuels!$P$8),LEFT(C23,20),C23))</f>
        <v>- equipment (%)</v>
      </c>
      <c r="C23" s="891" t="s">
        <v>252</v>
      </c>
      <c r="D23" s="894" t="s">
        <v>1008</v>
      </c>
      <c r="E23" s="892">
        <v>75</v>
      </c>
      <c r="F23" s="892">
        <v>75</v>
      </c>
      <c r="G23" s="892">
        <v>75</v>
      </c>
      <c r="H23" s="893">
        <v>75</v>
      </c>
      <c r="I23" s="892"/>
      <c r="J23" s="892"/>
      <c r="K23" s="892"/>
      <c r="L23" s="892"/>
      <c r="M23" s="887" t="s">
        <v>389</v>
      </c>
      <c r="N23" s="887"/>
    </row>
    <row r="24" spans="2:14">
      <c r="B24" t="str">
        <f>IF(IF(OR(LEFT(C24,27)=SUP_Biofuels!$N$8,LEFT(C24,20)=SUP_Biofuels!$O$8,LEFT(C24,20)=SUP_Biofuels!$P$8),LEFT(C24,20),C24)="Specific investment ","Specific investment (M€ /MW",IF(OR(LEFT(C24,27)=SUP_Biofuels!$N$8,LEFT(C24,20)=SUP_Biofuels!$O$8,LEFT(C24,20)=SUP_Biofuels!$P$8),LEFT(C24,20),C24))</f>
        <v>- installation (%)</v>
      </c>
      <c r="C24" s="891" t="s">
        <v>1007</v>
      </c>
      <c r="D24" s="894" t="s">
        <v>1006</v>
      </c>
      <c r="E24" s="892">
        <v>25</v>
      </c>
      <c r="F24" s="892">
        <v>25</v>
      </c>
      <c r="G24" s="892">
        <v>25</v>
      </c>
      <c r="H24" s="893">
        <v>25</v>
      </c>
      <c r="I24" s="892"/>
      <c r="J24" s="892"/>
      <c r="K24" s="892"/>
      <c r="L24" s="892"/>
      <c r="M24" s="887" t="s">
        <v>389</v>
      </c>
      <c r="N24" s="887"/>
    </row>
    <row r="25" spans="2:14">
      <c r="B25" t="str">
        <f>LEFT(C25,17)</f>
        <v>Fixed O&amp;M (M€ /MW</v>
      </c>
      <c r="C25" s="891" t="s">
        <v>1013</v>
      </c>
      <c r="D25" s="890">
        <v>1.7600000000000001E-2</v>
      </c>
      <c r="E25" s="890">
        <v>1.7600000000000001E-2</v>
      </c>
      <c r="F25" s="890">
        <v>1.7600000000000001E-2</v>
      </c>
      <c r="G25" s="890">
        <v>1.7600000000000001E-2</v>
      </c>
      <c r="H25" s="889">
        <v>1.7600000000000001E-2</v>
      </c>
      <c r="I25" s="888">
        <v>0.9</v>
      </c>
      <c r="J25" s="888">
        <v>1.1000000000000001</v>
      </c>
      <c r="K25" s="888">
        <v>0.9</v>
      </c>
      <c r="L25" s="888">
        <v>1.1000000000000001</v>
      </c>
      <c r="M25" s="887" t="s">
        <v>1003</v>
      </c>
      <c r="N25" s="887"/>
    </row>
    <row r="26" spans="2:14">
      <c r="B26" t="str">
        <f>LEFT(C26,19)</f>
        <v>Variable O&amp;M (€ /MW</v>
      </c>
      <c r="C26" s="891" t="s">
        <v>247</v>
      </c>
      <c r="D26" s="900">
        <v>6.77</v>
      </c>
      <c r="E26" s="900">
        <v>6.77</v>
      </c>
      <c r="F26" s="900">
        <v>6.77</v>
      </c>
      <c r="G26" s="900">
        <v>6.77</v>
      </c>
      <c r="H26" s="895">
        <v>6.77</v>
      </c>
      <c r="I26" s="888">
        <v>0.9</v>
      </c>
      <c r="J26" s="888">
        <v>1.1000000000000001</v>
      </c>
      <c r="K26" s="888">
        <v>0.9</v>
      </c>
      <c r="L26" s="888">
        <v>1.1000000000000001</v>
      </c>
      <c r="M26" s="887" t="s">
        <v>1003</v>
      </c>
      <c r="N26" s="887"/>
    </row>
    <row r="27" spans="2:14">
      <c r="B27" t="str">
        <f>IF(IF(OR(LEFT(C27,27)=SUP_Biofuels!$N$8,LEFT(C27,20)=SUP_Biofuels!$O$8,LEFT(C27,20)=SUP_Biofuels!$P$8),LEFT(C27,20),C27)="Specific investment ","Specific investment (M€ /MW",IF(OR(LEFT(C27,27)=SUP_Biofuels!$N$8,LEFT(C27,20)=SUP_Biofuels!$O$8,LEFT(C27,20)=SUP_Biofuels!$P$8),LEFT(C27,20),C27))</f>
        <v>Start-up (M € /MW)</v>
      </c>
      <c r="C27" s="891" t="s">
        <v>1012</v>
      </c>
      <c r="D27" s="892">
        <v>0</v>
      </c>
      <c r="E27" s="892">
        <v>0</v>
      </c>
      <c r="F27" s="892">
        <v>0</v>
      </c>
      <c r="G27" s="892">
        <v>0</v>
      </c>
      <c r="H27" s="893">
        <v>0</v>
      </c>
      <c r="I27" s="892"/>
      <c r="J27" s="892"/>
      <c r="K27" s="892"/>
      <c r="L27" s="892"/>
      <c r="M27" s="887"/>
      <c r="N27" s="887"/>
    </row>
    <row r="28" spans="2:14">
      <c r="B28" t="str">
        <f>IF(IF(OR(LEFT(C28,27)=SUP_Biofuels!$N$8,LEFT(C28,20)=SUP_Biofuels!$O$8,LEFT(C28,20)=SUP_Biofuels!$P$8),LEFT(C28,20),C28)="Specific investment ","Specific investment (M€ /MW",IF(OR(LEFT(C28,27)=SUP_Biofuels!$N$8,LEFT(C28,20)=SUP_Biofuels!$O$8,LEFT(C28,20)=SUP_Biofuels!$P$8),LEFT(C28,20),C28))</f>
        <v xml:space="preserve">Technology specific data                                 </v>
      </c>
      <c r="C28" s="899" t="s">
        <v>260</v>
      </c>
      <c r="D28" s="898"/>
      <c r="E28" s="898"/>
      <c r="F28" s="898"/>
      <c r="G28" s="898"/>
      <c r="H28" s="898"/>
      <c r="I28" s="893"/>
      <c r="J28" s="898"/>
      <c r="K28" s="898"/>
      <c r="L28" s="898"/>
      <c r="M28" s="897"/>
      <c r="N28" s="896"/>
    </row>
    <row r="29" spans="2:14" ht="21.6">
      <c r="B29" t="str">
        <f>IF(IF(OR(LEFT(C29,27)=SUP_Biofuels!$N$8,LEFT(C29,20)=SUP_Biofuels!$O$8,LEFT(C29,20)=SUP_Biofuels!$P$8),LEFT(C29,20),C29)="Specific investment ","Specific investment (M€ /MW",IF(OR(LEFT(C29,27)=SUP_Biofuels!$N$8,LEFT(C29,20)=SUP_Biofuels!$O$8,LEFT(C29,20)=SUP_Biofuels!$P$8),LEFT(C29,20),C29))</f>
        <v>Specific energy content (GJ/ton) biodiesel)</v>
      </c>
      <c r="C29" s="891" t="s">
        <v>1011</v>
      </c>
      <c r="D29" s="892">
        <v>37.200000000000003</v>
      </c>
      <c r="E29" s="892">
        <v>37.200000000000003</v>
      </c>
      <c r="F29" s="892">
        <v>37.200000000000003</v>
      </c>
      <c r="G29" s="892">
        <v>37.200000000000003</v>
      </c>
      <c r="H29" s="893">
        <v>37.200000000000003</v>
      </c>
      <c r="I29" s="892"/>
      <c r="J29" s="892"/>
      <c r="K29" s="892"/>
      <c r="L29" s="887"/>
      <c r="M29" s="887"/>
      <c r="N29" s="892"/>
    </row>
    <row r="30" spans="2:14" ht="21.6">
      <c r="B30" t="str">
        <f>IF(IF(OR(LEFT(C30,27)=SUP_Biofuels!$N$8,LEFT(C30,20)=SUP_Biofuels!$O$8,LEFT(C30,20)=SUP_Biofuels!$P$8),LEFT(C30,20),C30)="Specific investment ","Specific investment (M€ /MW",IF(OR(LEFT(C30,27)=SUP_Biofuels!$N$8,LEFT(C30,20)=SUP_Biofuels!$O$8,LEFT(C30,20)=SUP_Biofuels!$P$8),LEFT(C30,20),C30))</f>
        <v>Specific density  (kg/l) or (ton/m3)</v>
      </c>
      <c r="C30" s="891" t="s">
        <v>257</v>
      </c>
      <c r="D30" s="892">
        <v>0.88500000000000001</v>
      </c>
      <c r="E30" s="892">
        <v>0.88500000000000001</v>
      </c>
      <c r="F30" s="892">
        <v>0.88500000000000001</v>
      </c>
      <c r="G30" s="892">
        <v>0.88500000000000001</v>
      </c>
      <c r="H30" s="893">
        <v>0.88500000000000001</v>
      </c>
      <c r="I30" s="892"/>
      <c r="J30" s="892"/>
      <c r="K30" s="892"/>
      <c r="L30" s="892"/>
      <c r="M30" s="892"/>
      <c r="N30" s="892"/>
    </row>
    <row r="31" spans="2:14" ht="21.6">
      <c r="B31" t="str">
        <f>IF(IF(OR(LEFT(C31,27)=SUP_Biofuels!$N$8,LEFT(C31,20)=SUP_Biofuels!$O$8,LEFT(C31,20)=SUP_Biofuels!$P$8),LEFT(C31,20),C31)="Specific investment ","Specific investment (M€ /MW",IF(OR(LEFT(C31,27)=SUP_Biofuels!$N$8,LEFT(C31,20)=SUP_Biofuels!$O$8,LEFT(C31,20)=SUP_Biofuels!$P$8),LEFT(C31,20),C31))</f>
        <v>Specific investment (M € /1,000 t biodiesel/year)</v>
      </c>
      <c r="C31" s="891" t="s">
        <v>1010</v>
      </c>
      <c r="D31" s="894">
        <v>0.64</v>
      </c>
      <c r="E31" s="892">
        <v>0.63</v>
      </c>
      <c r="F31" s="892">
        <v>0.62</v>
      </c>
      <c r="G31" s="892">
        <v>0.61</v>
      </c>
      <c r="H31" s="895">
        <v>0.6</v>
      </c>
      <c r="I31" s="888">
        <v>0.9</v>
      </c>
      <c r="J31" s="888">
        <v>1.1000000000000001</v>
      </c>
      <c r="K31" s="888">
        <v>0.9</v>
      </c>
      <c r="L31" s="888">
        <v>1.1000000000000001</v>
      </c>
      <c r="M31" s="887" t="s">
        <v>1009</v>
      </c>
      <c r="N31" s="887"/>
    </row>
    <row r="32" spans="2:14">
      <c r="B32" t="str">
        <f>IF(IF(OR(LEFT(C32,27)=SUP_Biofuels!$N$8,LEFT(C32,20)=SUP_Biofuels!$O$8,LEFT(C32,20)=SUP_Biofuels!$P$8),LEFT(C32,20),C32)="Specific investment ","Specific investment (M€ /MW",IF(OR(LEFT(C32,27)=SUP_Biofuels!$N$8,LEFT(C32,20)=SUP_Biofuels!$O$8,LEFT(C32,20)=SUP_Biofuels!$P$8),LEFT(C32,20),C32))</f>
        <v>- equipment (%)</v>
      </c>
      <c r="C32" s="891" t="s">
        <v>252</v>
      </c>
      <c r="D32" s="894" t="s">
        <v>1008</v>
      </c>
      <c r="E32" s="892">
        <v>75</v>
      </c>
      <c r="F32" s="892">
        <v>75</v>
      </c>
      <c r="G32" s="892">
        <v>75</v>
      </c>
      <c r="H32" s="893">
        <v>75</v>
      </c>
      <c r="I32" s="892"/>
      <c r="J32" s="892"/>
      <c r="K32" s="892"/>
      <c r="L32" s="892"/>
      <c r="M32" s="887" t="s">
        <v>389</v>
      </c>
      <c r="N32" s="887"/>
    </row>
    <row r="33" spans="2:14">
      <c r="B33" t="str">
        <f>IF(IF(OR(LEFT(C33,27)=SUP_Biofuels!$N$8,LEFT(C33,20)=SUP_Biofuels!$O$8,LEFT(C33,20)=SUP_Biofuels!$P$8),LEFT(C33,20),C33)="Specific investment ","Specific investment (M€ /MW",IF(OR(LEFT(C33,27)=SUP_Biofuels!$N$8,LEFT(C33,20)=SUP_Biofuels!$O$8,LEFT(C33,20)=SUP_Biofuels!$P$8),LEFT(C33,20),C33))</f>
        <v>- installation (%)</v>
      </c>
      <c r="C33" s="891" t="s">
        <v>1007</v>
      </c>
      <c r="D33" s="894" t="s">
        <v>1006</v>
      </c>
      <c r="E33" s="892">
        <v>25</v>
      </c>
      <c r="F33" s="892">
        <v>25</v>
      </c>
      <c r="G33" s="892">
        <v>25</v>
      </c>
      <c r="H33" s="893">
        <v>25</v>
      </c>
      <c r="I33" s="892"/>
      <c r="J33" s="892"/>
      <c r="K33" s="892"/>
      <c r="L33" s="892"/>
      <c r="M33" s="887" t="s">
        <v>389</v>
      </c>
      <c r="N33" s="887"/>
    </row>
    <row r="34" spans="2:14" ht="21.6">
      <c r="B34" t="str">
        <f>IF(IF(OR(LEFT(C34,27)=SUP_Biofuels!$N$8,LEFT(C34,20)=SUP_Biofuels!$O$8,LEFT(C34,20)=SUP_Biofuels!$P$8),LEFT(C34,20),C34)="Specific investment ","Specific investment (M€ /MW",IF(OR(LEFT(C34,27)=SUP_Biofuels!$N$8,LEFT(C34,20)=SUP_Biofuels!$O$8,LEFT(C34,20)=SUP_Biofuels!$P$8),LEFT(C34,20),C34))</f>
        <v>Fixed O&amp;M (M € /1,000 t biodiesel)</v>
      </c>
      <c r="C34" s="891" t="s">
        <v>1005</v>
      </c>
      <c r="D34" s="890">
        <v>2.1999999999999999E-2</v>
      </c>
      <c r="E34" s="890">
        <v>2.1999999999999999E-2</v>
      </c>
      <c r="F34" s="890">
        <v>2.1999999999999999E-2</v>
      </c>
      <c r="G34" s="890">
        <v>2.1999999999999999E-2</v>
      </c>
      <c r="H34" s="889">
        <v>2.1999999999999999E-2</v>
      </c>
      <c r="I34" s="888">
        <v>0.9</v>
      </c>
      <c r="J34" s="888">
        <v>1.1000000000000001</v>
      </c>
      <c r="K34" s="888">
        <v>0.9</v>
      </c>
      <c r="L34" s="888">
        <v>1.1000000000000001</v>
      </c>
      <c r="M34" s="887" t="s">
        <v>1003</v>
      </c>
      <c r="N34" s="887"/>
    </row>
    <row r="35" spans="2:14" ht="21.6">
      <c r="B35" t="str">
        <f>IF(IF(OR(LEFT(C35,27)=SUP_Biofuels!$N$8,LEFT(C35,20)=SUP_Biofuels!$O$8,LEFT(C35,20)=SUP_Biofuels!$P$8),LEFT(C35,20),C35)="Specific investment ","Specific investment (M€ /MW",IF(OR(LEFT(C35,27)=SUP_Biofuels!$N$8,LEFT(C35,20)=SUP_Biofuels!$O$8,LEFT(C35,20)=SUP_Biofuels!$P$8),LEFT(C35,20),C35))</f>
        <v>Variable O&amp;M (M € /1,000 t biodiesel)</v>
      </c>
      <c r="C35" s="891" t="s">
        <v>1004</v>
      </c>
      <c r="D35" s="890">
        <v>7.0000000000000007E-2</v>
      </c>
      <c r="E35" s="890">
        <v>7.0000000000000007E-2</v>
      </c>
      <c r="F35" s="890">
        <v>7.0000000000000007E-2</v>
      </c>
      <c r="G35" s="890">
        <v>7.0000000000000007E-2</v>
      </c>
      <c r="H35" s="889">
        <v>7.0000000000000007E-2</v>
      </c>
      <c r="I35" s="888">
        <v>0.9</v>
      </c>
      <c r="J35" s="888">
        <v>1.1000000000000001</v>
      </c>
      <c r="K35" s="888">
        <v>0.9</v>
      </c>
      <c r="L35" s="888">
        <v>1.1000000000000001</v>
      </c>
      <c r="M35" s="887" t="s">
        <v>1003</v>
      </c>
      <c r="N35" s="887"/>
    </row>
    <row r="38" spans="2:14">
      <c r="C38" s="886" t="s">
        <v>695</v>
      </c>
    </row>
    <row r="39" spans="2:14">
      <c r="C39" s="885" t="s">
        <v>1002</v>
      </c>
    </row>
    <row r="40" spans="2:14">
      <c r="C40" s="885" t="s">
        <v>1001</v>
      </c>
    </row>
    <row r="41" spans="2:14">
      <c r="C41" s="885" t="s">
        <v>1000</v>
      </c>
    </row>
    <row r="42" spans="2:14">
      <c r="C42" s="885" t="s">
        <v>999</v>
      </c>
    </row>
    <row r="43" spans="2:14">
      <c r="C43" s="885" t="s">
        <v>998</v>
      </c>
    </row>
    <row r="44" spans="2:14">
      <c r="C44" s="885" t="s">
        <v>997</v>
      </c>
    </row>
    <row r="45" spans="2:14">
      <c r="C45" s="885" t="s">
        <v>996</v>
      </c>
    </row>
    <row r="46" spans="2:14">
      <c r="C46" s="885" t="s">
        <v>995</v>
      </c>
    </row>
    <row r="47" spans="2:14">
      <c r="C47" s="885" t="s">
        <v>994</v>
      </c>
    </row>
    <row r="48" spans="2:14">
      <c r="C48" s="885" t="s">
        <v>993</v>
      </c>
    </row>
    <row r="49" spans="3:3">
      <c r="C49" s="885" t="s">
        <v>992</v>
      </c>
    </row>
    <row r="50" spans="3:3">
      <c r="C50" s="885" t="s">
        <v>991</v>
      </c>
    </row>
    <row r="51" spans="3:3">
      <c r="C51" s="885" t="s">
        <v>990</v>
      </c>
    </row>
    <row r="53" spans="3:3">
      <c r="C53" s="886" t="s">
        <v>989</v>
      </c>
    </row>
    <row r="54" spans="3:3">
      <c r="C54" s="885" t="s">
        <v>988</v>
      </c>
    </row>
    <row r="55" spans="3:3">
      <c r="C55" s="885" t="s">
        <v>987</v>
      </c>
    </row>
    <row r="56" spans="3:3">
      <c r="C56" s="885" t="s">
        <v>986</v>
      </c>
    </row>
    <row r="57" spans="3:3">
      <c r="C57" s="885" t="s">
        <v>985</v>
      </c>
    </row>
    <row r="58" spans="3:3">
      <c r="C58" s="885" t="s">
        <v>984</v>
      </c>
    </row>
    <row r="59" spans="3:3">
      <c r="C59" s="885" t="s">
        <v>983</v>
      </c>
    </row>
    <row r="60" spans="3:3">
      <c r="C60" s="885" t="s">
        <v>982</v>
      </c>
    </row>
    <row r="61" spans="3:3">
      <c r="C61" s="885" t="s">
        <v>981</v>
      </c>
    </row>
    <row r="62" spans="3:3">
      <c r="C62" s="885" t="s">
        <v>980</v>
      </c>
    </row>
    <row r="63" spans="3:3">
      <c r="C63" s="885" t="s">
        <v>979</v>
      </c>
    </row>
    <row r="64" spans="3:3">
      <c r="C64" s="885" t="s">
        <v>978</v>
      </c>
    </row>
  </sheetData>
  <mergeCells count="2">
    <mergeCell ref="I3:J3"/>
    <mergeCell ref="K3:L3"/>
  </mergeCells>
  <hyperlinks>
    <hyperlink ref="C55" r:id="rId1" display="https://www.iisd.org/gsi/sites/default/files/bf_awc_germany.pdf" xr:uid="{FBD3C235-0B0D-454B-969C-05035006EC0D}"/>
    <hyperlink ref="C56" r:id="rId2" display="http://www.desmetballestra.com/images/PDF-Brochures-2014/Biodiesel2015.pdf" xr:uid="{82E7A62B-3B94-4568-9402-C9977708CFF6}"/>
    <hyperlink ref="C57" r:id="rId3" display="http://www.eia.gov/cfapps/ipdbproject/IEDIndex3.cfm?tid=79&amp;pid=79&amp;aid=1" xr:uid="{3B63F6C6-9A93-4ECD-A6AD-3B87019FD76B}"/>
    <hyperlink ref="C58" r:id="rId4" display="https://ens.dk/sites/ens.dk/files/Statistik/energy_statistics_2015.pdf" xr:uid="{81E735B8-8DB5-43D6-81D1-17CD10E8DA63}"/>
    <hyperlink ref="C59" r:id="rId5" display="http://task39.sites.olt.ubc.ca/files/2015/06/IEA-Bioenergy-Task-39-Newsletter-Issue-39-May-2015-final.pdf" xr:uid="{2765F7DA-BBD1-4759-82A8-7E9EB0333474}"/>
    <hyperlink ref="C60" r:id="rId6" display="https://doi.org/10.1016/j.biortech.2017.12.031" xr:uid="{0614CEA1-0768-4C13-A16E-DC4DDEE51230}"/>
    <hyperlink ref="C61" r:id="rId7" display="https://www.cargill.com/2017/cargill-to-build-state-of-the-art-biodiesel-plant-in-wichita-ks" xr:uid="{17FF029D-6D4E-42EB-8192-E4E4B4120575}"/>
    <hyperlink ref="C62" r:id="rId8" display="http://www.irena.org/-/media/Files/IRENA/Agency/Publication/2013/Road_Transport.ashx" xr:uid="{FEA70B4C-260F-4626-83F1-21B5D8C9F51B}"/>
    <hyperlink ref="C63" r:id="rId9" display="http://task39.sites.olt.ubc.ca/files/2013/05/Technological-learning-in-the-German-Biodiesel-Industry.pdf" xr:uid="{3E332269-D72C-472C-A5D0-D66CDE8C4849}"/>
    <hyperlink ref="C64" r:id="rId10" display="http://www.extension.iastate.edu/agdm/energy/xls/d1-15biodieselprofitability.xlsx" xr:uid="{2621953A-9833-41E1-AB6B-5566AE39C8DB}"/>
    <hyperlink ref="I1" location="Index" display="Back to Index" xr:uid="{6D3FA42C-6183-4566-B88D-0ABBF2BFC98B}"/>
  </hyperlinks>
  <pageMargins left="0.7" right="0.7" top="0.75" bottom="0.75" header="0.3" footer="0.3"/>
  <pageSetup paperSize="9"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741A5-4811-4D9A-AF4F-FD68AAADDB3B}">
  <sheetPr>
    <tabColor theme="4" tint="0.39997558519241921"/>
  </sheetPr>
  <dimension ref="B1:N63"/>
  <sheetViews>
    <sheetView showGridLines="0" topLeftCell="A13" workbookViewId="0">
      <selection activeCell="P23" sqref="P23"/>
    </sheetView>
  </sheetViews>
  <sheetFormatPr defaultColWidth="9.109375" defaultRowHeight="14.4"/>
  <cols>
    <col min="1" max="1" width="3.109375" customWidth="1"/>
    <col min="2" max="2" width="44.6640625" bestFit="1" customWidth="1"/>
    <col min="3" max="3" width="25" customWidth="1"/>
    <col min="4" max="13" width="6.44140625" customWidth="1"/>
  </cols>
  <sheetData>
    <row r="1" spans="2:14">
      <c r="I1" s="884" t="s">
        <v>966</v>
      </c>
    </row>
    <row r="2" spans="2:14" ht="15" customHeight="1">
      <c r="C2" s="260" t="s">
        <v>296</v>
      </c>
      <c r="D2" s="260" t="s">
        <v>1023</v>
      </c>
      <c r="E2" s="260"/>
      <c r="F2" s="260"/>
      <c r="G2" s="260"/>
      <c r="H2" s="260"/>
      <c r="I2" s="260"/>
      <c r="J2" s="260"/>
      <c r="K2" s="260"/>
      <c r="L2" s="260"/>
      <c r="M2" s="260"/>
      <c r="N2" s="260"/>
    </row>
    <row r="3" spans="2:14" ht="22.5" customHeight="1">
      <c r="C3" s="260"/>
      <c r="D3" s="260">
        <v>2015</v>
      </c>
      <c r="E3" s="260">
        <v>2020</v>
      </c>
      <c r="F3" s="260">
        <v>2030</v>
      </c>
      <c r="G3" s="260">
        <v>2040</v>
      </c>
      <c r="H3" s="260">
        <v>2050</v>
      </c>
      <c r="I3" s="1291" t="s">
        <v>290</v>
      </c>
      <c r="J3" s="1291"/>
      <c r="K3" s="1291" t="s">
        <v>289</v>
      </c>
      <c r="L3" s="1291"/>
      <c r="M3" s="930" t="s">
        <v>288</v>
      </c>
      <c r="N3" s="930" t="s">
        <v>287</v>
      </c>
    </row>
    <row r="4" spans="2:14">
      <c r="C4" s="929"/>
      <c r="D4" s="929"/>
      <c r="E4" s="929"/>
      <c r="F4" s="929"/>
      <c r="G4" s="929"/>
      <c r="H4" s="929"/>
      <c r="I4" s="928" t="s">
        <v>284</v>
      </c>
      <c r="J4" s="928" t="s">
        <v>283</v>
      </c>
      <c r="K4" s="928" t="s">
        <v>284</v>
      </c>
      <c r="L4" s="928" t="s">
        <v>283</v>
      </c>
      <c r="M4" s="928"/>
      <c r="N4" s="928"/>
    </row>
    <row r="5" spans="2:14">
      <c r="C5" s="926" t="s">
        <v>282</v>
      </c>
      <c r="D5" s="185"/>
      <c r="E5" s="185"/>
      <c r="F5" s="185"/>
      <c r="G5" s="185"/>
      <c r="H5" s="185"/>
      <c r="I5" s="185"/>
      <c r="J5" s="185"/>
      <c r="K5" s="185"/>
      <c r="L5" s="185"/>
      <c r="M5" s="183"/>
      <c r="N5" s="225"/>
    </row>
    <row r="6" spans="2:14" ht="21.6">
      <c r="B6" t="str">
        <f>IF(IF(OR(LEFT(C6,27)=SUP_Biofuels!$N$8,LEFT(C6,20)=SUP_Biofuels!$O$8,LEFT(C6,20)=SUP_Biofuels!$P$8),LEFT(C6,20),C6)="Specific investment ","Specific investment (M€ /MW",IF(OR(LEFT(C6,27)=SUP_Biofuels!$N$8,LEFT(C6,20)=SUP_Biofuels!$O$8,LEFT(C6,20)=SUP_Biofuels!$P$8),LEFT(C6,20),C6))</f>
        <v>Typical total plant size 1,000 t biodiesel/year</v>
      </c>
      <c r="C6" s="927" t="s">
        <v>1020</v>
      </c>
      <c r="D6" s="180">
        <v>50</v>
      </c>
      <c r="E6" s="180">
        <v>50</v>
      </c>
      <c r="F6" s="180">
        <v>50</v>
      </c>
      <c r="G6" s="180">
        <v>50</v>
      </c>
      <c r="H6" s="180">
        <v>50</v>
      </c>
      <c r="I6" s="179">
        <v>0.5</v>
      </c>
      <c r="J6" s="179">
        <v>2</v>
      </c>
      <c r="K6" s="179">
        <v>0.5</v>
      </c>
      <c r="L6" s="179">
        <v>2</v>
      </c>
      <c r="M6" s="178" t="s">
        <v>694</v>
      </c>
      <c r="N6" s="178">
        <v>1</v>
      </c>
    </row>
    <row r="7" spans="2:14" ht="21.6">
      <c r="B7" t="str">
        <f>IF(IF(OR(LEFT(C7,27)=SUP_Biofuels!$N$8,LEFT(C7,20)=SUP_Biofuels!$O$8,LEFT(C7,20)=SUP_Biofuels!$P$8),LEFT(C7,20),C7)="Specific investment ","Specific investment (M€ /MW",IF(OR(LEFT(C7,27)=SUP_Biofuels!$N$8,LEFT(C7,20)=SUP_Biofuels!$O$8,LEFT(C7,20)=SUP_Biofuels!$P$8),LEFT(C7,20),C7))</f>
        <v>Typical total plant size MW biodiesel/year</v>
      </c>
      <c r="C7" s="924" t="s">
        <v>1022</v>
      </c>
      <c r="D7" s="162">
        <v>60</v>
      </c>
      <c r="E7" s="162">
        <v>60</v>
      </c>
      <c r="F7" s="162">
        <v>60</v>
      </c>
      <c r="G7" s="162">
        <v>60</v>
      </c>
      <c r="H7" s="162">
        <v>60</v>
      </c>
      <c r="I7" s="167">
        <v>0.5</v>
      </c>
      <c r="J7" s="167">
        <v>2</v>
      </c>
      <c r="K7" s="167">
        <v>0.5</v>
      </c>
      <c r="L7" s="167">
        <v>2</v>
      </c>
      <c r="M7" s="161" t="s">
        <v>1018</v>
      </c>
      <c r="N7" s="161"/>
    </row>
    <row r="8" spans="2:14">
      <c r="B8" t="str">
        <f>IF(IF(OR(LEFT(C8,27)=SUP_Biofuels!$N$8,LEFT(C8,20)=SUP_Biofuels!$O$8,LEFT(C8,20)=SUP_Biofuels!$P$8),LEFT(C8,20),C8)="Specific investment ","Specific investment (M€ /MW",IF(OR(LEFT(C8,27)=SUP_Biofuels!$N$8,LEFT(C8,20)=SUP_Biofuels!$O$8,LEFT(C8,20)=SUP_Biofuels!$P$8),LEFT(C8,20),C8))</f>
        <v xml:space="preserve"> Inputs</v>
      </c>
      <c r="C8" s="926" t="s">
        <v>384</v>
      </c>
      <c r="D8" s="185"/>
      <c r="E8" s="185"/>
      <c r="F8" s="185"/>
      <c r="G8" s="185"/>
      <c r="H8" s="185"/>
      <c r="I8" s="185"/>
      <c r="J8" s="185"/>
      <c r="K8" s="185"/>
      <c r="L8" s="185"/>
      <c r="M8" s="183"/>
      <c r="N8" s="225"/>
    </row>
    <row r="9" spans="2:14" ht="21.6">
      <c r="B9" t="str">
        <f>IF(IF(OR(LEFT(C9,27)=SUP_Biofuels!$N$8,LEFT(C9,20)=SUP_Biofuels!$O$8,LEFT(C9,20)=SUP_Biofuels!$P$8),LEFT(C9,20),C9)="Specific investment ","Specific investment (M€ /MW",IF(OR(LEFT(C9,27)=SUP_Biofuels!$N$8,LEFT(C9,20)=SUP_Biofuels!$O$8,LEFT(C9,20)=SUP_Biofuels!$P$8),LEFT(C9,20),C9))</f>
        <v>Veg Oil Consumption, MWh/MWh Total Input</v>
      </c>
      <c r="C9" s="924" t="s">
        <v>93</v>
      </c>
      <c r="D9" s="162">
        <v>0.90600000000000003</v>
      </c>
      <c r="E9" s="162">
        <v>0.90900000000000003</v>
      </c>
      <c r="F9" s="162">
        <v>0.91200000000000003</v>
      </c>
      <c r="G9" s="162">
        <v>0.91200000000000003</v>
      </c>
      <c r="H9" s="162">
        <v>0.91200000000000003</v>
      </c>
      <c r="I9" s="205">
        <v>0.99</v>
      </c>
      <c r="J9" s="205">
        <v>1.01</v>
      </c>
      <c r="K9" s="205">
        <v>0.99</v>
      </c>
      <c r="L9" s="205">
        <v>1.01</v>
      </c>
      <c r="M9" s="161" t="s">
        <v>1016</v>
      </c>
      <c r="N9" s="161">
        <v>1</v>
      </c>
    </row>
    <row r="10" spans="2:14" ht="21.6">
      <c r="B10" t="str">
        <f>IF(IF(OR(LEFT(C10,27)=SUP_Biofuels!$N$8,LEFT(C10,20)=SUP_Biofuels!$O$8,LEFT(C10,20)=SUP_Biofuels!$P$8),LEFT(C10,20),C10)="Specific investment ","Specific investment (M€ /MW",IF(OR(LEFT(C10,27)=SUP_Biofuels!$N$8,LEFT(C10,20)=SUP_Biofuels!$O$8,LEFT(C10,20)=SUP_Biofuels!$P$8),LEFT(C10,20),C10))</f>
        <v>Methanol Consumption, MWh/MWh Total Input</v>
      </c>
      <c r="C10" s="924" t="s">
        <v>95</v>
      </c>
      <c r="D10" s="162">
        <v>4.3999999999999997E-2</v>
      </c>
      <c r="E10" s="162">
        <v>4.3999999999999997E-2</v>
      </c>
      <c r="F10" s="162">
        <v>4.3999999999999997E-2</v>
      </c>
      <c r="G10" s="162">
        <v>4.3999999999999997E-2</v>
      </c>
      <c r="H10" s="162">
        <v>4.3999999999999997E-2</v>
      </c>
      <c r="I10" s="205">
        <v>0.93</v>
      </c>
      <c r="J10" s="205">
        <v>1.07</v>
      </c>
      <c r="K10" s="205">
        <v>0.93</v>
      </c>
      <c r="L10" s="205">
        <v>1.07</v>
      </c>
      <c r="M10" s="161" t="s">
        <v>1017</v>
      </c>
      <c r="N10" s="161">
        <v>1</v>
      </c>
    </row>
    <row r="11" spans="2:14" ht="21.6">
      <c r="B11" t="str">
        <f>IF(IF(OR(LEFT(C11,27)=SUP_Biofuels!$N$8,LEFT(C11,20)=SUP_Biofuels!$O$8,LEFT(C11,20)=SUP_Biofuels!$P$8),LEFT(C11,20),C11)="Specific investment ","Specific investment (M€ /MW",IF(OR(LEFT(C11,27)=SUP_Biofuels!$N$8,LEFT(C11,20)=SUP_Biofuels!$O$8,LEFT(C11,20)=SUP_Biofuels!$P$8),LEFT(C11,20),C11))</f>
        <v>Electricity Consumption, MWh/MWh Total Input</v>
      </c>
      <c r="C11" s="924" t="s">
        <v>96</v>
      </c>
      <c r="D11" s="162">
        <v>7.0000000000000001E-3</v>
      </c>
      <c r="E11" s="162">
        <v>6.0000000000000001E-3</v>
      </c>
      <c r="F11" s="162">
        <v>5.0000000000000001E-3</v>
      </c>
      <c r="G11" s="162">
        <v>5.0000000000000001E-3</v>
      </c>
      <c r="H11" s="162">
        <v>4.0000000000000001E-3</v>
      </c>
      <c r="I11" s="205">
        <v>0.5</v>
      </c>
      <c r="J11" s="205">
        <v>1.5</v>
      </c>
      <c r="K11" s="205">
        <v>0.5</v>
      </c>
      <c r="L11" s="205">
        <v>1.5</v>
      </c>
      <c r="M11" s="161" t="s">
        <v>1016</v>
      </c>
      <c r="N11" s="161">
        <v>1</v>
      </c>
    </row>
    <row r="12" spans="2:14" ht="21.6">
      <c r="B12" t="str">
        <f>IF(IF(OR(LEFT(C12,27)=SUP_Biofuels!$N$8,LEFT(C12,20)=SUP_Biofuels!$O$8,LEFT(C12,20)=SUP_Biofuels!$P$8),LEFT(C12,20),C12)="Specific investment ","Specific investment (M€ /MW",IF(OR(LEFT(C12,27)=SUP_Biofuels!$N$8,LEFT(C12,20)=SUP_Biofuels!$O$8,LEFT(C12,20)=SUP_Biofuels!$P$8),LEFT(C12,20),C12))</f>
        <v>Natural Gas Consumption, MWh/MWh Total Input</v>
      </c>
      <c r="C12" s="924" t="s">
        <v>97</v>
      </c>
      <c r="D12" s="162">
        <v>4.3999999999999997E-2</v>
      </c>
      <c r="E12" s="162">
        <v>0.04</v>
      </c>
      <c r="F12" s="162">
        <v>3.5999999999999997E-2</v>
      </c>
      <c r="G12" s="162">
        <v>3.4000000000000002E-2</v>
      </c>
      <c r="H12" s="162">
        <v>3.2000000000000001E-2</v>
      </c>
      <c r="I12" s="205">
        <v>0.5</v>
      </c>
      <c r="J12" s="205">
        <v>0.5</v>
      </c>
      <c r="K12" s="205">
        <v>0.5</v>
      </c>
      <c r="L12" s="205">
        <v>0.5</v>
      </c>
      <c r="M12" s="161" t="s">
        <v>1016</v>
      </c>
      <c r="N12" s="161">
        <v>1</v>
      </c>
    </row>
    <row r="13" spans="2:14">
      <c r="B13" t="str">
        <f>IF(IF(OR(LEFT(C13,27)=SUP_Biofuels!$N$8,LEFT(C13,20)=SUP_Biofuels!$O$8,LEFT(C13,20)=SUP_Biofuels!$P$8),LEFT(C13,20),C13)="Specific investment ","Specific investment (M€ /MW",IF(OR(LEFT(C13,27)=SUP_Biofuels!$N$8,LEFT(C13,20)=SUP_Biofuels!$O$8,LEFT(C13,20)=SUP_Biofuels!$P$8),LEFT(C13,20),C13))</f>
        <v>Outputs</v>
      </c>
      <c r="C13" s="926" t="s">
        <v>271</v>
      </c>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 xml:space="preserve">Biodiesel Output, MWH/MWh </v>
      </c>
      <c r="C14" s="924" t="s">
        <v>99</v>
      </c>
      <c r="D14" s="162">
        <v>0.84</v>
      </c>
      <c r="E14" s="162">
        <v>0.85</v>
      </c>
      <c r="F14" s="162">
        <v>0.86</v>
      </c>
      <c r="G14" s="162">
        <v>0.86</v>
      </c>
      <c r="H14" s="162">
        <v>0.87</v>
      </c>
      <c r="I14" s="205">
        <v>0.99</v>
      </c>
      <c r="J14" s="205">
        <v>1.01</v>
      </c>
      <c r="K14" s="205">
        <v>0.99</v>
      </c>
      <c r="L14" s="205">
        <v>1.01</v>
      </c>
      <c r="M14" s="161" t="s">
        <v>255</v>
      </c>
      <c r="N14" s="161">
        <v>1</v>
      </c>
    </row>
    <row r="15" spans="2:14" ht="21.6">
      <c r="B15" t="str">
        <f>IF(IF(OR(LEFT(C15,27)=SUP_Biofuels!$N$8,LEFT(C15,20)=SUP_Biofuels!$O$8,LEFT(C15,20)=SUP_Biofuels!$P$8),LEFT(C15,20),C15)="Specific investment ","Specific investment (M€ /MW",IF(OR(LEFT(C15,27)=SUP_Biofuels!$N$8,LEFT(C15,20)=SUP_Biofuels!$O$8,LEFT(C15,20)=SUP_Biofuels!$P$8),LEFT(C15,20),C15))</f>
        <v>Glycerine  Output, MWH/MWh Total Input</v>
      </c>
      <c r="C15" s="924" t="s">
        <v>100</v>
      </c>
      <c r="D15" s="162">
        <v>0.04</v>
      </c>
      <c r="E15" s="162">
        <v>0.04</v>
      </c>
      <c r="F15" s="162">
        <v>0.04</v>
      </c>
      <c r="G15" s="162">
        <v>0.04</v>
      </c>
      <c r="H15" s="162">
        <v>0.04</v>
      </c>
      <c r="I15" s="205">
        <v>0.99</v>
      </c>
      <c r="J15" s="205">
        <v>1.01</v>
      </c>
      <c r="K15" s="205">
        <v>0.99</v>
      </c>
      <c r="L15" s="205">
        <v>1.01</v>
      </c>
      <c r="M15" s="161" t="s">
        <v>255</v>
      </c>
      <c r="N15" s="161">
        <v>1</v>
      </c>
    </row>
    <row r="16" spans="2:14">
      <c r="B16">
        <f>IF(IF(OR(LEFT(C16,27)=SUP_Biofuels!$N$8,LEFT(C16,20)=SUP_Biofuels!$O$8,LEFT(C16,20)=SUP_Biofuels!$P$8),LEFT(C16,20),C16)="Specific investment ","Specific investment (M€ /MW",IF(OR(LEFT(C16,27)=SUP_Biofuels!$N$8,LEFT(C16,20)=SUP_Biofuels!$O$8,LEFT(C16,20)=SUP_Biofuels!$P$8),LEFT(C16,20),C16))</f>
        <v>0</v>
      </c>
      <c r="C16" s="926"/>
      <c r="D16" s="185"/>
      <c r="E16" s="185"/>
      <c r="F16" s="185"/>
      <c r="G16" s="185"/>
      <c r="H16" s="185"/>
      <c r="I16" s="185"/>
      <c r="J16" s="185"/>
      <c r="K16" s="185"/>
      <c r="L16" s="185"/>
      <c r="M16" s="183"/>
      <c r="N16" s="225"/>
    </row>
    <row r="17" spans="2:14">
      <c r="B17" t="str">
        <f>IF(IF(OR(LEFT(C17,27)=SUP_Biofuels!$N$8,LEFT(C17,20)=SUP_Biofuels!$O$8,LEFT(C17,20)=SUP_Biofuels!$P$8),LEFT(C17,20),C17)="Specific investment ","Specific investment (M€ /MW",IF(OR(LEFT(C17,27)=SUP_Biofuels!$N$8,LEFT(C17,20)=SUP_Biofuels!$O$8,LEFT(C17,20)=SUP_Biofuels!$P$8),LEFT(C17,20),C17))</f>
        <v>Forced outage (%)</v>
      </c>
      <c r="C17" s="924" t="s">
        <v>59</v>
      </c>
      <c r="D17" s="162">
        <v>0</v>
      </c>
      <c r="E17" s="162">
        <v>0</v>
      </c>
      <c r="F17" s="162">
        <v>0</v>
      </c>
      <c r="G17" s="162">
        <v>0</v>
      </c>
      <c r="H17" s="162">
        <v>0</v>
      </c>
      <c r="I17" s="162"/>
      <c r="J17" s="162"/>
      <c r="K17" s="162"/>
      <c r="L17" s="162"/>
      <c r="M17" s="161" t="s">
        <v>393</v>
      </c>
      <c r="N17" s="161"/>
    </row>
    <row r="18" spans="2:14">
      <c r="B18" t="str">
        <f>IF(IF(OR(LEFT(C18,27)=SUP_Biofuels!$N$8,LEFT(C18,20)=SUP_Biofuels!$O$8,LEFT(C18,20)=SUP_Biofuels!$P$8),LEFT(C18,20),C18)="Specific investment ","Specific investment (M€ /MW",IF(OR(LEFT(C18,27)=SUP_Biofuels!$N$8,LEFT(C18,20)=SUP_Biofuels!$O$8,LEFT(C18,20)=SUP_Biofuels!$P$8),LEFT(C18,20),C18))</f>
        <v>Planned outage (weeks per year)</v>
      </c>
      <c r="C18" s="924" t="s">
        <v>92</v>
      </c>
      <c r="D18" s="162">
        <v>2</v>
      </c>
      <c r="E18" s="162">
        <v>2</v>
      </c>
      <c r="F18" s="162">
        <v>2</v>
      </c>
      <c r="G18" s="162">
        <v>2</v>
      </c>
      <c r="H18" s="162">
        <v>2</v>
      </c>
      <c r="I18" s="162"/>
      <c r="J18" s="162"/>
      <c r="K18" s="162"/>
      <c r="L18" s="162"/>
      <c r="M18" s="161"/>
      <c r="N18" s="161"/>
    </row>
    <row r="19" spans="2:14">
      <c r="B19" t="str">
        <f>IF(IF(OR(LEFT(C19,27)=SUP_Biofuels!$N$8,LEFT(C19,20)=SUP_Biofuels!$O$8,LEFT(C19,20)=SUP_Biofuels!$P$8),LEFT(C19,20),C19)="Specific investment ","Specific investment (M€ /MW",IF(OR(LEFT(C19,27)=SUP_Biofuels!$N$8,LEFT(C19,20)=SUP_Biofuels!$O$8,LEFT(C19,20)=SUP_Biofuels!$P$8),LEFT(C19,20),C19))</f>
        <v>Technical lifetime (years)</v>
      </c>
      <c r="C19" s="924" t="s">
        <v>58</v>
      </c>
      <c r="D19" s="162">
        <v>25</v>
      </c>
      <c r="E19" s="162">
        <v>25</v>
      </c>
      <c r="F19" s="162">
        <v>25</v>
      </c>
      <c r="G19" s="162">
        <v>25</v>
      </c>
      <c r="H19" s="162">
        <v>25</v>
      </c>
      <c r="I19" s="162"/>
      <c r="J19" s="162"/>
      <c r="K19" s="162"/>
      <c r="L19" s="162"/>
      <c r="M19" s="161"/>
      <c r="N19" s="161"/>
    </row>
    <row r="20" spans="2:14">
      <c r="B20" t="str">
        <f>IF(IF(OR(LEFT(C20,27)=SUP_Biofuels!$N$8,LEFT(C20,20)=SUP_Biofuels!$O$8,LEFT(C20,20)=SUP_Biofuels!$P$8),LEFT(C20,20),C20)="Specific investment ","Specific investment (M€ /MW",IF(OR(LEFT(C20,27)=SUP_Biofuels!$N$8,LEFT(C20,20)=SUP_Biofuels!$O$8,LEFT(C20,20)=SUP_Biofuels!$P$8),LEFT(C20,20),C20))</f>
        <v>Construction time (years)</v>
      </c>
      <c r="C20" s="924" t="s">
        <v>60</v>
      </c>
      <c r="D20" s="162">
        <v>1.5</v>
      </c>
      <c r="E20" s="162">
        <v>1.5</v>
      </c>
      <c r="F20" s="162">
        <v>1.5</v>
      </c>
      <c r="G20" s="162">
        <v>1.5</v>
      </c>
      <c r="H20" s="162">
        <v>1.5</v>
      </c>
      <c r="I20" s="162"/>
      <c r="J20" s="162"/>
      <c r="K20" s="162"/>
      <c r="L20" s="162"/>
      <c r="M20" s="161"/>
      <c r="N20" s="161"/>
    </row>
    <row r="21" spans="2:14">
      <c r="B21" t="str">
        <f>IF(IF(OR(LEFT(C21,27)=SUP_Biofuels!$N$8,LEFT(C21,20)=SUP_Biofuels!$O$8,LEFT(C21,20)=SUP_Biofuels!$P$8),LEFT(C21,20),C21)="Specific investment ","Specific investment (M€ /MW",IF(OR(LEFT(C21,27)=SUP_Biofuels!$N$8,LEFT(C21,20)=SUP_Biofuels!$O$8,LEFT(C21,20)=SUP_Biofuels!$P$8),LEFT(C21,20),C21))</f>
        <v xml:space="preserve">Financial data                                 </v>
      </c>
      <c r="C21" s="926" t="s">
        <v>264</v>
      </c>
      <c r="D21" s="185"/>
      <c r="E21" s="185"/>
      <c r="F21" s="185"/>
      <c r="G21" s="185"/>
      <c r="H21" s="185"/>
      <c r="I21" s="185"/>
      <c r="J21" s="185"/>
      <c r="K21" s="185"/>
      <c r="L21" s="185"/>
      <c r="M21" s="183"/>
      <c r="N21" s="225"/>
    </row>
    <row r="22" spans="2:14">
      <c r="B22" t="str">
        <f>IF(IF(OR(LEFT(C22,27)=SUP_Biofuels!$N$8,LEFT(C22,20)=SUP_Biofuels!$O$8,LEFT(C22,20)=SUP_Biofuels!$P$8),LEFT(C22,20),C22)="Specific investment ","Specific investment (M€ /MW",IF(OR(LEFT(C22,27)=SUP_Biofuels!$N$8,LEFT(C22,20)=SUP_Biofuels!$O$8,LEFT(C22,20)=SUP_Biofuels!$P$8),LEFT(C22,20),C22))</f>
        <v>Specific investment (M€ /MW</v>
      </c>
      <c r="C22" s="924" t="s">
        <v>1015</v>
      </c>
      <c r="D22" s="290">
        <v>1.0811526411014516</v>
      </c>
      <c r="E22" s="197">
        <v>1.016120903290838</v>
      </c>
      <c r="F22" s="197">
        <v>0.93483123102757082</v>
      </c>
      <c r="G22" s="197">
        <v>0.89418639489593754</v>
      </c>
      <c r="H22" s="197">
        <v>0.84</v>
      </c>
      <c r="I22" s="167">
        <v>0.8</v>
      </c>
      <c r="J22" s="167">
        <v>1.2</v>
      </c>
      <c r="K22" s="167">
        <v>0.9</v>
      </c>
      <c r="L22" s="167">
        <v>1.1000000000000001</v>
      </c>
      <c r="M22" s="161" t="s">
        <v>1014</v>
      </c>
      <c r="N22" s="161">
        <v>3</v>
      </c>
    </row>
    <row r="23" spans="2:14">
      <c r="B23" t="str">
        <f>IF(IF(OR(LEFT(C23,27)=SUP_Biofuels!$N$8,LEFT(C23,20)=SUP_Biofuels!$O$8,LEFT(C23,20)=SUP_Biofuels!$P$8),LEFT(C23,20),C23)="Specific investment ","Specific investment (M€ /MW",IF(OR(LEFT(C23,27)=SUP_Biofuels!$N$8,LEFT(C23,20)=SUP_Biofuels!$O$8,LEFT(C23,20)=SUP_Biofuels!$P$8),LEFT(C23,20),C23))</f>
        <v>- equipment (%)</v>
      </c>
      <c r="C23" s="924" t="s">
        <v>252</v>
      </c>
      <c r="D23" s="163">
        <v>75</v>
      </c>
      <c r="E23" s="162">
        <v>75</v>
      </c>
      <c r="F23" s="162">
        <v>75</v>
      </c>
      <c r="G23" s="162">
        <v>75</v>
      </c>
      <c r="H23" s="162">
        <v>75</v>
      </c>
      <c r="I23" s="162"/>
      <c r="J23" s="162"/>
      <c r="K23" s="162"/>
      <c r="L23" s="162"/>
      <c r="M23" s="161" t="s">
        <v>389</v>
      </c>
      <c r="N23" s="161"/>
    </row>
    <row r="24" spans="2:14">
      <c r="B24" t="str">
        <f>IF(IF(OR(LEFT(C24,27)=SUP_Biofuels!$N$8,LEFT(C24,20)=SUP_Biofuels!$O$8,LEFT(C24,20)=SUP_Biofuels!$P$8),LEFT(C24,20),C24)="Specific investment ","Specific investment (M€ /MW",IF(OR(LEFT(C24,27)=SUP_Biofuels!$N$8,LEFT(C24,20)=SUP_Biofuels!$O$8,LEFT(C24,20)=SUP_Biofuels!$P$8),LEFT(C24,20),C24))</f>
        <v>- installation (%)</v>
      </c>
      <c r="C24" s="924" t="s">
        <v>1007</v>
      </c>
      <c r="D24" s="162">
        <v>25</v>
      </c>
      <c r="E24" s="162">
        <v>25</v>
      </c>
      <c r="F24" s="162">
        <v>25</v>
      </c>
      <c r="G24" s="162">
        <v>25</v>
      </c>
      <c r="H24" s="162">
        <v>25</v>
      </c>
      <c r="I24" s="205"/>
      <c r="J24" s="205"/>
      <c r="K24" s="205"/>
      <c r="L24" s="205"/>
      <c r="M24" s="161" t="s">
        <v>389</v>
      </c>
      <c r="N24" s="161"/>
    </row>
    <row r="25" spans="2:14">
      <c r="B25" t="str">
        <f>LEFT(C25,17)</f>
        <v>Fixed O&amp;M (M€ /MW</v>
      </c>
      <c r="C25" s="924" t="s">
        <v>1013</v>
      </c>
      <c r="D25" s="168">
        <v>0.1224105461393597</v>
      </c>
      <c r="E25" s="168">
        <v>0.1224105461393597</v>
      </c>
      <c r="F25" s="168">
        <v>0.1224105461393597</v>
      </c>
      <c r="G25" s="168">
        <v>0.1224105461393597</v>
      </c>
      <c r="H25" s="168">
        <v>0.1224105461393597</v>
      </c>
      <c r="I25" s="205">
        <v>0.9</v>
      </c>
      <c r="J25" s="205">
        <v>1.1000000000000001</v>
      </c>
      <c r="K25" s="205">
        <v>0.9</v>
      </c>
      <c r="L25" s="205">
        <v>1.1000000000000001</v>
      </c>
      <c r="M25" s="161" t="s">
        <v>1003</v>
      </c>
      <c r="N25" s="161">
        <v>4</v>
      </c>
    </row>
    <row r="26" spans="2:14">
      <c r="B26" t="str">
        <f>LEFT(C26,19)</f>
        <v>Variable O&amp;M (€ /MW</v>
      </c>
      <c r="C26" s="924" t="s">
        <v>247</v>
      </c>
      <c r="D26" s="197">
        <v>7.6543947517200612</v>
      </c>
      <c r="E26" s="197">
        <v>7.6543947517200612</v>
      </c>
      <c r="F26" s="197">
        <v>7.6543947517200612</v>
      </c>
      <c r="G26" s="197">
        <v>7.6543947517200612</v>
      </c>
      <c r="H26" s="197">
        <v>7.6543947517200612</v>
      </c>
      <c r="I26" s="205">
        <v>0.9</v>
      </c>
      <c r="J26" s="205">
        <v>1.1000000000000001</v>
      </c>
      <c r="K26" s="205">
        <v>0.9</v>
      </c>
      <c r="L26" s="205">
        <v>1.1000000000000001</v>
      </c>
      <c r="M26" s="161" t="s">
        <v>1003</v>
      </c>
      <c r="N26" s="161">
        <v>4</v>
      </c>
    </row>
    <row r="27" spans="2:14">
      <c r="B27" t="str">
        <f>IF(IF(OR(LEFT(C27,27)=SUP_Biofuels!$N$8,LEFT(C27,20)=SUP_Biofuels!$O$8,LEFT(C27,20)=SUP_Biofuels!$P$8),LEFT(C27,20),C27)="Specific investment ","Specific investment (M€ /MW",IF(OR(LEFT(C27,27)=SUP_Biofuels!$N$8,LEFT(C27,20)=SUP_Biofuels!$O$8,LEFT(C27,20)=SUP_Biofuels!$P$8),LEFT(C27,20),C27))</f>
        <v>Start-up (M € /MW)</v>
      </c>
      <c r="C27" s="924" t="s">
        <v>1012</v>
      </c>
      <c r="D27" s="197">
        <v>0</v>
      </c>
      <c r="E27" s="197">
        <v>0</v>
      </c>
      <c r="F27" s="197">
        <v>0</v>
      </c>
      <c r="G27" s="197">
        <v>0</v>
      </c>
      <c r="H27" s="197">
        <v>0</v>
      </c>
      <c r="I27" s="162"/>
      <c r="J27" s="162"/>
      <c r="K27" s="162"/>
      <c r="L27" s="162"/>
      <c r="M27" s="161"/>
      <c r="N27" s="161"/>
    </row>
    <row r="28" spans="2:14">
      <c r="B28" t="str">
        <f>IF(IF(OR(LEFT(C28,27)=SUP_Biofuels!$N$8,LEFT(C28,20)=SUP_Biofuels!$O$8,LEFT(C28,20)=SUP_Biofuels!$P$8),LEFT(C28,20),C28)="Specific investment ","Specific investment (M€ /MW",IF(OR(LEFT(C28,27)=SUP_Biofuels!$N$8,LEFT(C28,20)=SUP_Biofuels!$O$8,LEFT(C28,20)=SUP_Biofuels!$P$8),LEFT(C28,20),C28))</f>
        <v xml:space="preserve">Technology specific data                                 </v>
      </c>
      <c r="C28" s="926" t="s">
        <v>260</v>
      </c>
      <c r="D28" s="185"/>
      <c r="E28" s="185"/>
      <c r="F28" s="185"/>
      <c r="G28" s="185"/>
      <c r="H28" s="185"/>
      <c r="I28" s="185"/>
      <c r="J28" s="185"/>
      <c r="K28" s="185"/>
      <c r="L28" s="185"/>
      <c r="M28" s="183"/>
      <c r="N28" s="225"/>
    </row>
    <row r="29" spans="2:14" ht="21.6">
      <c r="B29" t="str">
        <f>IF(IF(OR(LEFT(C29,27)=SUP_Biofuels!$N$8,LEFT(C29,20)=SUP_Biofuels!$O$8,LEFT(C29,20)=SUP_Biofuels!$P$8),LEFT(C29,20),C29)="Specific investment ","Specific investment (M€ /MW",IF(OR(LEFT(C29,27)=SUP_Biofuels!$N$8,LEFT(C29,20)=SUP_Biofuels!$O$8,LEFT(C29,20)=SUP_Biofuels!$P$8),LEFT(C29,20),C29))</f>
        <v>Specific energy content (GJ/ton) biodiesel)</v>
      </c>
      <c r="C29" s="924" t="s">
        <v>1011</v>
      </c>
      <c r="D29" s="162">
        <v>37.200000000000003</v>
      </c>
      <c r="E29" s="162">
        <v>37.200000000000003</v>
      </c>
      <c r="F29" s="162">
        <v>37.200000000000003</v>
      </c>
      <c r="G29" s="162">
        <v>37.200000000000003</v>
      </c>
      <c r="H29" s="162">
        <v>37.200000000000003</v>
      </c>
      <c r="I29" s="162"/>
      <c r="J29" s="162"/>
      <c r="K29" s="162"/>
      <c r="L29" s="162"/>
      <c r="M29" s="161"/>
      <c r="N29" s="161"/>
    </row>
    <row r="30" spans="2:14">
      <c r="B30" t="str">
        <f>IF(IF(OR(LEFT(C30,27)=SUP_Biofuels!$N$8,LEFT(C30,20)=SUP_Biofuels!$O$8,LEFT(C30,20)=SUP_Biofuels!$P$8),LEFT(C30,20),C30)="Specific investment ","Specific investment (M€ /MW",IF(OR(LEFT(C30,27)=SUP_Biofuels!$N$8,LEFT(C30,20)=SUP_Biofuels!$O$8,LEFT(C30,20)=SUP_Biofuels!$P$8),LEFT(C30,20),C30))</f>
        <v>Specific density  (kg/l) or (ton/m3)</v>
      </c>
      <c r="C30" s="924" t="s">
        <v>257</v>
      </c>
      <c r="D30" s="162">
        <v>0.88500000000000001</v>
      </c>
      <c r="E30" s="162">
        <v>0.88500000000000001</v>
      </c>
      <c r="F30" s="162">
        <v>0.88500000000000001</v>
      </c>
      <c r="G30" s="162">
        <v>0.88500000000000001</v>
      </c>
      <c r="H30" s="162">
        <v>0.88500000000000001</v>
      </c>
      <c r="I30" s="162"/>
      <c r="J30" s="162"/>
      <c r="K30" s="162"/>
      <c r="L30" s="162"/>
      <c r="M30" s="162"/>
      <c r="N30" s="162"/>
    </row>
    <row r="31" spans="2:14" ht="21.6">
      <c r="B31" t="str">
        <f>IF(IF(OR(LEFT(C31,27)=SUP_Biofuels!$N$8,LEFT(C31,20)=SUP_Biofuels!$O$8,LEFT(C31,20)=SUP_Biofuels!$P$8),LEFT(C31,20),C31)="Specific investment ","Specific investment (M€ /MW",IF(OR(LEFT(C31,27)=SUP_Biofuels!$N$8,LEFT(C31,20)=SUP_Biofuels!$O$8,LEFT(C31,20)=SUP_Biofuels!$P$8),LEFT(C31,20),C31))</f>
        <v>Specific investment (M € /1,000 t biodiesel/year)</v>
      </c>
      <c r="C31" s="924" t="s">
        <v>1010</v>
      </c>
      <c r="D31" s="162">
        <v>1.33</v>
      </c>
      <c r="E31" s="162">
        <v>1.25</v>
      </c>
      <c r="F31" s="162">
        <v>1.1499999999999999</v>
      </c>
      <c r="G31" s="197">
        <v>1.1000000000000001</v>
      </c>
      <c r="H31" s="197">
        <v>1</v>
      </c>
      <c r="I31" s="925">
        <v>0.8</v>
      </c>
      <c r="J31" s="925">
        <v>1.2</v>
      </c>
      <c r="K31" s="925">
        <v>0.9</v>
      </c>
      <c r="L31" s="925">
        <v>1.1000000000000001</v>
      </c>
      <c r="M31" s="162"/>
      <c r="N31" s="162"/>
    </row>
    <row r="32" spans="2:14">
      <c r="B32" t="str">
        <f>IF(IF(OR(LEFT(C32,27)=SUP_Biofuels!$N$8,LEFT(C32,20)=SUP_Biofuels!$O$8,LEFT(C32,20)=SUP_Biofuels!$P$8),LEFT(C32,20),C32)="Specific investment ","Specific investment (M€ /MW",IF(OR(LEFT(C32,27)=SUP_Biofuels!$N$8,LEFT(C32,20)=SUP_Biofuels!$O$8,LEFT(C32,20)=SUP_Biofuels!$P$8),LEFT(C32,20),C32))</f>
        <v>- equipment (%)</v>
      </c>
      <c r="C32" s="924" t="s">
        <v>252</v>
      </c>
      <c r="D32" s="163">
        <v>75</v>
      </c>
      <c r="E32" s="162">
        <v>75</v>
      </c>
      <c r="F32" s="162">
        <v>75</v>
      </c>
      <c r="G32" s="162">
        <v>75</v>
      </c>
      <c r="H32" s="162">
        <v>75</v>
      </c>
      <c r="I32" s="162"/>
      <c r="J32" s="162"/>
      <c r="K32" s="162"/>
      <c r="L32" s="162"/>
      <c r="M32" s="161" t="s">
        <v>389</v>
      </c>
      <c r="N32" s="162"/>
    </row>
    <row r="33" spans="2:14">
      <c r="B33" t="str">
        <f>IF(IF(OR(LEFT(C33,27)=SUP_Biofuels!$N$8,LEFT(C33,20)=SUP_Biofuels!$O$8,LEFT(C33,20)=SUP_Biofuels!$P$8),LEFT(C33,20),C33)="Specific investment ","Specific investment (M€ /MW",IF(OR(LEFT(C33,27)=SUP_Biofuels!$N$8,LEFT(C33,20)=SUP_Biofuels!$O$8,LEFT(C33,20)=SUP_Biofuels!$P$8),LEFT(C33,20),C33))</f>
        <v>- installation (%)</v>
      </c>
      <c r="C33" s="924" t="s">
        <v>1007</v>
      </c>
      <c r="D33" s="162">
        <v>25</v>
      </c>
      <c r="E33" s="162">
        <v>25</v>
      </c>
      <c r="F33" s="162">
        <v>25</v>
      </c>
      <c r="G33" s="162">
        <v>25</v>
      </c>
      <c r="H33" s="162">
        <v>25</v>
      </c>
      <c r="I33" s="162"/>
      <c r="J33" s="162"/>
      <c r="K33" s="162"/>
      <c r="L33" s="162"/>
      <c r="M33" s="161" t="s">
        <v>389</v>
      </c>
      <c r="N33" s="162"/>
    </row>
    <row r="34" spans="2:14">
      <c r="B34" t="str">
        <f>IF(IF(OR(LEFT(C34,27)=SUP_Biofuels!$N$8,LEFT(C34,20)=SUP_Biofuels!$O$8,LEFT(C34,20)=SUP_Biofuels!$P$8),LEFT(C34,20),C34)="Specific investment ","Specific investment (M€ /MW",IF(OR(LEFT(C34,27)=SUP_Biofuels!$N$8,LEFT(C34,20)=SUP_Biofuels!$O$8,LEFT(C34,20)=SUP_Biofuels!$P$8),LEFT(C34,20),C34))</f>
        <v>Fixed O&amp;M (M € /1,000 t biodiesel)</v>
      </c>
      <c r="C34" s="924" t="s">
        <v>1005</v>
      </c>
      <c r="D34" s="197">
        <v>0.14689265536723164</v>
      </c>
      <c r="E34" s="197">
        <v>0.14689265536723164</v>
      </c>
      <c r="F34" s="197">
        <v>0.14689265536723164</v>
      </c>
      <c r="G34" s="197">
        <v>0.14689265536723164</v>
      </c>
      <c r="H34" s="197">
        <v>0.14689265536723164</v>
      </c>
      <c r="I34" s="167">
        <v>0.9</v>
      </c>
      <c r="J34" s="167">
        <v>1.1000000000000001</v>
      </c>
      <c r="K34" s="167">
        <v>0.9</v>
      </c>
      <c r="L34" s="167">
        <v>1.1000000000000001</v>
      </c>
      <c r="M34" s="161" t="s">
        <v>1003</v>
      </c>
      <c r="N34" s="162"/>
    </row>
    <row r="35" spans="2:14">
      <c r="B35" t="str">
        <f>IF(IF(OR(LEFT(C35,27)=SUP_Biofuels!$N$8,LEFT(C35,20)=SUP_Biofuels!$O$8,LEFT(C35,20)=SUP_Biofuels!$P$8),LEFT(C35,20),C35)="Specific investment ","Specific investment (M€ /MW",IF(OR(LEFT(C35,27)=SUP_Biofuels!$N$8,LEFT(C35,20)=SUP_Biofuels!$O$8,LEFT(C35,20)=SUP_Biofuels!$P$8),LEFT(C35,20),C35))</f>
        <v>Variable O&amp;M (M € /1,000 t biodiesel)</v>
      </c>
      <c r="C35" s="924" t="s">
        <v>1004</v>
      </c>
      <c r="D35" s="197">
        <v>7.909604519774012E-2</v>
      </c>
      <c r="E35" s="197">
        <v>7.909604519774012E-2</v>
      </c>
      <c r="F35" s="197">
        <v>7.909604519774012E-2</v>
      </c>
      <c r="G35" s="197">
        <v>7.909604519774012E-2</v>
      </c>
      <c r="H35" s="197">
        <v>7.909604519774012E-2</v>
      </c>
      <c r="I35" s="167">
        <v>0.9</v>
      </c>
      <c r="J35" s="167">
        <v>1.1000000000000001</v>
      </c>
      <c r="K35" s="167">
        <v>0.9</v>
      </c>
      <c r="L35" s="167">
        <v>1.1000000000000001</v>
      </c>
      <c r="M35" s="161" t="s">
        <v>1003</v>
      </c>
      <c r="N35" s="162"/>
    </row>
    <row r="37" spans="2:14">
      <c r="C37" s="886" t="s">
        <v>695</v>
      </c>
    </row>
    <row r="38" spans="2:14">
      <c r="C38" s="885" t="s">
        <v>1002</v>
      </c>
    </row>
    <row r="39" spans="2:14">
      <c r="C39" s="885" t="s">
        <v>1001</v>
      </c>
    </row>
    <row r="40" spans="2:14">
      <c r="C40" s="885" t="s">
        <v>1000</v>
      </c>
    </row>
    <row r="41" spans="2:14">
      <c r="C41" s="885" t="s">
        <v>999</v>
      </c>
    </row>
    <row r="42" spans="2:14">
      <c r="C42" s="885" t="s">
        <v>998</v>
      </c>
    </row>
    <row r="43" spans="2:14">
      <c r="C43" s="885" t="s">
        <v>997</v>
      </c>
    </row>
    <row r="44" spans="2:14">
      <c r="C44" s="885" t="s">
        <v>996</v>
      </c>
    </row>
    <row r="45" spans="2:14">
      <c r="C45" s="885" t="s">
        <v>995</v>
      </c>
    </row>
    <row r="46" spans="2:14">
      <c r="C46" s="885" t="s">
        <v>994</v>
      </c>
    </row>
    <row r="47" spans="2:14">
      <c r="C47" s="885" t="s">
        <v>993</v>
      </c>
    </row>
    <row r="48" spans="2:14">
      <c r="C48" s="885" t="s">
        <v>992</v>
      </c>
    </row>
    <row r="49" spans="3:3">
      <c r="C49" s="885" t="s">
        <v>991</v>
      </c>
    </row>
    <row r="50" spans="3:3">
      <c r="C50" s="885" t="s">
        <v>990</v>
      </c>
    </row>
    <row r="52" spans="3:3">
      <c r="C52" s="886" t="s">
        <v>989</v>
      </c>
    </row>
    <row r="53" spans="3:3">
      <c r="C53" s="885" t="s">
        <v>988</v>
      </c>
    </row>
    <row r="54" spans="3:3">
      <c r="C54" s="885" t="s">
        <v>987</v>
      </c>
    </row>
    <row r="55" spans="3:3">
      <c r="C55" s="885" t="s">
        <v>986</v>
      </c>
    </row>
    <row r="56" spans="3:3">
      <c r="C56" s="885" t="s">
        <v>985</v>
      </c>
    </row>
    <row r="57" spans="3:3">
      <c r="C57" s="885" t="s">
        <v>984</v>
      </c>
    </row>
    <row r="58" spans="3:3">
      <c r="C58" s="885" t="s">
        <v>983</v>
      </c>
    </row>
    <row r="59" spans="3:3">
      <c r="C59" s="885" t="s">
        <v>982</v>
      </c>
    </row>
    <row r="60" spans="3:3">
      <c r="C60" s="885" t="s">
        <v>981</v>
      </c>
    </row>
    <row r="61" spans="3:3">
      <c r="C61" s="885" t="s">
        <v>980</v>
      </c>
    </row>
    <row r="62" spans="3:3">
      <c r="C62" s="885" t="s">
        <v>979</v>
      </c>
    </row>
    <row r="63" spans="3:3">
      <c r="C63" s="885" t="s">
        <v>978</v>
      </c>
    </row>
  </sheetData>
  <mergeCells count="2">
    <mergeCell ref="I3:J3"/>
    <mergeCell ref="K3:L3"/>
  </mergeCells>
  <hyperlinks>
    <hyperlink ref="C54" r:id="rId1" display="https://www.iisd.org/gsi/sites/default/files/bf_awc_germany.pdf" xr:uid="{A4BEB3AE-5BB8-4C6F-922D-3DD667863EBD}"/>
    <hyperlink ref="C55" r:id="rId2" display="http://www.desmetballestra.com/images/PDF-Brochures-2014/Biodiesel2015.pdf" xr:uid="{895EE2F7-20C1-4879-B288-74D8B2854D3D}"/>
    <hyperlink ref="C56" r:id="rId3" display="http://www.eia.gov/cfapps/ipdbproject/IEDIndex3.cfm?tid=79&amp;pid=79&amp;aid=1" xr:uid="{FA3E0B55-EE02-470A-8C36-BF79090585A0}"/>
    <hyperlink ref="C57" r:id="rId4" display="https://ens.dk/sites/ens.dk/files/Statistik/energy_statistics_2015.pdf" xr:uid="{7C66B428-5863-47A4-8184-E54772A60B88}"/>
    <hyperlink ref="C58" r:id="rId5" display="http://task39.sites.olt.ubc.ca/files/2015/06/IEA-Bioenergy-Task-39-Newsletter-Issue-39-May-2015-final.pdf" xr:uid="{B751DA85-8DF7-4113-A372-372B542E85C9}"/>
    <hyperlink ref="C59" r:id="rId6" display="https://doi.org/10.1016/j.biortech.2017.12.031" xr:uid="{F7792F63-E3D9-4CBB-848F-5065A13D1F8F}"/>
    <hyperlink ref="C60" r:id="rId7" display="https://www.cargill.com/2017/cargill-to-build-state-of-the-art-biodiesel-plant-in-wichita-ks" xr:uid="{618200C3-8CFF-49F1-9F2B-58D237D25902}"/>
    <hyperlink ref="C61" r:id="rId8" display="http://www.irena.org/-/media/Files/IRENA/Agency/Publication/2013/Road_Transport.ashx" xr:uid="{8DB7BCC8-28C1-492D-AFD5-7CA5A21F8C7D}"/>
    <hyperlink ref="C62" r:id="rId9" display="http://task39.sites.olt.ubc.ca/files/2013/05/Technological-learning-in-the-German-Biodiesel-Industry.pdf" xr:uid="{9CF09C35-D594-4976-91CB-3004278DD15A}"/>
    <hyperlink ref="C63" r:id="rId10" display="http://www.extension.iastate.edu/agdm/energy/xls/d1-15biodieselprofitability.xlsx" xr:uid="{77A6F2FA-3649-46ED-B74D-7B2B39CFF9D1}"/>
    <hyperlink ref="I1" location="Index" display="Back to Index" xr:uid="{A5AFF367-6E77-4F21-8AD0-9EAD19E24CD3}"/>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53319-BD51-49C6-BD28-ABA7EF5AA236}">
  <sheetPr>
    <tabColor theme="4" tint="0.39997558519241921"/>
  </sheetPr>
  <dimension ref="A1:N69"/>
  <sheetViews>
    <sheetView workbookViewId="0">
      <selection activeCell="C16" sqref="C16"/>
    </sheetView>
  </sheetViews>
  <sheetFormatPr defaultColWidth="9.109375" defaultRowHeight="14.4"/>
  <cols>
    <col min="1" max="1" width="2.6640625" customWidth="1"/>
    <col min="2" max="2" width="44.6640625" bestFit="1" customWidth="1"/>
    <col min="3" max="3" width="22.33203125" customWidth="1"/>
    <col min="4" max="13" width="8" customWidth="1"/>
  </cols>
  <sheetData>
    <row r="1" spans="2:14">
      <c r="I1" s="884" t="s">
        <v>966</v>
      </c>
    </row>
    <row r="2" spans="2:14">
      <c r="C2" s="260" t="s">
        <v>296</v>
      </c>
      <c r="D2" s="260" t="s">
        <v>1064</v>
      </c>
      <c r="E2" s="260"/>
      <c r="F2" s="260"/>
      <c r="G2" s="260"/>
      <c r="H2" s="260"/>
      <c r="I2" s="260"/>
      <c r="J2" s="260"/>
      <c r="K2" s="260"/>
      <c r="L2" s="260"/>
      <c r="M2" s="260"/>
      <c r="N2" s="260"/>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HVO/year</v>
      </c>
      <c r="C6" s="180" t="s">
        <v>1063</v>
      </c>
      <c r="D6" s="180">
        <v>500</v>
      </c>
      <c r="E6" s="180">
        <v>500</v>
      </c>
      <c r="F6" s="180">
        <v>750</v>
      </c>
      <c r="G6" s="180">
        <v>850</v>
      </c>
      <c r="H6" s="180">
        <v>1000</v>
      </c>
      <c r="I6" s="179">
        <v>0.5</v>
      </c>
      <c r="J6" s="179">
        <v>2</v>
      </c>
      <c r="K6" s="179">
        <v>0.5</v>
      </c>
      <c r="L6" s="179">
        <v>1</v>
      </c>
      <c r="M6" s="178" t="s">
        <v>280</v>
      </c>
      <c r="N6" s="178"/>
    </row>
    <row r="7" spans="2:14">
      <c r="B7" t="str">
        <f>IF(IF(OR(LEFT(C7,27)=SUP_Biofuels!$N$8,LEFT(C7,20)=SUP_Biofuels!$O$8,LEFT(C7,20)=SUP_Biofuels!$P$8),LEFT(C7,20),C7)="Specific investment ","Specific investment (M€ /MW",IF(OR(LEFT(C7,27)=SUP_Biofuels!$N$8,LEFT(C7,20)=SUP_Biofuels!$O$8,LEFT(C7,20)=SUP_Biofuels!$P$8),LEFT(C7,20),C7))</f>
        <v>Typical total plant size MW HVO</v>
      </c>
      <c r="C7" s="162" t="s">
        <v>1062</v>
      </c>
      <c r="D7" s="162">
        <v>730</v>
      </c>
      <c r="E7" s="162">
        <v>730</v>
      </c>
      <c r="F7" s="162">
        <v>1100</v>
      </c>
      <c r="G7" s="162">
        <v>1250</v>
      </c>
      <c r="H7" s="162">
        <v>1460</v>
      </c>
      <c r="I7" s="167">
        <v>0.5</v>
      </c>
      <c r="J7" s="167">
        <v>2</v>
      </c>
      <c r="K7" s="167">
        <v>0.5</v>
      </c>
      <c r="L7" s="167">
        <v>1</v>
      </c>
      <c r="M7" s="161" t="s">
        <v>277</v>
      </c>
      <c r="N7" s="161"/>
    </row>
    <row r="8" spans="2:14">
      <c r="B8" t="str">
        <f>IF(IF(OR(LEFT(C8,27)=SUP_Biofuels!$N$8,LEFT(C8,20)=SUP_Biofuels!$O$8,LEFT(C8,20)=SUP_Biofuels!$P$8),LEFT(C8,20),C8)="Specific investment ","Specific investment (M€ /MW",IF(OR(LEFT(C8,27)=SUP_Biofuels!$N$8,LEFT(C8,20)=SUP_Biofuels!$O$8,LEFT(C8,20)=SUP_Biofuels!$P$8),LEFT(C8,20),C8))</f>
        <v>Inputs</v>
      </c>
      <c r="C8" s="186" t="s">
        <v>275</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Inputs</v>
      </c>
      <c r="C9" s="162" t="s">
        <v>101</v>
      </c>
      <c r="D9" s="162">
        <v>0.88100000000000001</v>
      </c>
      <c r="E9" s="162">
        <v>0.88100000000000001</v>
      </c>
      <c r="F9" s="162">
        <v>0.88100000000000001</v>
      </c>
      <c r="G9" s="162">
        <v>0.88100000000000001</v>
      </c>
      <c r="H9" s="162">
        <v>0.88100000000000001</v>
      </c>
      <c r="I9" s="205">
        <v>0.99</v>
      </c>
      <c r="J9" s="205">
        <v>1.01</v>
      </c>
      <c r="K9" s="205">
        <v>0.99</v>
      </c>
      <c r="L9" s="205">
        <v>1.01</v>
      </c>
      <c r="M9" s="161" t="s">
        <v>272</v>
      </c>
      <c r="N9" s="161" t="s">
        <v>1060</v>
      </c>
    </row>
    <row r="10" spans="2:14">
      <c r="B10" t="str">
        <f>IF(IF(OR(LEFT(C10,27)=SUP_Biofuels!$N$8,LEFT(C10,20)=SUP_Biofuels!$O$8,LEFT(C10,20)=SUP_Biofuels!$P$8),LEFT(C10,20),C10)="Specific investment ","Specific investment (M€ /MW",IF(OR(LEFT(C10,27)=SUP_Biofuels!$N$8,LEFT(C10,20)=SUP_Biofuels!$O$8,LEFT(C10,20)=SUP_Biofuels!$P$8),LEFT(C10,20),C10))</f>
        <v>Hydrogen Consumption, MWh/MWh Total Inputs</v>
      </c>
      <c r="C10" s="162" t="s">
        <v>103</v>
      </c>
      <c r="D10" s="162">
        <v>0.105</v>
      </c>
      <c r="E10" s="162">
        <v>0.105</v>
      </c>
      <c r="F10" s="162">
        <v>0.105</v>
      </c>
      <c r="G10" s="162">
        <v>0.105</v>
      </c>
      <c r="H10" s="162">
        <v>0.105</v>
      </c>
      <c r="I10" s="205">
        <v>0.93</v>
      </c>
      <c r="J10" s="205">
        <v>1.07</v>
      </c>
      <c r="K10" s="205">
        <v>0.93</v>
      </c>
      <c r="L10" s="205">
        <v>1.07</v>
      </c>
      <c r="M10" s="161" t="s">
        <v>1061</v>
      </c>
      <c r="N10" s="161" t="s">
        <v>1060</v>
      </c>
    </row>
    <row r="11" spans="2:14">
      <c r="B11" t="str">
        <f>IF(IF(OR(LEFT(C11,27)=SUP_Biofuels!$N$8,LEFT(C11,20)=SUP_Biofuels!$O$8,LEFT(C11,20)=SUP_Biofuels!$P$8),LEFT(C11,20),C11)="Specific investment ","Specific investment (M€ /MW",IF(OR(LEFT(C11,27)=SUP_Biofuels!$N$8,LEFT(C11,20)=SUP_Biofuels!$O$8,LEFT(C11,20)=SUP_Biofuels!$P$8),LEFT(C11,20),C11))</f>
        <v>Electricity Consumption, MWh/MWh Total Inputs</v>
      </c>
      <c r="C11" s="162" t="s">
        <v>104</v>
      </c>
      <c r="D11" s="162">
        <v>8.0000000000000002E-3</v>
      </c>
      <c r="E11" s="162">
        <v>8.0000000000000002E-3</v>
      </c>
      <c r="F11" s="162">
        <v>8.0000000000000002E-3</v>
      </c>
      <c r="G11" s="162">
        <v>8.0000000000000002E-3</v>
      </c>
      <c r="H11" s="162">
        <v>8.0000000000000002E-3</v>
      </c>
      <c r="I11" s="205">
        <v>0.5</v>
      </c>
      <c r="J11" s="205">
        <v>1.5</v>
      </c>
      <c r="K11" s="205">
        <v>0.5</v>
      </c>
      <c r="L11" s="205">
        <v>1.5</v>
      </c>
      <c r="M11" s="161" t="s">
        <v>272</v>
      </c>
      <c r="N11" s="161" t="s">
        <v>1060</v>
      </c>
    </row>
    <row r="12" spans="2:14">
      <c r="B12" t="str">
        <f>IF(IF(OR(LEFT(C12,27)=SUP_Biofuels!$N$8,LEFT(C12,20)=SUP_Biofuels!$O$8,LEFT(C12,20)=SUP_Biofuels!$P$8),LEFT(C12,20),C12)="Specific investment ","Specific investment (M€ /MW",IF(OR(LEFT(C12,27)=SUP_Biofuels!$N$8,LEFT(C12,20)=SUP_Biofuels!$O$8,LEFT(C12,20)=SUP_Biofuels!$P$8),LEFT(C12,20),C12))</f>
        <v>Natural Gas Consumption, MWh/MWh Total Inputs</v>
      </c>
      <c r="C12" s="162" t="s">
        <v>105</v>
      </c>
      <c r="D12" s="162">
        <v>7.0000000000000001E-3</v>
      </c>
      <c r="E12" s="162">
        <v>7.0000000000000001E-3</v>
      </c>
      <c r="F12" s="162">
        <v>7.0000000000000001E-3</v>
      </c>
      <c r="G12" s="162">
        <v>7.0000000000000001E-3</v>
      </c>
      <c r="H12" s="162">
        <v>7.0000000000000001E-3</v>
      </c>
      <c r="I12" s="205">
        <v>0.5</v>
      </c>
      <c r="J12" s="205">
        <v>0.5</v>
      </c>
      <c r="K12" s="205">
        <v>0.5</v>
      </c>
      <c r="L12" s="205">
        <v>0.5</v>
      </c>
      <c r="M12" s="161" t="s">
        <v>272</v>
      </c>
      <c r="N12" s="161" t="s">
        <v>1060</v>
      </c>
    </row>
    <row r="13" spans="2:14">
      <c r="B13" t="str">
        <f>IF(IF(OR(LEFT(C13,27)=SUP_Biofuels!$N$8,LEFT(C13,20)=SUP_Biofuels!$O$8,LEFT(C13,20)=SUP_Biofuels!$P$8),LEFT(C13,20),C13)="Specific investment ","Specific investment (M€ /MW",IF(OR(LEFT(C13,27)=SUP_Biofuels!$N$8,LEFT(C13,20)=SUP_Biofuels!$O$8,LEFT(C13,20)=SUP_Biofuels!$P$8),LEFT(C13,20),C13))</f>
        <v>Outputs</v>
      </c>
      <c r="C13" s="186" t="s">
        <v>271</v>
      </c>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HVO Output, MWh/MWh Total Input</v>
      </c>
      <c r="C14" s="162" t="s">
        <v>102</v>
      </c>
      <c r="D14" s="168">
        <v>0.85</v>
      </c>
      <c r="E14" s="168">
        <v>0.85</v>
      </c>
      <c r="F14" s="168">
        <v>0.85</v>
      </c>
      <c r="G14" s="168">
        <v>0.85</v>
      </c>
      <c r="H14" s="168">
        <v>0.85</v>
      </c>
      <c r="I14" s="205">
        <v>0.99</v>
      </c>
      <c r="J14" s="205">
        <v>1.01</v>
      </c>
      <c r="K14" s="205">
        <v>0.99</v>
      </c>
      <c r="L14" s="205">
        <v>1.01</v>
      </c>
      <c r="M14" s="161" t="s">
        <v>1059</v>
      </c>
      <c r="N14" s="161"/>
    </row>
    <row r="15" spans="2:14">
      <c r="B15" t="str">
        <f>IF(IF(OR(LEFT(C15,27)=SUP_Biofuels!$N$8,LEFT(C15,20)=SUP_Biofuels!$O$8,LEFT(C15,20)=SUP_Biofuels!$P$8),LEFT(C15,20),C15)="Specific investment ","Specific investment (M€ /MW",IF(OR(LEFT(C15,27)=SUP_Biofuels!$N$8,LEFT(C15,20)=SUP_Biofuels!$O$8,LEFT(C15,20)=SUP_Biofuels!$P$8),LEFT(C15,20),C15))</f>
        <v>Naphta Output, MWh/MWh Total Input</v>
      </c>
      <c r="C15" s="162" t="s">
        <v>106</v>
      </c>
      <c r="D15" s="168">
        <v>6.6000000000000003E-2</v>
      </c>
      <c r="E15" s="168">
        <v>6.6000000000000003E-2</v>
      </c>
      <c r="F15" s="168">
        <v>6.6000000000000003E-2</v>
      </c>
      <c r="G15" s="168">
        <v>6.6000000000000003E-2</v>
      </c>
      <c r="H15" s="168">
        <v>6.6000000000000003E-2</v>
      </c>
      <c r="I15" s="205">
        <v>0.99</v>
      </c>
      <c r="J15" s="205">
        <v>1.01</v>
      </c>
      <c r="K15" s="205">
        <v>0.99</v>
      </c>
      <c r="L15" s="205">
        <v>1.01</v>
      </c>
      <c r="M15" s="161" t="s">
        <v>1059</v>
      </c>
      <c r="N15" s="161"/>
    </row>
    <row r="16" spans="2:14">
      <c r="B16" t="str">
        <f>IF(IF(OR(LEFT(C16,27)=SUP_Biofuels!$N$8,LEFT(C16,20)=SUP_Biofuels!$O$8,LEFT(C16,20)=SUP_Biofuels!$P$8),LEFT(C16,20),C16)="Specific investment ","Specific investment (M€ /MW",IF(OR(LEFT(C16,27)=SUP_Biofuels!$N$8,LEFT(C16,20)=SUP_Biofuels!$O$8,LEFT(C16,20)=SUP_Biofuels!$P$8),LEFT(C16,20),C16))</f>
        <v>Fuel Gas Output, MWh/MWh Total Input</v>
      </c>
      <c r="C16" s="162" t="s">
        <v>107</v>
      </c>
      <c r="D16" s="168">
        <v>3.3000000000000002E-2</v>
      </c>
      <c r="E16" s="168">
        <v>3.3000000000000002E-2</v>
      </c>
      <c r="F16" s="168">
        <v>3.3000000000000002E-2</v>
      </c>
      <c r="G16" s="168">
        <v>3.3000000000000002E-2</v>
      </c>
      <c r="H16" s="168">
        <v>3.3000000000000002E-2</v>
      </c>
      <c r="I16" s="205">
        <v>0.99</v>
      </c>
      <c r="J16" s="205">
        <v>1.01</v>
      </c>
      <c r="K16" s="205">
        <v>0.99</v>
      </c>
      <c r="L16" s="205">
        <v>1.01</v>
      </c>
      <c r="M16" s="161" t="s">
        <v>1059</v>
      </c>
      <c r="N16" s="161"/>
    </row>
    <row r="17" spans="2:14">
      <c r="B17" t="str">
        <f>IF(IF(OR(LEFT(C17,27)=SUP_Biofuels!$N$8,LEFT(C17,20)=SUP_Biofuels!$O$8,LEFT(C17,20)=SUP_Biofuels!$P$8),LEFT(C17,20),C17)="Specific investment ","Specific investment (M€ /MW",IF(OR(LEFT(C17,27)=SUP_Biofuels!$N$8,LEFT(C17,20)=SUP_Biofuels!$O$8,LEFT(C17,20)=SUP_Biofuels!$P$8),LEFT(C17,20),C17))</f>
        <v>LPG Output, MWh/MWh Total Input</v>
      </c>
      <c r="C17" s="162" t="s">
        <v>108</v>
      </c>
      <c r="D17" s="168">
        <v>2.75E-2</v>
      </c>
      <c r="E17" s="168">
        <v>2.75E-2</v>
      </c>
      <c r="F17" s="168">
        <v>2.75E-2</v>
      </c>
      <c r="G17" s="168">
        <v>2.75E-2</v>
      </c>
      <c r="H17" s="168">
        <v>2.75E-2</v>
      </c>
      <c r="I17" s="205">
        <v>0.99</v>
      </c>
      <c r="J17" s="205">
        <v>1.01</v>
      </c>
      <c r="K17" s="205">
        <v>0.99</v>
      </c>
      <c r="L17" s="205">
        <v>1.01</v>
      </c>
      <c r="M17" s="161" t="s">
        <v>1059</v>
      </c>
      <c r="N17" s="161"/>
    </row>
    <row r="18" spans="2:14">
      <c r="B18" t="str">
        <f>IF(IF(OR(LEFT(C18,27)=SUP_Biofuels!$N$8,LEFT(C18,20)=SUP_Biofuels!$O$8,LEFT(C18,20)=SUP_Biofuels!$P$8),LEFT(C18,20),C18)="Specific investment ","Specific investment (M€ /MW",IF(OR(LEFT(C18,27)=SUP_Biofuels!$N$8,LEFT(C18,20)=SUP_Biofuels!$O$8,LEFT(C18,20)=SUP_Biofuels!$P$8),LEFT(C18,20),C18))</f>
        <v>District Heating Output, MWh/MWh Total input</v>
      </c>
      <c r="C18" s="162" t="s">
        <v>109</v>
      </c>
      <c r="D18" s="168">
        <f>0.0237*0.15</f>
        <v>3.5549999999999996E-3</v>
      </c>
      <c r="E18" s="168">
        <f>0.0237*0.15</f>
        <v>3.5549999999999996E-3</v>
      </c>
      <c r="F18" s="168">
        <f>0.0237*0.15</f>
        <v>3.5549999999999996E-3</v>
      </c>
      <c r="G18" s="168">
        <f>0.0237*0.15</f>
        <v>3.5549999999999996E-3</v>
      </c>
      <c r="H18" s="168">
        <f>0.0237*0.15</f>
        <v>3.5549999999999996E-3</v>
      </c>
      <c r="I18" s="205">
        <v>0.99</v>
      </c>
      <c r="J18" s="205">
        <v>1.01</v>
      </c>
      <c r="K18" s="205">
        <v>0.99</v>
      </c>
      <c r="L18" s="205">
        <v>1.01</v>
      </c>
      <c r="M18" s="161" t="s">
        <v>1059</v>
      </c>
      <c r="N18" s="161"/>
    </row>
    <row r="19" spans="2:14">
      <c r="B19">
        <f>IF(IF(OR(LEFT(C19,27)=SUP_Biofuels!$N$8,LEFT(C19,20)=SUP_Biofuels!$O$8,LEFT(C19,20)=SUP_Biofuels!$P$8),LEFT(C19,20),C19)="Specific investment ","Specific investment (M€ /MW",IF(OR(LEFT(C19,27)=SUP_Biofuels!$N$8,LEFT(C19,20)=SUP_Biofuels!$O$8,LEFT(C19,20)=SUP_Biofuels!$P$8),LEFT(C19,20),C19))</f>
        <v>0</v>
      </c>
      <c r="C19" s="186"/>
      <c r="D19" s="185"/>
      <c r="E19" s="185"/>
      <c r="F19" s="185"/>
      <c r="G19" s="185"/>
      <c r="H19" s="185"/>
      <c r="I19" s="185"/>
      <c r="J19" s="185"/>
      <c r="K19" s="185"/>
      <c r="L19" s="185"/>
      <c r="M19" s="183"/>
      <c r="N19" s="225"/>
    </row>
    <row r="20" spans="2:14">
      <c r="B20" t="str">
        <f>IF(IF(OR(LEFT(C20,27)=SUP_Biofuels!$N$8,LEFT(C20,20)=SUP_Biofuels!$O$8,LEFT(C20,20)=SUP_Biofuels!$P$8),LEFT(C20,20),C20)="Specific investment ","Specific investment (M€ /MW",IF(OR(LEFT(C20,27)=SUP_Biofuels!$N$8,LEFT(C20,20)=SUP_Biofuels!$O$8,LEFT(C20,20)=SUP_Biofuels!$P$8),LEFT(C20,20),C20))</f>
        <v>Forced outage (%)</v>
      </c>
      <c r="C20" s="162" t="s">
        <v>59</v>
      </c>
      <c r="D20" s="162">
        <v>0</v>
      </c>
      <c r="E20" s="162">
        <v>0</v>
      </c>
      <c r="F20" s="162">
        <v>0</v>
      </c>
      <c r="G20" s="162">
        <v>0</v>
      </c>
      <c r="H20" s="162">
        <v>0</v>
      </c>
      <c r="I20" s="162"/>
      <c r="J20" s="162"/>
      <c r="K20" s="162"/>
      <c r="L20" s="162"/>
      <c r="M20" s="161" t="s">
        <v>675</v>
      </c>
      <c r="N20" s="161"/>
    </row>
    <row r="21" spans="2:14">
      <c r="B21" t="str">
        <f>IF(IF(OR(LEFT(C21,27)=SUP_Biofuels!$N$8,LEFT(C21,20)=SUP_Biofuels!$O$8,LEFT(C21,20)=SUP_Biofuels!$P$8),LEFT(C21,20),C21)="Specific investment ","Specific investment (M€ /MW",IF(OR(LEFT(C21,27)=SUP_Biofuels!$N$8,LEFT(C21,20)=SUP_Biofuels!$O$8,LEFT(C21,20)=SUP_Biofuels!$P$8),LEFT(C21,20),C21))</f>
        <v>Planned outage (weeks per year)</v>
      </c>
      <c r="C21" s="162" t="s">
        <v>92</v>
      </c>
      <c r="D21" s="162">
        <v>2</v>
      </c>
      <c r="E21" s="162">
        <v>2</v>
      </c>
      <c r="F21" s="162">
        <v>2</v>
      </c>
      <c r="G21" s="162">
        <v>2</v>
      </c>
      <c r="H21" s="162">
        <v>2</v>
      </c>
      <c r="I21" s="162"/>
      <c r="J21" s="162"/>
      <c r="K21" s="162"/>
      <c r="L21" s="162"/>
      <c r="M21" s="161"/>
      <c r="N21" s="161">
        <v>7</v>
      </c>
    </row>
    <row r="22" spans="2:14">
      <c r="B22" t="str">
        <f>IF(IF(OR(LEFT(C22,27)=SUP_Biofuels!$N$8,LEFT(C22,20)=SUP_Biofuels!$O$8,LEFT(C22,20)=SUP_Biofuels!$P$8),LEFT(C22,20),C22)="Specific investment ","Specific investment (M€ /MW",IF(OR(LEFT(C22,27)=SUP_Biofuels!$N$8,LEFT(C22,20)=SUP_Biofuels!$O$8,LEFT(C22,20)=SUP_Biofuels!$P$8),LEFT(C22,20),C22))</f>
        <v>Technical lifetime (years)</v>
      </c>
      <c r="C22" s="162" t="s">
        <v>58</v>
      </c>
      <c r="D22" s="162">
        <v>25</v>
      </c>
      <c r="E22" s="162">
        <v>25</v>
      </c>
      <c r="F22" s="162">
        <v>25</v>
      </c>
      <c r="G22" s="162">
        <v>25</v>
      </c>
      <c r="H22" s="162">
        <v>25</v>
      </c>
      <c r="I22" s="162"/>
      <c r="J22" s="162"/>
      <c r="K22" s="162"/>
      <c r="L22" s="162"/>
      <c r="M22" s="161"/>
      <c r="N22" s="161"/>
    </row>
    <row r="23" spans="2:14">
      <c r="B23" t="str">
        <f>IF(IF(OR(LEFT(C23,27)=SUP_Biofuels!$N$8,LEFT(C23,20)=SUP_Biofuels!$O$8,LEFT(C23,20)=SUP_Biofuels!$P$8),LEFT(C23,20),C23)="Specific investment ","Specific investment (M€ /MW",IF(OR(LEFT(C23,27)=SUP_Biofuels!$N$8,LEFT(C23,20)=SUP_Biofuels!$O$8,LEFT(C23,20)=SUP_Biofuels!$P$8),LEFT(C23,20),C23))</f>
        <v>Construction time (years)</v>
      </c>
      <c r="C23" s="162" t="s">
        <v>60</v>
      </c>
      <c r="D23" s="162">
        <v>2</v>
      </c>
      <c r="E23" s="162">
        <v>2</v>
      </c>
      <c r="F23" s="162">
        <v>2</v>
      </c>
      <c r="G23" s="162">
        <v>2</v>
      </c>
      <c r="H23" s="162">
        <v>2</v>
      </c>
      <c r="I23" s="162"/>
      <c r="J23" s="162"/>
      <c r="K23" s="162"/>
      <c r="L23" s="162"/>
      <c r="M23" s="161"/>
      <c r="N23" s="161"/>
    </row>
    <row r="24" spans="2:14">
      <c r="B24" t="str">
        <f>IF(IF(OR(LEFT(C24,27)=SUP_Biofuels!$N$8,LEFT(C24,20)=SUP_Biofuels!$O$8,LEFT(C24,20)=SUP_Biofuels!$P$8),LEFT(C24,20),C24)="Specific investment ","Specific investment (M€ /MW",IF(OR(LEFT(C24,27)=SUP_Biofuels!$N$8,LEFT(C24,20)=SUP_Biofuels!$O$8,LEFT(C24,20)=SUP_Biofuels!$P$8),LEFT(C24,20),C24))</f>
        <v xml:space="preserve">Financial data                                 </v>
      </c>
      <c r="C24" s="186" t="s">
        <v>264</v>
      </c>
      <c r="D24" s="185"/>
      <c r="E24" s="185"/>
      <c r="F24" s="185"/>
      <c r="G24" s="185"/>
      <c r="H24" s="185"/>
      <c r="I24" s="185"/>
      <c r="J24" s="185"/>
      <c r="K24" s="185"/>
      <c r="L24" s="185"/>
      <c r="M24" s="183"/>
      <c r="N24" s="225"/>
    </row>
    <row r="25" spans="2:14">
      <c r="B25" t="str">
        <f>IF(IF(OR(LEFT(C25,27)=SUP_Biofuels!$N$8,LEFT(C25,20)=SUP_Biofuels!$O$8,LEFT(C25,20)=SUP_Biofuels!$P$8),LEFT(C25,20),C25)="Specific investment ","Specific investment (M€ /MW",IF(OR(LEFT(C25,27)=SUP_Biofuels!$N$8,LEFT(C25,20)=SUP_Biofuels!$O$8,LEFT(C25,20)=SUP_Biofuels!$P$8),LEFT(C25,20),C25))</f>
        <v>Specific investment (M€ /MW</v>
      </c>
      <c r="C25" s="162" t="s">
        <v>1015</v>
      </c>
      <c r="D25" s="197">
        <v>0.76498843622131285</v>
      </c>
      <c r="E25" s="197">
        <v>0.75609322184664662</v>
      </c>
      <c r="F25" s="197">
        <v>0.63754427390791024</v>
      </c>
      <c r="G25" s="197">
        <v>0.59840000000000004</v>
      </c>
      <c r="H25" s="197">
        <v>0.57818893435331797</v>
      </c>
      <c r="I25" s="205">
        <v>0.9</v>
      </c>
      <c r="J25" s="205">
        <v>1.1000000000000001</v>
      </c>
      <c r="K25" s="205">
        <v>0.9</v>
      </c>
      <c r="L25" s="205">
        <v>1.1000000000000001</v>
      </c>
      <c r="M25" s="161" t="s">
        <v>1055</v>
      </c>
      <c r="N25" s="161" t="s">
        <v>1054</v>
      </c>
    </row>
    <row r="26" spans="2:14">
      <c r="B26" t="str">
        <f>IF(IF(OR(LEFT(C26,27)=SUP_Biofuels!$N$8,LEFT(C26,20)=SUP_Biofuels!$O$8,LEFT(C26,20)=SUP_Biofuels!$P$8),LEFT(C26,20),C26)="Specific investment ","Specific investment (M€ /MW",IF(OR(LEFT(C26,27)=SUP_Biofuels!$N$8,LEFT(C26,20)=SUP_Biofuels!$O$8,LEFT(C26,20)=SUP_Biofuels!$P$8),LEFT(C26,20),C26))</f>
        <v xml:space="preserve"> - equipment (%)</v>
      </c>
      <c r="C26" s="162" t="s">
        <v>394</v>
      </c>
      <c r="D26" s="163">
        <v>75</v>
      </c>
      <c r="E26" s="162">
        <v>75</v>
      </c>
      <c r="F26" s="162">
        <v>75</v>
      </c>
      <c r="G26" s="162">
        <v>75</v>
      </c>
      <c r="H26" s="162">
        <v>75</v>
      </c>
      <c r="I26" s="162"/>
      <c r="J26" s="162"/>
      <c r="K26" s="162"/>
      <c r="L26" s="162"/>
      <c r="M26" s="161"/>
      <c r="N26" s="161"/>
    </row>
    <row r="27" spans="2:14">
      <c r="B27" t="str">
        <f>IF(IF(OR(LEFT(C27,27)=SUP_Biofuels!$N$8,LEFT(C27,20)=SUP_Biofuels!$O$8,LEFT(C27,20)=SUP_Biofuels!$P$8),LEFT(C27,20),C27)="Specific investment ","Specific investment (M€ /MW",IF(OR(LEFT(C27,27)=SUP_Biofuels!$N$8,LEFT(C27,20)=SUP_Biofuels!$O$8,LEFT(C27,20)=SUP_Biofuels!$P$8),LEFT(C27,20),C27))</f>
        <v xml:space="preserve"> -installation (%)</v>
      </c>
      <c r="C27" s="162" t="s">
        <v>251</v>
      </c>
      <c r="D27" s="162">
        <v>25</v>
      </c>
      <c r="E27" s="162">
        <v>25</v>
      </c>
      <c r="F27" s="162">
        <v>25</v>
      </c>
      <c r="G27" s="162">
        <v>25</v>
      </c>
      <c r="H27" s="162">
        <v>25</v>
      </c>
      <c r="I27" s="162"/>
      <c r="J27" s="162"/>
      <c r="K27" s="162"/>
      <c r="L27" s="162"/>
      <c r="M27" s="161"/>
      <c r="N27" s="161"/>
    </row>
    <row r="28" spans="2:14">
      <c r="B28" t="str">
        <f>LEFT(C28,17)</f>
        <v>Fixed O&amp;M (M€ /MW</v>
      </c>
      <c r="C28" s="162" t="s">
        <v>1013</v>
      </c>
      <c r="D28" s="168">
        <v>3.558085749866572E-2</v>
      </c>
      <c r="E28" s="168">
        <v>3.558085749866572E-2</v>
      </c>
      <c r="F28" s="168">
        <v>3.5419126328217233E-2</v>
      </c>
      <c r="G28" s="168">
        <v>3.5324675324675321E-2</v>
      </c>
      <c r="H28" s="168">
        <v>3.558085749866572E-2</v>
      </c>
      <c r="I28" s="205">
        <v>0.9</v>
      </c>
      <c r="J28" s="205">
        <v>1.1000000000000001</v>
      </c>
      <c r="K28" s="205">
        <v>0.9</v>
      </c>
      <c r="L28" s="205">
        <v>1.1000000000000001</v>
      </c>
      <c r="M28" s="161" t="s">
        <v>1051</v>
      </c>
      <c r="N28" s="161">
        <v>7</v>
      </c>
    </row>
    <row r="29" spans="2:14">
      <c r="B29" t="str">
        <f>LEFT(C29,19)</f>
        <v>Variable O&amp;M (€ /MW</v>
      </c>
      <c r="C29" s="162" t="s">
        <v>247</v>
      </c>
      <c r="D29" s="197">
        <v>8.4812467537895504</v>
      </c>
      <c r="E29" s="197">
        <v>8.4812467537895504</v>
      </c>
      <c r="F29" s="197">
        <v>8.4812467537895539</v>
      </c>
      <c r="G29" s="197">
        <v>8.4812467537895522</v>
      </c>
      <c r="H29" s="197">
        <v>8.4812467537895504</v>
      </c>
      <c r="I29" s="205">
        <v>0.9</v>
      </c>
      <c r="J29" s="205">
        <v>1.1000000000000001</v>
      </c>
      <c r="K29" s="205">
        <v>0.9</v>
      </c>
      <c r="L29" s="205">
        <v>1.1000000000000001</v>
      </c>
      <c r="M29" s="161" t="s">
        <v>1051</v>
      </c>
      <c r="N29" s="161">
        <v>7</v>
      </c>
    </row>
    <row r="30" spans="2:14">
      <c r="B30" t="str">
        <f>IF(IF(OR(LEFT(C30,27)=SUP_Biofuels!$N$8,LEFT(C30,20)=SUP_Biofuels!$O$8,LEFT(C30,20)=SUP_Biofuels!$P$8),LEFT(C30,20),C30)="Specific investment ","Specific investment (M€ /MW",IF(OR(LEFT(C30,27)=SUP_Biofuels!$N$8,LEFT(C30,20)=SUP_Biofuels!$O$8,LEFT(C30,20)=SUP_Biofuels!$P$8),LEFT(C30,20),C30))</f>
        <v>Startup (M € /MW)</v>
      </c>
      <c r="C30" s="162" t="s">
        <v>1058</v>
      </c>
      <c r="D30" s="162">
        <v>0</v>
      </c>
      <c r="E30" s="162">
        <v>0</v>
      </c>
      <c r="F30" s="162">
        <v>0</v>
      </c>
      <c r="G30" s="162">
        <v>0</v>
      </c>
      <c r="H30" s="162">
        <v>0</v>
      </c>
      <c r="I30" s="205"/>
      <c r="J30" s="205"/>
      <c r="K30" s="205"/>
      <c r="L30" s="205"/>
      <c r="M30" s="161"/>
      <c r="N30" s="161"/>
    </row>
    <row r="31" spans="2:14">
      <c r="B31" t="str">
        <f>IF(IF(OR(LEFT(C31,27)=SUP_Biofuels!$N$8,LEFT(C31,20)=SUP_Biofuels!$O$8,LEFT(C31,20)=SUP_Biofuels!$P$8),LEFT(C31,20),C31)="Specific investment ","Specific investment (M€ /MW",IF(OR(LEFT(C31,27)=SUP_Biofuels!$N$8,LEFT(C31,20)=SUP_Biofuels!$O$8,LEFT(C31,20)=SUP_Biofuels!$P$8),LEFT(C31,20),C31))</f>
        <v xml:space="preserve">Technology specific data                                 </v>
      </c>
      <c r="C31" s="186" t="s">
        <v>260</v>
      </c>
      <c r="D31" s="185"/>
      <c r="E31" s="185"/>
      <c r="F31" s="185"/>
      <c r="G31" s="185"/>
      <c r="H31" s="185"/>
      <c r="I31" s="185"/>
      <c r="J31" s="185"/>
      <c r="K31" s="185"/>
      <c r="L31" s="185"/>
      <c r="M31" s="183"/>
      <c r="N31" s="225"/>
    </row>
    <row r="32" spans="2:14">
      <c r="B32" t="str">
        <f>IF(IF(OR(LEFT(C32,27)=SUP_Biofuels!$N$8,LEFT(C32,20)=SUP_Biofuels!$O$8,LEFT(C32,20)=SUP_Biofuels!$P$8),LEFT(C32,20),C32)="Specific investment ","Specific investment (M€ /MW",IF(OR(LEFT(C32,27)=SUP_Biofuels!$N$8,LEFT(C32,20)=SUP_Biofuels!$O$8,LEFT(C32,20)=SUP_Biofuels!$P$8),LEFT(C32,20),C32))</f>
        <v xml:space="preserve">Specific energy content (GJ/ton) </v>
      </c>
      <c r="C32" s="162" t="s">
        <v>1057</v>
      </c>
      <c r="D32" s="176">
        <v>44.1</v>
      </c>
      <c r="E32" s="176">
        <v>44.1</v>
      </c>
      <c r="F32" s="176">
        <v>44.1</v>
      </c>
      <c r="G32" s="176">
        <v>44.1</v>
      </c>
      <c r="H32" s="176">
        <v>44.1</v>
      </c>
      <c r="I32" s="162"/>
      <c r="J32" s="162"/>
      <c r="K32" s="162"/>
      <c r="L32" s="162"/>
      <c r="M32" s="162"/>
      <c r="N32" s="162"/>
    </row>
    <row r="33" spans="2:14">
      <c r="B33" t="str">
        <f>IF(IF(OR(LEFT(C33,27)=SUP_Biofuels!$N$8,LEFT(C33,20)=SUP_Biofuels!$O$8,LEFT(C33,20)=SUP_Biofuels!$P$8),LEFT(C33,20),C33)="Specific investment ","Specific investment (M€ /MW",IF(OR(LEFT(C33,27)=SUP_Biofuels!$N$8,LEFT(C33,20)=SUP_Biofuels!$O$8,LEFT(C33,20)=SUP_Biofuels!$P$8),LEFT(C33,20),C33))</f>
        <v>Specific density  (kg/l) or (ton/m3)</v>
      </c>
      <c r="C33" s="162" t="s">
        <v>257</v>
      </c>
      <c r="D33" s="162">
        <v>0.77</v>
      </c>
      <c r="E33" s="162">
        <v>0.77</v>
      </c>
      <c r="F33" s="162">
        <v>0.77</v>
      </c>
      <c r="G33" s="162">
        <v>0.77</v>
      </c>
      <c r="H33" s="162">
        <v>0.77</v>
      </c>
      <c r="I33" s="162"/>
      <c r="J33" s="162"/>
      <c r="K33" s="162"/>
      <c r="L33" s="162"/>
      <c r="M33" s="162"/>
      <c r="N33" s="162"/>
    </row>
    <row r="34" spans="2:14">
      <c r="C34" s="162" t="s">
        <v>1056</v>
      </c>
      <c r="D34" s="197">
        <v>1.1168831168831168</v>
      </c>
      <c r="E34" s="197">
        <v>1.1038961038961039</v>
      </c>
      <c r="F34" s="197">
        <v>0.93506493506493504</v>
      </c>
      <c r="G34" s="197">
        <v>0.88</v>
      </c>
      <c r="H34" s="197">
        <v>0.84415584415584421</v>
      </c>
      <c r="I34" s="205">
        <v>0.9</v>
      </c>
      <c r="J34" s="205">
        <v>1.1000000000000001</v>
      </c>
      <c r="K34" s="205">
        <v>0.9</v>
      </c>
      <c r="L34" s="205">
        <v>1.1000000000000001</v>
      </c>
      <c r="M34" s="161" t="s">
        <v>1055</v>
      </c>
      <c r="N34" s="161" t="s">
        <v>1054</v>
      </c>
    </row>
    <row r="35" spans="2:14">
      <c r="C35" s="162" t="s">
        <v>394</v>
      </c>
      <c r="D35" s="163">
        <v>75</v>
      </c>
      <c r="E35" s="162">
        <v>75</v>
      </c>
      <c r="F35" s="162">
        <v>75</v>
      </c>
      <c r="G35" s="162">
        <v>75</v>
      </c>
      <c r="H35" s="162">
        <v>75</v>
      </c>
      <c r="I35" s="162"/>
      <c r="J35" s="162"/>
      <c r="K35" s="162"/>
      <c r="L35" s="162"/>
      <c r="M35" s="162"/>
      <c r="N35" s="162"/>
    </row>
    <row r="36" spans="2:14">
      <c r="C36" s="162" t="s">
        <v>251</v>
      </c>
      <c r="D36" s="162">
        <v>25</v>
      </c>
      <c r="E36" s="162">
        <v>25</v>
      </c>
      <c r="F36" s="162">
        <v>25</v>
      </c>
      <c r="G36" s="162">
        <v>25</v>
      </c>
      <c r="H36" s="162">
        <v>25</v>
      </c>
      <c r="I36" s="162"/>
      <c r="J36" s="162"/>
      <c r="K36" s="162"/>
      <c r="L36" s="162"/>
      <c r="M36" s="162"/>
      <c r="N36" s="162"/>
    </row>
    <row r="37" spans="2:14">
      <c r="C37" s="162" t="s">
        <v>1053</v>
      </c>
      <c r="D37" s="168">
        <v>5.1948051948051945E-2</v>
      </c>
      <c r="E37" s="168">
        <v>5.1948051948051945E-2</v>
      </c>
      <c r="F37" s="168">
        <v>5.1948051948051945E-2</v>
      </c>
      <c r="G37" s="168">
        <v>5.1948051948051945E-2</v>
      </c>
      <c r="H37" s="168">
        <v>5.1948051948051945E-2</v>
      </c>
      <c r="I37" s="205">
        <v>0.9</v>
      </c>
      <c r="J37" s="205">
        <v>1.1000000000000001</v>
      </c>
      <c r="K37" s="205">
        <v>0.9</v>
      </c>
      <c r="L37" s="205">
        <v>1.1000000000000001</v>
      </c>
      <c r="M37" s="161" t="s">
        <v>1051</v>
      </c>
      <c r="N37" s="161">
        <v>7</v>
      </c>
    </row>
    <row r="38" spans="2:14">
      <c r="C38" s="162" t="s">
        <v>1052</v>
      </c>
      <c r="D38" s="168">
        <v>0.10389610389610389</v>
      </c>
      <c r="E38" s="168">
        <v>0.10389610389610389</v>
      </c>
      <c r="F38" s="168">
        <v>0.10389610389610389</v>
      </c>
      <c r="G38" s="168">
        <v>0.10389610389610389</v>
      </c>
      <c r="H38" s="168">
        <v>0.10389610389610389</v>
      </c>
      <c r="I38" s="205">
        <v>0.9</v>
      </c>
      <c r="J38" s="205">
        <v>1.1000000000000001</v>
      </c>
      <c r="K38" s="205">
        <v>0.9</v>
      </c>
      <c r="L38" s="205">
        <v>1.1000000000000001</v>
      </c>
      <c r="M38" s="161" t="s">
        <v>1051</v>
      </c>
      <c r="N38" s="161">
        <v>7</v>
      </c>
    </row>
    <row r="39" spans="2:14">
      <c r="C39" s="162" t="s">
        <v>1050</v>
      </c>
      <c r="D39" s="162">
        <v>0</v>
      </c>
      <c r="E39" s="162">
        <v>0</v>
      </c>
      <c r="F39" s="162">
        <v>0</v>
      </c>
      <c r="G39" s="162">
        <v>0</v>
      </c>
      <c r="H39" s="162">
        <v>0</v>
      </c>
      <c r="I39" s="162"/>
      <c r="J39" s="162"/>
      <c r="K39" s="162"/>
      <c r="L39" s="162"/>
      <c r="M39" s="162"/>
      <c r="N39" s="162"/>
    </row>
    <row r="40" spans="2:14">
      <c r="D40" s="931"/>
    </row>
    <row r="41" spans="2:14">
      <c r="C41" s="886" t="s">
        <v>695</v>
      </c>
      <c r="D41" s="931"/>
    </row>
    <row r="42" spans="2:14">
      <c r="C42" s="885" t="s">
        <v>1049</v>
      </c>
      <c r="D42" s="931"/>
    </row>
    <row r="43" spans="2:14">
      <c r="C43" s="885" t="s">
        <v>1048</v>
      </c>
      <c r="D43" s="931"/>
    </row>
    <row r="44" spans="2:14">
      <c r="C44" s="885" t="s">
        <v>1047</v>
      </c>
      <c r="D44" s="931"/>
    </row>
    <row r="45" spans="2:14">
      <c r="C45" s="885" t="s">
        <v>1046</v>
      </c>
      <c r="D45" s="931"/>
    </row>
    <row r="46" spans="2:14">
      <c r="C46" s="885" t="s">
        <v>1045</v>
      </c>
    </row>
    <row r="47" spans="2:14">
      <c r="C47" s="885" t="s">
        <v>1044</v>
      </c>
    </row>
    <row r="48" spans="2:14">
      <c r="C48" s="885" t="s">
        <v>1043</v>
      </c>
    </row>
    <row r="49" spans="1:3">
      <c r="C49" s="885" t="s">
        <v>1042</v>
      </c>
    </row>
    <row r="50" spans="1:3">
      <c r="C50" s="885" t="s">
        <v>1041</v>
      </c>
    </row>
    <row r="51" spans="1:3">
      <c r="C51" s="885" t="s">
        <v>1040</v>
      </c>
    </row>
    <row r="52" spans="1:3">
      <c r="C52" s="885" t="s">
        <v>1039</v>
      </c>
    </row>
    <row r="53" spans="1:3">
      <c r="C53" s="885" t="s">
        <v>1038</v>
      </c>
    </row>
    <row r="54" spans="1:3">
      <c r="C54" s="885" t="s">
        <v>1037</v>
      </c>
    </row>
    <row r="56" spans="1:3">
      <c r="C56" s="886" t="s">
        <v>989</v>
      </c>
    </row>
    <row r="57" spans="1:3">
      <c r="C57" s="885" t="s">
        <v>1036</v>
      </c>
    </row>
    <row r="58" spans="1:3">
      <c r="C58" s="885" t="s">
        <v>1035</v>
      </c>
    </row>
    <row r="59" spans="1:3">
      <c r="C59" s="885" t="s">
        <v>1034</v>
      </c>
    </row>
    <row r="60" spans="1:3">
      <c r="C60" s="885" t="s">
        <v>1033</v>
      </c>
    </row>
    <row r="61" spans="1:3">
      <c r="A61" s="885"/>
      <c r="C61" s="885" t="s">
        <v>1032</v>
      </c>
    </row>
    <row r="62" spans="1:3">
      <c r="C62" s="885" t="s">
        <v>1031</v>
      </c>
    </row>
    <row r="63" spans="1:3">
      <c r="C63" s="885" t="s">
        <v>1030</v>
      </c>
    </row>
    <row r="64" spans="1:3">
      <c r="C64" s="885" t="s">
        <v>1029</v>
      </c>
    </row>
    <row r="65" spans="3:3">
      <c r="C65" s="885" t="s">
        <v>1028</v>
      </c>
    </row>
    <row r="66" spans="3:3">
      <c r="C66" s="885" t="s">
        <v>1027</v>
      </c>
    </row>
    <row r="67" spans="3:3">
      <c r="C67" s="885" t="s">
        <v>1026</v>
      </c>
    </row>
    <row r="68" spans="3:3">
      <c r="C68" s="885" t="s">
        <v>1025</v>
      </c>
    </row>
    <row r="69" spans="3:3">
      <c r="C69" s="885" t="s">
        <v>1024</v>
      </c>
    </row>
  </sheetData>
  <mergeCells count="2">
    <mergeCell ref="I3:J3"/>
    <mergeCell ref="K3:L3"/>
  </mergeCells>
  <hyperlinks>
    <hyperlink ref="C57" r:id="rId1" display="https://www.arb.ca.gov/fuels/lcfs/2a2b/apps/nes-na-tallow-rpt-011414.pdf" xr:uid="{0C9B7BB3-C3EB-430C-8470-68B6CB78027D}"/>
    <hyperlink ref="C58" r:id="rId2" display="https://www.epa.gov/sites/production/files/2017-05/documents/reg-geismar-deter-ltr-2017-04-13.pdf" xr:uid="{79BCAE6B-F25B-49A6-9C47-0C86B936133E}"/>
    <hyperlink ref="C59" r:id="rId3" display="https://www.uop.com/wp-content/uploads/2012/12/UOP-Hydrorefining-Green-Diesel-Tech-Paper.pdf" xr:uid="{F6BAD1D1-A542-4A35-998E-32D13AD4ABE2}"/>
    <hyperlink ref="C60" r:id="rId4" display="https://www.doi.org/10.1002/bbb.1613" xr:uid="{54B24704-BC94-4AD0-AE60-03D0E984E99E}"/>
    <hyperlink ref="C61" r:id="rId5" display="https://www.neste.com/en/corporate-info/investors/financials" xr:uid="{DFA7E383-69A2-4438-947A-F5974C427C7D}"/>
    <hyperlink ref="C62" r:id="rId6" display="https://www.eia.gov/dnav/pet/pet_pri_spt_s1_d.htm" xr:uid="{2796A1EB-9FA8-4287-BF37-104C203B98AB}"/>
    <hyperlink ref="C63" r:id="rId7" display="http://www.extension.iastate.edu/agdm/energy/xls/d1-15biodieselprofitability.xlsx" xr:uid="{DBD68FE6-6127-444C-97A0-4D8ACAC1ABF8}"/>
    <hyperlink ref="C64" r:id="rId8" display="https://www.intechopen.com/books/hydrogenation/hydroconversion-of-triglycerides-into-green-liquid-fuels" xr:uid="{08DCB703-84DC-4664-B8A6-58D4CD2FEB3F}"/>
    <hyperlink ref="C65" r:id="rId9" display="https://doi.org/10.1186/s13068-017-0945-3" xr:uid="{DBC2A67F-8D21-4195-9589-8FA4433DCEA5}"/>
    <hyperlink ref="C66" r:id="rId10" display="https://doi.org/10.1016/j.seta.2014.01.008" xr:uid="{6E3A8D56-C131-4023-988B-39442BC82B3A}"/>
    <hyperlink ref="C67" r:id="rId11" display="https://www.prnewswire.com/news-releases/diamond-green-diesel-to-be-expanded-to-275-million-gallons-annually-300248085.html" xr:uid="{216601B0-21D8-4BA4-AE18-95898383472F}"/>
    <hyperlink ref="C68" r:id="rId12" display="https://www.neste.com/sites/default/files/attachments/neste_renewable_diesel_handbook.pdf" xr:uid="{C5577BB9-F55D-4D98-86FA-39B50E45FF13}"/>
    <hyperlink ref="C69" r:id="rId13" display="http://platformduurzamebiobrandstoffen.nl/wp-content/uploads/2017/07/2017_SGAB_Cost-of-Biofuels.pdf" xr:uid="{37DAFD56-1A5E-4F26-BCD8-D169574767CC}"/>
    <hyperlink ref="I1" location="Index" display="Back to Index" xr:uid="{BEAF57F2-CE78-4E38-87F2-F422A459CCAE}"/>
  </hyperlinks>
  <pageMargins left="0.7" right="0.7" top="0.75" bottom="0.75" header="0.3" footer="0.3"/>
  <pageSetup paperSize="9"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8E2B3-10FA-45EE-8316-CAD04444AB6E}">
  <sheetPr>
    <tabColor theme="4" tint="0.39997558519241921"/>
  </sheetPr>
  <dimension ref="B1:N63"/>
  <sheetViews>
    <sheetView workbookViewId="0">
      <selection activeCell="C41" sqref="C41"/>
    </sheetView>
  </sheetViews>
  <sheetFormatPr defaultColWidth="9.109375" defaultRowHeight="14.4"/>
  <cols>
    <col min="1" max="1" width="3.109375" customWidth="1"/>
    <col min="2" max="2" width="44.6640625" bestFit="1" customWidth="1"/>
    <col min="3" max="3" width="24.88671875" customWidth="1"/>
    <col min="4" max="13" width="7.5546875" customWidth="1"/>
  </cols>
  <sheetData>
    <row r="1" spans="2:14">
      <c r="I1" s="884" t="s">
        <v>966</v>
      </c>
    </row>
    <row r="2" spans="2:14" ht="15" customHeight="1">
      <c r="C2" s="260" t="s">
        <v>296</v>
      </c>
      <c r="D2" s="260" t="s">
        <v>1082</v>
      </c>
      <c r="E2" s="260"/>
      <c r="F2" s="260"/>
      <c r="G2" s="260"/>
      <c r="H2" s="260"/>
      <c r="I2" s="260"/>
      <c r="J2" s="260"/>
      <c r="K2" s="260"/>
      <c r="L2" s="260"/>
      <c r="M2" s="260"/>
      <c r="N2" s="260"/>
    </row>
    <row r="3" spans="2:14" ht="15" customHeight="1">
      <c r="C3" s="260"/>
      <c r="D3" s="260">
        <v>2015</v>
      </c>
      <c r="E3" s="260">
        <v>2020</v>
      </c>
      <c r="F3" s="260">
        <v>2030</v>
      </c>
      <c r="G3" s="260">
        <v>2040</v>
      </c>
      <c r="H3" s="260">
        <v>2050</v>
      </c>
      <c r="I3" s="1291" t="s">
        <v>290</v>
      </c>
      <c r="J3" s="1291"/>
      <c r="K3" s="1291" t="s">
        <v>289</v>
      </c>
      <c r="L3" s="1291"/>
      <c r="M3" s="930" t="s">
        <v>288</v>
      </c>
      <c r="N3" s="930" t="s">
        <v>287</v>
      </c>
    </row>
    <row r="4" spans="2:14">
      <c r="C4" s="929"/>
      <c r="D4" s="929"/>
      <c r="E4" s="929"/>
      <c r="F4" s="929"/>
      <c r="G4" s="929"/>
      <c r="H4" s="929"/>
      <c r="I4" s="928" t="s">
        <v>284</v>
      </c>
      <c r="J4" s="928" t="s">
        <v>283</v>
      </c>
      <c r="K4" s="928" t="s">
        <v>284</v>
      </c>
      <c r="L4" s="928" t="s">
        <v>283</v>
      </c>
      <c r="M4" s="928"/>
      <c r="N4" s="92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HVO/year</v>
      </c>
      <c r="C6" s="180" t="s">
        <v>1063</v>
      </c>
      <c r="D6" s="180">
        <v>400</v>
      </c>
      <c r="E6" s="180">
        <v>400</v>
      </c>
      <c r="F6" s="180">
        <v>600</v>
      </c>
      <c r="G6" s="180">
        <v>700</v>
      </c>
      <c r="H6" s="180">
        <v>800</v>
      </c>
      <c r="I6" s="179">
        <v>0.5</v>
      </c>
      <c r="J6" s="179">
        <v>2</v>
      </c>
      <c r="K6" s="179">
        <v>0.5</v>
      </c>
      <c r="L6" s="179">
        <v>1</v>
      </c>
      <c r="M6" s="178" t="s">
        <v>280</v>
      </c>
      <c r="N6" s="178"/>
    </row>
    <row r="7" spans="2:14">
      <c r="B7" t="str">
        <f>IF(IF(OR(LEFT(C7,27)=SUP_Biofuels!$N$8,LEFT(C7,20)=SUP_Biofuels!$O$8,LEFT(C7,20)=SUP_Biofuels!$P$8),LEFT(C7,20),C7)="Specific investment ","Specific investment (M€ /MW",IF(OR(LEFT(C7,27)=SUP_Biofuels!$N$8,LEFT(C7,20)=SUP_Biofuels!$O$8,LEFT(C7,20)=SUP_Biofuels!$P$8),LEFT(C7,20),C7))</f>
        <v>Typical total plant size MW HVO</v>
      </c>
      <c r="C7" s="162" t="s">
        <v>1062</v>
      </c>
      <c r="D7" s="162">
        <v>580</v>
      </c>
      <c r="E7" s="162">
        <v>580</v>
      </c>
      <c r="F7" s="162">
        <v>875</v>
      </c>
      <c r="G7" s="162">
        <v>1020</v>
      </c>
      <c r="H7" s="162">
        <v>1165</v>
      </c>
      <c r="I7" s="167">
        <v>0.5</v>
      </c>
      <c r="J7" s="167">
        <v>2</v>
      </c>
      <c r="K7" s="167">
        <v>0.5</v>
      </c>
      <c r="L7" s="167">
        <v>1</v>
      </c>
      <c r="M7" s="161" t="s">
        <v>277</v>
      </c>
      <c r="N7" s="161"/>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Inputs</v>
      </c>
      <c r="C9" s="162" t="s">
        <v>101</v>
      </c>
      <c r="D9" s="162">
        <v>0.77900000000000003</v>
      </c>
      <c r="E9" s="162">
        <v>0.77900000000000003</v>
      </c>
      <c r="F9" s="162">
        <v>0.77900000000000003</v>
      </c>
      <c r="G9" s="162">
        <v>0.77900000000000003</v>
      </c>
      <c r="H9" s="162">
        <v>0.77900000000000003</v>
      </c>
      <c r="I9" s="205">
        <v>0.9</v>
      </c>
      <c r="J9" s="205">
        <v>1.1000000000000001</v>
      </c>
      <c r="K9" s="205">
        <v>0.9</v>
      </c>
      <c r="L9" s="205">
        <v>1.1000000000000001</v>
      </c>
      <c r="M9" s="161" t="s">
        <v>1080</v>
      </c>
      <c r="N9" s="161" t="s">
        <v>265</v>
      </c>
    </row>
    <row r="10" spans="2:14">
      <c r="B10" t="str">
        <f>IF(IF(OR(LEFT(C10,27)=SUP_Biofuels!$N$8,LEFT(C10,20)=SUP_Biofuels!$O$8,LEFT(C10,20)=SUP_Biofuels!$P$8),LEFT(C10,20),C10)="Specific investment ","Specific investment (M€ /MW",IF(OR(LEFT(C10,27)=SUP_Biofuels!$N$8,LEFT(C10,20)=SUP_Biofuels!$O$8,LEFT(C10,20)=SUP_Biofuels!$P$8),LEFT(C10,20),C10))</f>
        <v>Hydrogen Consumption, MWh/MWh Total Inputs</v>
      </c>
      <c r="C10" s="162" t="s">
        <v>103</v>
      </c>
      <c r="D10" s="162">
        <v>9.9000000000000005E-2</v>
      </c>
      <c r="E10" s="162">
        <v>9.9000000000000005E-2</v>
      </c>
      <c r="F10" s="162">
        <v>9.9000000000000005E-2</v>
      </c>
      <c r="G10" s="162">
        <v>9.9000000000000005E-2</v>
      </c>
      <c r="H10" s="162">
        <v>9.9000000000000005E-2</v>
      </c>
      <c r="I10" s="205">
        <v>0.9</v>
      </c>
      <c r="J10" s="205">
        <v>1.1000000000000001</v>
      </c>
      <c r="K10" s="205">
        <v>0.9</v>
      </c>
      <c r="L10" s="205">
        <v>1.1000000000000001</v>
      </c>
      <c r="M10" s="161" t="s">
        <v>1081</v>
      </c>
      <c r="N10" s="161" t="s">
        <v>265</v>
      </c>
    </row>
    <row r="11" spans="2:14">
      <c r="B11" t="str">
        <f>IF(IF(OR(LEFT(C11,27)=SUP_Biofuels!$N$8,LEFT(C11,20)=SUP_Biofuels!$O$8,LEFT(C11,20)=SUP_Biofuels!$P$8),LEFT(C11,20),C11)="Specific investment ","Specific investment (M€ /MW",IF(OR(LEFT(C11,27)=SUP_Biofuels!$N$8,LEFT(C11,20)=SUP_Biofuels!$O$8,LEFT(C11,20)=SUP_Biofuels!$P$8),LEFT(C11,20),C11))</f>
        <v>Electricity Consumption, MWh/MWh Total Inputs</v>
      </c>
      <c r="C11" s="162" t="s">
        <v>104</v>
      </c>
      <c r="D11" s="162">
        <v>3.0000000000000001E-3</v>
      </c>
      <c r="E11" s="162">
        <v>3.0000000000000001E-3</v>
      </c>
      <c r="F11" s="162">
        <v>3.0000000000000001E-3</v>
      </c>
      <c r="G11" s="162">
        <v>3.0000000000000001E-3</v>
      </c>
      <c r="H11" s="162">
        <v>3.0000000000000001E-3</v>
      </c>
      <c r="I11" s="205">
        <v>0.9</v>
      </c>
      <c r="J11" s="205">
        <v>1.1000000000000001</v>
      </c>
      <c r="K11" s="205">
        <v>0.9</v>
      </c>
      <c r="L11" s="205">
        <v>1.1000000000000001</v>
      </c>
      <c r="M11" s="161" t="s">
        <v>1080</v>
      </c>
      <c r="N11" s="161" t="s">
        <v>265</v>
      </c>
    </row>
    <row r="12" spans="2:14">
      <c r="B12" t="str">
        <f>IF(IF(OR(LEFT(C12,27)=SUP_Biofuels!$N$8,LEFT(C12,20)=SUP_Biofuels!$O$8,LEFT(C12,20)=SUP_Biofuels!$P$8),LEFT(C12,20),C12)="Specific investment ","Specific investment (M€ /MW",IF(OR(LEFT(C12,27)=SUP_Biofuels!$N$8,LEFT(C12,20)=SUP_Biofuels!$O$8,LEFT(C12,20)=SUP_Biofuels!$P$8),LEFT(C12,20),C12))</f>
        <v>Natural Gas Consumption, MWh/MWh Total Inputs</v>
      </c>
      <c r="C12" s="162" t="s">
        <v>105</v>
      </c>
      <c r="D12" s="162">
        <v>0.11899999999999999</v>
      </c>
      <c r="E12" s="162">
        <v>0.11899999999999999</v>
      </c>
      <c r="F12" s="162">
        <v>0.11899999999999999</v>
      </c>
      <c r="G12" s="162">
        <v>0.11899999999999999</v>
      </c>
      <c r="H12" s="162">
        <v>0.11899999999999999</v>
      </c>
      <c r="I12" s="205">
        <v>0.9</v>
      </c>
      <c r="J12" s="205">
        <v>1.1000000000000001</v>
      </c>
      <c r="K12" s="205">
        <v>0.9</v>
      </c>
      <c r="L12" s="205">
        <v>1.1000000000000001</v>
      </c>
      <c r="M12" s="161" t="s">
        <v>1080</v>
      </c>
      <c r="N12" s="161" t="s">
        <v>265</v>
      </c>
    </row>
    <row r="13" spans="2:14">
      <c r="B13" t="str">
        <f>IF(IF(OR(LEFT(C13,27)=SUP_Biofuels!$N$8,LEFT(C13,20)=SUP_Biofuels!$O$8,LEFT(C13,20)=SUP_Biofuels!$P$8),LEFT(C13,20),C13)="Specific investment ","Specific investment (M€ /MW",IF(OR(LEFT(C13,27)=SUP_Biofuels!$N$8,LEFT(C13,20)=SUP_Biofuels!$O$8,LEFT(C13,20)=SUP_Biofuels!$P$8),LEFT(C13,20),C13))</f>
        <v>Outputs</v>
      </c>
      <c r="C13" s="186" t="s">
        <v>271</v>
      </c>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HVO Jet Output, GJ/GJ Total Input</v>
      </c>
      <c r="C14" s="162" t="s">
        <v>110</v>
      </c>
      <c r="D14" s="162">
        <v>0.66</v>
      </c>
      <c r="E14" s="162">
        <v>0.66</v>
      </c>
      <c r="F14" s="162">
        <v>0.66</v>
      </c>
      <c r="G14" s="162">
        <v>0.66</v>
      </c>
      <c r="H14" s="162">
        <v>0.66</v>
      </c>
      <c r="I14" s="205">
        <v>0.9</v>
      </c>
      <c r="J14" s="205">
        <v>1.1000000000000001</v>
      </c>
      <c r="K14" s="205">
        <v>0.9</v>
      </c>
      <c r="L14" s="205">
        <v>1.1000000000000001</v>
      </c>
      <c r="M14" s="161" t="s">
        <v>1059</v>
      </c>
      <c r="N14" s="161"/>
    </row>
    <row r="15" spans="2:14">
      <c r="B15" t="str">
        <f>IF(IF(OR(LEFT(C15,27)=SUP_Biofuels!$N$8,LEFT(C15,20)=SUP_Biofuels!$O$8,LEFT(C15,20)=SUP_Biofuels!$P$8),LEFT(C15,20),C15)="Specific investment ","Specific investment (M€ /MW",IF(OR(LEFT(C15,27)=SUP_Biofuels!$N$8,LEFT(C15,20)=SUP_Biofuels!$O$8,LEFT(C15,20)=SUP_Biofuels!$P$8),LEFT(C15,20),C15))</f>
        <v>Naphta Output, MWh/MWh Total Input</v>
      </c>
      <c r="C15" s="162" t="s">
        <v>106</v>
      </c>
      <c r="D15" s="168">
        <v>6.5100000000000005E-2</v>
      </c>
      <c r="E15" s="168">
        <v>6.5100000000000005E-2</v>
      </c>
      <c r="F15" s="168">
        <v>6.5100000000000005E-2</v>
      </c>
      <c r="G15" s="168">
        <v>6.5100000000000005E-2</v>
      </c>
      <c r="H15" s="168">
        <v>6.5100000000000005E-2</v>
      </c>
      <c r="I15" s="205">
        <v>0.9</v>
      </c>
      <c r="J15" s="205">
        <v>1.1000000000000001</v>
      </c>
      <c r="K15" s="205">
        <v>0.9</v>
      </c>
      <c r="L15" s="205">
        <v>1.1000000000000001</v>
      </c>
      <c r="M15" s="161" t="s">
        <v>1059</v>
      </c>
      <c r="N15" s="161"/>
    </row>
    <row r="16" spans="2:14">
      <c r="B16" t="str">
        <f>IF(IF(OR(LEFT(C16,27)=SUP_Biofuels!$N$8,LEFT(C16,20)=SUP_Biofuels!$O$8,LEFT(C16,20)=SUP_Biofuels!$P$8),LEFT(C16,20),C16)="Specific investment ","Specific investment (M€ /MW",IF(OR(LEFT(C16,27)=SUP_Biofuels!$N$8,LEFT(C16,20)=SUP_Biofuels!$O$8,LEFT(C16,20)=SUP_Biofuels!$P$8),LEFT(C16,20),C16))</f>
        <v>LPG Output, MWh/MWh Total Input</v>
      </c>
      <c r="C16" s="162" t="s">
        <v>108</v>
      </c>
      <c r="D16" s="168">
        <v>9.2399999999999996E-2</v>
      </c>
      <c r="E16" s="168">
        <v>9.2399999999999996E-2</v>
      </c>
      <c r="F16" s="168">
        <v>9.2399999999999996E-2</v>
      </c>
      <c r="G16" s="168">
        <v>9.2399999999999996E-2</v>
      </c>
      <c r="H16" s="168">
        <v>9.2399999999999996E-2</v>
      </c>
      <c r="I16" s="205">
        <v>0.9</v>
      </c>
      <c r="J16" s="205">
        <v>1.1000000000000001</v>
      </c>
      <c r="K16" s="205">
        <v>0.9</v>
      </c>
      <c r="L16" s="205">
        <v>1.1000000000000001</v>
      </c>
      <c r="M16" s="161" t="s">
        <v>1059</v>
      </c>
      <c r="N16" s="161"/>
    </row>
    <row r="17" spans="2:14">
      <c r="B17" t="str">
        <f>IF(IF(OR(LEFT(C17,27)=SUP_Biofuels!$N$8,LEFT(C17,20)=SUP_Biofuels!$O$8,LEFT(C17,20)=SUP_Biofuels!$P$8),LEFT(C17,20),C17)="Specific investment ","Specific investment (M€ /MW",IF(OR(LEFT(C17,27)=SUP_Biofuels!$N$8,LEFT(C17,20)=SUP_Biofuels!$O$8,LEFT(C17,20)=SUP_Biofuels!$P$8),LEFT(C17,20),C17))</f>
        <v>Fuel Gas Output, MWh/MWh Total Input</v>
      </c>
      <c r="C17" s="162" t="s">
        <v>107</v>
      </c>
      <c r="D17" s="168">
        <v>0.1</v>
      </c>
      <c r="E17" s="168">
        <v>0.1</v>
      </c>
      <c r="F17" s="168">
        <v>0.1</v>
      </c>
      <c r="G17" s="168">
        <v>0.1</v>
      </c>
      <c r="H17" s="168">
        <v>0.1</v>
      </c>
      <c r="I17" s="205">
        <v>0.9</v>
      </c>
      <c r="J17" s="205">
        <v>1.1000000000000001</v>
      </c>
      <c r="K17" s="205">
        <v>0.9</v>
      </c>
      <c r="L17" s="205">
        <v>1.1000000000000001</v>
      </c>
      <c r="M17" s="161" t="s">
        <v>1059</v>
      </c>
      <c r="N17" s="161"/>
    </row>
    <row r="18" spans="2:14">
      <c r="B18" t="str">
        <f>IF(IF(OR(LEFT(C18,27)=SUP_Biofuels!$N$8,LEFT(C18,20)=SUP_Biofuels!$O$8,LEFT(C18,20)=SUP_Biofuels!$P$8),LEFT(C18,20),C18)="Specific investment ","Specific investment (M€ /MW",IF(OR(LEFT(C18,27)=SUP_Biofuels!$N$8,LEFT(C18,20)=SUP_Biofuels!$O$8,LEFT(C18,20)=SUP_Biofuels!$P$8),LEFT(C18,20),C18))</f>
        <v>District Heating Output, MWh/MWh Total input</v>
      </c>
      <c r="C18" s="162" t="s">
        <v>109</v>
      </c>
      <c r="D18" s="168">
        <f>0.177*0.15</f>
        <v>2.6549999999999997E-2</v>
      </c>
      <c r="E18" s="168">
        <f>0.177*0.15</f>
        <v>2.6549999999999997E-2</v>
      </c>
      <c r="F18" s="168">
        <f>0.177*0.15</f>
        <v>2.6549999999999997E-2</v>
      </c>
      <c r="G18" s="168">
        <f>0.177*0.15</f>
        <v>2.6549999999999997E-2</v>
      </c>
      <c r="H18" s="168">
        <f>0.177*0.15</f>
        <v>2.6549999999999997E-2</v>
      </c>
      <c r="I18" s="205">
        <v>0.9</v>
      </c>
      <c r="J18" s="205">
        <v>1.1000000000000001</v>
      </c>
      <c r="K18" s="205">
        <v>0.9</v>
      </c>
      <c r="L18" s="205">
        <v>1.1000000000000001</v>
      </c>
      <c r="M18" s="161" t="s">
        <v>1059</v>
      </c>
      <c r="N18" s="161"/>
    </row>
    <row r="19" spans="2:14">
      <c r="B19">
        <f>IF(IF(OR(LEFT(C19,27)=SUP_Biofuels!$N$8,LEFT(C19,20)=SUP_Biofuels!$O$8,LEFT(C19,20)=SUP_Biofuels!$P$8),LEFT(C19,20),C19)="Specific investment ","Specific investment (M€ /MW",IF(OR(LEFT(C19,27)=SUP_Biofuels!$N$8,LEFT(C19,20)=SUP_Biofuels!$O$8,LEFT(C19,20)=SUP_Biofuels!$P$8),LEFT(C19,20),C19))</f>
        <v>0</v>
      </c>
      <c r="C19" s="186"/>
      <c r="D19" s="185"/>
      <c r="E19" s="185"/>
      <c r="F19" s="185"/>
      <c r="G19" s="185"/>
      <c r="H19" s="185"/>
      <c r="I19" s="185"/>
      <c r="J19" s="185"/>
      <c r="K19" s="185"/>
      <c r="L19" s="185"/>
      <c r="M19" s="183"/>
      <c r="N19" s="225"/>
    </row>
    <row r="20" spans="2:14">
      <c r="B20" t="str">
        <f>IF(IF(OR(LEFT(C20,27)=SUP_Biofuels!$N$8,LEFT(C20,20)=SUP_Biofuels!$O$8,LEFT(C20,20)=SUP_Biofuels!$P$8),LEFT(C20,20),C20)="Specific investment ","Specific investment (M€ /MW",IF(OR(LEFT(C20,27)=SUP_Biofuels!$N$8,LEFT(C20,20)=SUP_Biofuels!$O$8,LEFT(C20,20)=SUP_Biofuels!$P$8),LEFT(C20,20),C20))</f>
        <v>Forced outage (%)</v>
      </c>
      <c r="C20" s="162" t="s">
        <v>59</v>
      </c>
      <c r="D20" s="162">
        <v>0</v>
      </c>
      <c r="E20" s="162">
        <v>0</v>
      </c>
      <c r="F20" s="162">
        <v>0</v>
      </c>
      <c r="G20" s="162">
        <v>0</v>
      </c>
      <c r="H20" s="162">
        <v>0</v>
      </c>
      <c r="I20" s="162"/>
      <c r="J20" s="162"/>
      <c r="K20" s="162"/>
      <c r="L20" s="162"/>
      <c r="M20" s="161" t="s">
        <v>675</v>
      </c>
      <c r="N20" s="161"/>
    </row>
    <row r="21" spans="2:14">
      <c r="B21" t="str">
        <f>IF(IF(OR(LEFT(C21,27)=SUP_Biofuels!$N$8,LEFT(C21,20)=SUP_Biofuels!$O$8,LEFT(C21,20)=SUP_Biofuels!$P$8),LEFT(C21,20),C21)="Specific investment ","Specific investment (M€ /MW",IF(OR(LEFT(C21,27)=SUP_Biofuels!$N$8,LEFT(C21,20)=SUP_Biofuels!$O$8,LEFT(C21,20)=SUP_Biofuels!$P$8),LEFT(C21,20),C21))</f>
        <v>Planned outage (weeks per year)</v>
      </c>
      <c r="C21" s="162" t="s">
        <v>92</v>
      </c>
      <c r="D21" s="162">
        <v>2</v>
      </c>
      <c r="E21" s="162">
        <v>2</v>
      </c>
      <c r="F21" s="162">
        <v>2</v>
      </c>
      <c r="G21" s="162">
        <v>2</v>
      </c>
      <c r="H21" s="162">
        <v>2</v>
      </c>
      <c r="I21" s="162"/>
      <c r="J21" s="162"/>
      <c r="K21" s="162"/>
      <c r="L21" s="162"/>
      <c r="M21" s="161"/>
      <c r="N21" s="161"/>
    </row>
    <row r="22" spans="2:14">
      <c r="B22" t="str">
        <f>IF(IF(OR(LEFT(C22,27)=SUP_Biofuels!$N$8,LEFT(C22,20)=SUP_Biofuels!$O$8,LEFT(C22,20)=SUP_Biofuels!$P$8),LEFT(C22,20),C22)="Specific investment ","Specific investment (M€ /MW",IF(OR(LEFT(C22,27)=SUP_Biofuels!$N$8,LEFT(C22,20)=SUP_Biofuels!$O$8,LEFT(C22,20)=SUP_Biofuels!$P$8),LEFT(C22,20),C22))</f>
        <v>Technical lifetime (years)</v>
      </c>
      <c r="C22" s="162" t="s">
        <v>58</v>
      </c>
      <c r="D22" s="162">
        <v>25</v>
      </c>
      <c r="E22" s="162">
        <v>25</v>
      </c>
      <c r="F22" s="162">
        <v>25</v>
      </c>
      <c r="G22" s="162">
        <v>25</v>
      </c>
      <c r="H22" s="162">
        <v>25</v>
      </c>
      <c r="I22" s="162"/>
      <c r="J22" s="162"/>
      <c r="K22" s="162"/>
      <c r="L22" s="162"/>
      <c r="M22" s="161"/>
      <c r="N22" s="161"/>
    </row>
    <row r="23" spans="2:14">
      <c r="B23" t="str">
        <f>IF(IF(OR(LEFT(C23,27)=SUP_Biofuels!$N$8,LEFT(C23,20)=SUP_Biofuels!$O$8,LEFT(C23,20)=SUP_Biofuels!$P$8),LEFT(C23,20),C23)="Specific investment ","Specific investment (M€ /MW",IF(OR(LEFT(C23,27)=SUP_Biofuels!$N$8,LEFT(C23,20)=SUP_Biofuels!$O$8,LEFT(C23,20)=SUP_Biofuels!$P$8),LEFT(C23,20),C23))</f>
        <v>Construction time (years)</v>
      </c>
      <c r="C23" s="162" t="s">
        <v>60</v>
      </c>
      <c r="D23" s="162">
        <v>2</v>
      </c>
      <c r="E23" s="162">
        <v>2</v>
      </c>
      <c r="F23" s="162">
        <v>2</v>
      </c>
      <c r="G23" s="162">
        <v>2</v>
      </c>
      <c r="H23" s="162">
        <v>2</v>
      </c>
      <c r="I23" s="162"/>
      <c r="J23" s="162"/>
      <c r="K23" s="162"/>
      <c r="L23" s="162"/>
      <c r="M23" s="161"/>
      <c r="N23" s="161"/>
    </row>
    <row r="24" spans="2:14">
      <c r="B24" t="str">
        <f>IF(IF(OR(LEFT(C24,27)=SUP_Biofuels!$N$8,LEFT(C24,20)=SUP_Biofuels!$O$8,LEFT(C24,20)=SUP_Biofuels!$P$8),LEFT(C24,20),C24)="Specific investment ","Specific investment (M€ /MW",IF(OR(LEFT(C24,27)=SUP_Biofuels!$N$8,LEFT(C24,20)=SUP_Biofuels!$O$8,LEFT(C24,20)=SUP_Biofuels!$P$8),LEFT(C24,20),C24))</f>
        <v xml:space="preserve">Financial data                                 </v>
      </c>
      <c r="C24" s="186" t="s">
        <v>264</v>
      </c>
      <c r="D24" s="185"/>
      <c r="E24" s="185"/>
      <c r="F24" s="185"/>
      <c r="G24" s="185"/>
      <c r="H24" s="185"/>
      <c r="I24" s="185"/>
      <c r="J24" s="185"/>
      <c r="K24" s="185"/>
      <c r="L24" s="185"/>
      <c r="M24" s="183"/>
      <c r="N24" s="225"/>
    </row>
    <row r="25" spans="2:14">
      <c r="B25" t="str">
        <f>IF(IF(OR(LEFT(C25,27)=SUP_Biofuels!$N$8,LEFT(C25,20)=SUP_Biofuels!$O$8,LEFT(C25,20)=SUP_Biofuels!$P$8),LEFT(C25,20),C25)="Specific investment ","Specific investment (M€ /MW",IF(OR(LEFT(C25,27)=SUP_Biofuels!$N$8,LEFT(C25,20)=SUP_Biofuels!$O$8,LEFT(C25,20)=SUP_Biofuels!$P$8),LEFT(C25,20),C25))</f>
        <v>Specific investment (M€ /MW</v>
      </c>
      <c r="C25" s="162" t="s">
        <v>1079</v>
      </c>
      <c r="D25" s="197">
        <v>0.95835199283475159</v>
      </c>
      <c r="E25" s="197">
        <v>0.95835199283475159</v>
      </c>
      <c r="F25" s="197">
        <v>0.81038961038961044</v>
      </c>
      <c r="G25" s="197">
        <v>0.75490196078431382</v>
      </c>
      <c r="H25" s="197">
        <v>0.7134496404882672</v>
      </c>
      <c r="I25" s="167">
        <v>0.5</v>
      </c>
      <c r="J25" s="167">
        <v>1.5</v>
      </c>
      <c r="K25" s="167">
        <v>0.5</v>
      </c>
      <c r="L25" s="167">
        <v>1.5</v>
      </c>
      <c r="M25" s="161" t="s">
        <v>1076</v>
      </c>
      <c r="N25" s="161"/>
    </row>
    <row r="26" spans="2:14">
      <c r="B26" t="str">
        <f>IF(IF(OR(LEFT(C26,27)=SUP_Biofuels!$N$8,LEFT(C26,20)=SUP_Biofuels!$O$8,LEFT(C26,20)=SUP_Biofuels!$P$8),LEFT(C26,20),C26)="Specific investment ","Specific investment (M€ /MW",IF(OR(LEFT(C26,27)=SUP_Biofuels!$N$8,LEFT(C26,20)=SUP_Biofuels!$O$8,LEFT(C26,20)=SUP_Biofuels!$P$8),LEFT(C26,20),C26))</f>
        <v xml:space="preserve"> - equipment (%)</v>
      </c>
      <c r="C26" s="162" t="s">
        <v>394</v>
      </c>
      <c r="D26" s="163">
        <v>75</v>
      </c>
      <c r="E26" s="162">
        <v>75</v>
      </c>
      <c r="F26" s="162">
        <v>75</v>
      </c>
      <c r="G26" s="162">
        <v>75</v>
      </c>
      <c r="H26" s="162">
        <v>75</v>
      </c>
      <c r="I26" s="162"/>
      <c r="J26" s="162"/>
      <c r="K26" s="162"/>
      <c r="L26" s="162"/>
      <c r="M26" s="161"/>
      <c r="N26" s="161"/>
    </row>
    <row r="27" spans="2:14">
      <c r="B27" t="str">
        <f>IF(IF(OR(LEFT(C27,27)=SUP_Biofuels!$N$8,LEFT(C27,20)=SUP_Biofuels!$O$8,LEFT(C27,20)=SUP_Biofuels!$P$8),LEFT(C27,20),C27)="Specific investment ","Specific investment (M€ /MW",IF(OR(LEFT(C27,27)=SUP_Biofuels!$N$8,LEFT(C27,20)=SUP_Biofuels!$O$8,LEFT(C27,20)=SUP_Biofuels!$P$8),LEFT(C27,20),C27))</f>
        <v xml:space="preserve"> -installation (%)</v>
      </c>
      <c r="C27" s="162" t="s">
        <v>251</v>
      </c>
      <c r="D27" s="163">
        <v>25</v>
      </c>
      <c r="E27" s="162">
        <v>25</v>
      </c>
      <c r="F27" s="162">
        <v>25</v>
      </c>
      <c r="G27" s="162">
        <v>25</v>
      </c>
      <c r="H27" s="162">
        <v>25</v>
      </c>
      <c r="I27" s="162"/>
      <c r="J27" s="162"/>
      <c r="K27" s="162"/>
      <c r="L27" s="162"/>
      <c r="M27" s="161"/>
      <c r="N27" s="161"/>
    </row>
    <row r="28" spans="2:14">
      <c r="B28" t="str">
        <f>LEFT(C28,17)</f>
        <v>Fixed O&amp;M (M€ /MW</v>
      </c>
      <c r="C28" s="162" t="s">
        <v>1013</v>
      </c>
      <c r="D28" s="168">
        <v>3.5826242722794444E-2</v>
      </c>
      <c r="E28" s="168">
        <v>3.5826242722794444E-2</v>
      </c>
      <c r="F28" s="168">
        <v>3.5621521335807045E-2</v>
      </c>
      <c r="G28" s="168">
        <v>3.5650623885917998E-2</v>
      </c>
      <c r="H28" s="168">
        <v>3.5672482024413352E-2</v>
      </c>
      <c r="I28" s="205">
        <v>0.9</v>
      </c>
      <c r="J28" s="205">
        <v>1.1000000000000001</v>
      </c>
      <c r="K28" s="205">
        <v>0.9</v>
      </c>
      <c r="L28" s="205">
        <v>1.1000000000000001</v>
      </c>
      <c r="M28" s="161" t="s">
        <v>1051</v>
      </c>
      <c r="N28" s="161"/>
    </row>
    <row r="29" spans="2:14">
      <c r="B29" t="str">
        <f>LEFT(C29,19)</f>
        <v>Variable O&amp;M (€ /MW</v>
      </c>
      <c r="C29" s="162" t="s">
        <v>247</v>
      </c>
      <c r="D29" s="168">
        <v>8.5005223145936188</v>
      </c>
      <c r="E29" s="168">
        <v>8.5005223145936188</v>
      </c>
      <c r="F29" s="168">
        <v>8.5005223145936188</v>
      </c>
      <c r="G29" s="168">
        <v>8.5005223145936188</v>
      </c>
      <c r="H29" s="168">
        <v>8.5005223145936188</v>
      </c>
      <c r="I29" s="205">
        <v>0.9</v>
      </c>
      <c r="J29" s="205">
        <v>1.1000000000000001</v>
      </c>
      <c r="K29" s="205">
        <v>0.9</v>
      </c>
      <c r="L29" s="205">
        <v>1.1000000000000001</v>
      </c>
      <c r="M29" s="161" t="s">
        <v>1051</v>
      </c>
      <c r="N29" s="161"/>
    </row>
    <row r="30" spans="2:14">
      <c r="B30" t="str">
        <f>IF(IF(OR(LEFT(C30,27)=SUP_Biofuels!$N$8,LEFT(C30,20)=SUP_Biofuels!$O$8,LEFT(C30,20)=SUP_Biofuels!$P$8),LEFT(C30,20),C30)="Specific investment ","Specific investment (M€ /MW",IF(OR(LEFT(C30,27)=SUP_Biofuels!$N$8,LEFT(C30,20)=SUP_Biofuels!$O$8,LEFT(C30,20)=SUP_Biofuels!$P$8),LEFT(C30,20),C30))</f>
        <v>Start-up (M € /1,000 t HVO Jet)</v>
      </c>
      <c r="C30" s="162" t="s">
        <v>1078</v>
      </c>
      <c r="D30" s="162">
        <v>0</v>
      </c>
      <c r="E30" s="162">
        <v>0</v>
      </c>
      <c r="F30" s="162">
        <v>0</v>
      </c>
      <c r="G30" s="162"/>
      <c r="H30" s="162">
        <v>0</v>
      </c>
      <c r="I30" s="162"/>
      <c r="J30" s="162"/>
      <c r="K30" s="162"/>
      <c r="L30" s="162"/>
      <c r="M30" s="161"/>
      <c r="N30" s="161"/>
    </row>
    <row r="31" spans="2:14">
      <c r="B31" t="str">
        <f>IF(IF(OR(LEFT(C31,27)=SUP_Biofuels!$N$8,LEFT(C31,20)=SUP_Biofuels!$O$8,LEFT(C31,20)=SUP_Biofuels!$P$8),LEFT(C31,20),C31)="Specific investment ","Specific investment (M€ /MW",IF(OR(LEFT(C31,27)=SUP_Biofuels!$N$8,LEFT(C31,20)=SUP_Biofuels!$O$8,LEFT(C31,20)=SUP_Biofuels!$P$8),LEFT(C31,20),C31))</f>
        <v xml:space="preserve">Technology specific data                                 </v>
      </c>
      <c r="C31" s="186" t="s">
        <v>260</v>
      </c>
      <c r="D31" s="185"/>
      <c r="E31" s="185"/>
      <c r="F31" s="185"/>
      <c r="G31" s="185"/>
      <c r="H31" s="185"/>
      <c r="I31" s="185"/>
      <c r="J31" s="185"/>
      <c r="K31" s="185"/>
      <c r="L31" s="185"/>
      <c r="M31" s="183"/>
      <c r="N31" s="225"/>
    </row>
    <row r="32" spans="2:14">
      <c r="B32" t="str">
        <f>IF(IF(OR(LEFT(C32,27)=SUP_Biofuels!$N$8,LEFT(C32,20)=SUP_Biofuels!$O$8,LEFT(C32,20)=SUP_Biofuels!$P$8),LEFT(C32,20),C32)="Specific investment ","Specific investment (M€ /MW",IF(OR(LEFT(C32,27)=SUP_Biofuels!$N$8,LEFT(C32,20)=SUP_Biofuels!$O$8,LEFT(C32,20)=SUP_Biofuels!$P$8),LEFT(C32,20),C32))</f>
        <v xml:space="preserve">Specific energy content (GJ/ton) </v>
      </c>
      <c r="C32" s="162" t="s">
        <v>1057</v>
      </c>
      <c r="D32" s="162">
        <v>44</v>
      </c>
      <c r="E32" s="162">
        <v>44</v>
      </c>
      <c r="F32" s="162">
        <v>44</v>
      </c>
      <c r="G32" s="162">
        <v>44</v>
      </c>
      <c r="H32" s="162">
        <v>44</v>
      </c>
      <c r="I32" s="162"/>
      <c r="J32" s="162"/>
      <c r="K32" s="162"/>
      <c r="L32" s="162"/>
      <c r="M32" s="161"/>
      <c r="N32" s="161"/>
    </row>
    <row r="33" spans="2:14">
      <c r="B33" t="str">
        <f>IF(IF(OR(LEFT(C33,27)=SUP_Biofuels!$N$8,LEFT(C33,20)=SUP_Biofuels!$O$8,LEFT(C33,20)=SUP_Biofuels!$P$8),LEFT(C33,20),C33)="Specific investment ","Specific investment (M€ /MW",IF(OR(LEFT(C33,27)=SUP_Biofuels!$N$8,LEFT(C33,20)=SUP_Biofuels!$O$8,LEFT(C33,20)=SUP_Biofuels!$P$8),LEFT(C33,20),C33))</f>
        <v>Specific density  (kg/l) or (ton/m3)</v>
      </c>
      <c r="C33" s="162" t="s">
        <v>257</v>
      </c>
      <c r="D33" s="162">
        <v>0.77</v>
      </c>
      <c r="E33" s="162">
        <v>0.77</v>
      </c>
      <c r="F33" s="162">
        <v>0.77</v>
      </c>
      <c r="G33" s="162">
        <v>0.77</v>
      </c>
      <c r="H33" s="162">
        <v>0.77</v>
      </c>
      <c r="I33" s="162"/>
      <c r="J33" s="162"/>
      <c r="K33" s="162"/>
      <c r="L33" s="162"/>
      <c r="M33" s="162"/>
      <c r="N33" s="162"/>
    </row>
    <row r="34" spans="2:14">
      <c r="C34" s="162" t="s">
        <v>1077</v>
      </c>
      <c r="D34" s="197">
        <v>1.3896103896103897</v>
      </c>
      <c r="E34" s="197">
        <v>1.3896103896103897</v>
      </c>
      <c r="F34" s="197">
        <v>1.1818181818181819</v>
      </c>
      <c r="G34" s="197">
        <v>1.1000000000000001</v>
      </c>
      <c r="H34" s="197">
        <v>1.0389610389610391</v>
      </c>
      <c r="I34" s="167">
        <v>0.5</v>
      </c>
      <c r="J34" s="167">
        <v>1.5</v>
      </c>
      <c r="K34" s="167">
        <v>0.5</v>
      </c>
      <c r="L34" s="167">
        <v>1.5</v>
      </c>
      <c r="M34" s="161" t="s">
        <v>1076</v>
      </c>
      <c r="N34" s="161"/>
    </row>
    <row r="35" spans="2:14">
      <c r="C35" s="162" t="s">
        <v>1075</v>
      </c>
      <c r="D35" s="163">
        <v>75</v>
      </c>
      <c r="E35" s="162">
        <v>75</v>
      </c>
      <c r="F35" s="162">
        <v>75</v>
      </c>
      <c r="G35" s="162">
        <v>75</v>
      </c>
      <c r="H35" s="162">
        <v>75</v>
      </c>
      <c r="I35" s="162"/>
      <c r="J35" s="162"/>
      <c r="K35" s="162"/>
      <c r="L35" s="162"/>
      <c r="M35" s="161"/>
      <c r="N35" s="162"/>
    </row>
    <row r="36" spans="2:14">
      <c r="C36" s="162" t="s">
        <v>251</v>
      </c>
      <c r="D36" s="163">
        <v>25</v>
      </c>
      <c r="E36" s="162">
        <v>25</v>
      </c>
      <c r="F36" s="162">
        <v>25</v>
      </c>
      <c r="G36" s="162">
        <v>25</v>
      </c>
      <c r="H36" s="162">
        <v>25</v>
      </c>
      <c r="I36" s="162"/>
      <c r="J36" s="162"/>
      <c r="K36" s="162"/>
      <c r="L36" s="162"/>
      <c r="M36" s="161"/>
      <c r="N36" s="162"/>
    </row>
    <row r="37" spans="2:14">
      <c r="C37" s="162" t="s">
        <v>1053</v>
      </c>
      <c r="D37" s="168">
        <v>5.1948051948051945E-2</v>
      </c>
      <c r="E37" s="168">
        <v>5.1948051948051945E-2</v>
      </c>
      <c r="F37" s="168">
        <v>5.1948051948051945E-2</v>
      </c>
      <c r="G37" s="168">
        <v>5.1948051948051945E-2</v>
      </c>
      <c r="H37" s="168">
        <v>5.1948051948051945E-2</v>
      </c>
      <c r="I37" s="205">
        <v>0.9</v>
      </c>
      <c r="J37" s="205">
        <v>1.1000000000000001</v>
      </c>
      <c r="K37" s="205">
        <v>0.9</v>
      </c>
      <c r="L37" s="205">
        <v>1.1000000000000001</v>
      </c>
      <c r="M37" s="161" t="s">
        <v>1051</v>
      </c>
      <c r="N37" s="162"/>
    </row>
    <row r="38" spans="2:14">
      <c r="C38" s="162" t="s">
        <v>1052</v>
      </c>
      <c r="D38" s="168">
        <v>0.10389610389610389</v>
      </c>
      <c r="E38" s="168">
        <v>0.10389610389610389</v>
      </c>
      <c r="F38" s="168">
        <v>0.10389610389610389</v>
      </c>
      <c r="G38" s="168">
        <v>0.10389610389610389</v>
      </c>
      <c r="H38" s="168">
        <v>0.10389610389610389</v>
      </c>
      <c r="I38" s="205">
        <v>0.9</v>
      </c>
      <c r="J38" s="205">
        <v>1.1000000000000001</v>
      </c>
      <c r="K38" s="205">
        <v>0.9</v>
      </c>
      <c r="L38" s="205">
        <v>1.1000000000000001</v>
      </c>
      <c r="M38" s="161" t="s">
        <v>1051</v>
      </c>
      <c r="N38" s="162"/>
    </row>
    <row r="39" spans="2:14">
      <c r="C39" s="162" t="s">
        <v>1050</v>
      </c>
      <c r="D39" s="162">
        <v>0</v>
      </c>
      <c r="E39" s="162">
        <v>0</v>
      </c>
      <c r="F39" s="162">
        <v>0</v>
      </c>
      <c r="G39" s="162">
        <v>0</v>
      </c>
      <c r="H39" s="162">
        <v>0</v>
      </c>
      <c r="I39" s="162"/>
      <c r="J39" s="162"/>
      <c r="K39" s="162"/>
      <c r="L39" s="162"/>
      <c r="M39" s="161"/>
      <c r="N39" s="162"/>
    </row>
    <row r="41" spans="2:14">
      <c r="C41" s="886" t="s">
        <v>695</v>
      </c>
    </row>
    <row r="42" spans="2:14">
      <c r="C42" s="885" t="s">
        <v>1074</v>
      </c>
    </row>
    <row r="43" spans="2:14">
      <c r="C43" s="885" t="s">
        <v>1048</v>
      </c>
    </row>
    <row r="44" spans="2:14">
      <c r="C44" s="885" t="s">
        <v>1047</v>
      </c>
    </row>
    <row r="45" spans="2:14">
      <c r="C45" s="885" t="s">
        <v>1073</v>
      </c>
    </row>
    <row r="46" spans="2:14">
      <c r="C46" s="885" t="s">
        <v>1045</v>
      </c>
    </row>
    <row r="47" spans="2:14">
      <c r="C47" s="885" t="s">
        <v>1044</v>
      </c>
    </row>
    <row r="48" spans="2:14">
      <c r="C48" s="885" t="s">
        <v>1043</v>
      </c>
    </row>
    <row r="49" spans="3:3">
      <c r="C49" s="885" t="s">
        <v>1042</v>
      </c>
    </row>
    <row r="50" spans="3:3">
      <c r="C50" s="885" t="s">
        <v>1041</v>
      </c>
    </row>
    <row r="51" spans="3:3">
      <c r="C51" s="885" t="s">
        <v>1040</v>
      </c>
    </row>
    <row r="52" spans="3:3">
      <c r="C52" s="885" t="s">
        <v>1039</v>
      </c>
    </row>
    <row r="53" spans="3:3">
      <c r="C53" s="885" t="s">
        <v>1038</v>
      </c>
    </row>
    <row r="54" spans="3:3">
      <c r="C54" s="885" t="s">
        <v>1072</v>
      </c>
    </row>
    <row r="56" spans="3:3">
      <c r="C56" s="886" t="s">
        <v>989</v>
      </c>
    </row>
    <row r="57" spans="3:3">
      <c r="C57" s="885" t="s">
        <v>1071</v>
      </c>
    </row>
    <row r="58" spans="3:3">
      <c r="C58" s="885" t="s">
        <v>1070</v>
      </c>
    </row>
    <row r="59" spans="3:3">
      <c r="C59" s="885" t="s">
        <v>1069</v>
      </c>
    </row>
    <row r="60" spans="3:3">
      <c r="C60" s="885" t="s">
        <v>1068</v>
      </c>
    </row>
    <row r="61" spans="3:3">
      <c r="C61" s="885" t="s">
        <v>1067</v>
      </c>
    </row>
    <row r="62" spans="3:3">
      <c r="C62" s="885" t="s">
        <v>1066</v>
      </c>
    </row>
    <row r="63" spans="3:3">
      <c r="C63" s="885" t="s">
        <v>1065</v>
      </c>
    </row>
  </sheetData>
  <mergeCells count="2">
    <mergeCell ref="I3:J3"/>
    <mergeCell ref="K3:L3"/>
  </mergeCells>
  <hyperlinks>
    <hyperlink ref="C57" r:id="rId1" display="https://energy.gov/sites/prod/files/2017/07/f35/BETO_2017WTE-Workshop_BryanSherbacow-AltAir.pdf" xr:uid="{8BACA0D4-6CCF-4B25-969E-25914CD00CC7}"/>
    <hyperlink ref="C58" r:id="rId2" display="https://dspace.library.uu.nl/bitstream/handle/1874/347665/MSc Thesis K.Y Antonissen%2c May 2016 %281%29.pdf?sequence=2&amp;isAllowed=y" xr:uid="{E932E9FA-7E12-4C48-8E52-7CD664EBE2A5}"/>
    <hyperlink ref="C59" r:id="rId3" display="https://doi.org/10.1186/s13068-017-0739-7" xr:uid="{839C5F48-29B4-4612-982E-7E86919A0AE0}"/>
    <hyperlink ref="C60" r:id="rId4" display="https://doi.org/10.1186/s13068-017-0945-3" xr:uid="{A47D797A-9AEA-4E83-B158-88A0DFB45CAA}"/>
    <hyperlink ref="C61" r:id="rId5" display="https://doi.org/10.2516/ogst/2014007" xr:uid="{DFB2FF42-36A3-4427-8ACD-011B07C5FD63}"/>
    <hyperlink ref="C62" r:id="rId6" display="http://web.mit.edu/aeroastro/partner/reports/proj28/partner-proj28-2010-001.pdf" xr:uid="{EAA70E47-AC94-4340-805B-CC765E9E888B}"/>
    <hyperlink ref="C63" r:id="rId7" display="https://www.doi.org/10.1002/bbb.1613" xr:uid="{5F37A4CE-B7BC-46B8-B648-3C945BA8940B}"/>
    <hyperlink ref="I1" location="Index" display="Back to Index" xr:uid="{23CF9832-4BF4-4179-90EF-FA5CCEFD7801}"/>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F8F9B-D964-47AB-B41B-0B0B6CC4B8E6}">
  <sheetPr>
    <tabColor theme="4" tint="0.39997558519241921"/>
  </sheetPr>
  <dimension ref="B1:N63"/>
  <sheetViews>
    <sheetView workbookViewId="0">
      <selection activeCell="H27" sqref="H27"/>
    </sheetView>
  </sheetViews>
  <sheetFormatPr defaultColWidth="9.109375" defaultRowHeight="14.4"/>
  <cols>
    <col min="1" max="1" width="2.88671875" customWidth="1"/>
    <col min="2" max="2" width="44.6640625" bestFit="1" customWidth="1"/>
    <col min="3" max="3" width="24.44140625" customWidth="1"/>
    <col min="4" max="13" width="7.33203125" customWidth="1"/>
  </cols>
  <sheetData>
    <row r="1" spans="2:14">
      <c r="I1" s="884" t="s">
        <v>966</v>
      </c>
    </row>
    <row r="2" spans="2:14" ht="15" customHeight="1">
      <c r="C2" s="260" t="s">
        <v>296</v>
      </c>
      <c r="D2" s="260" t="s">
        <v>1116</v>
      </c>
      <c r="E2" s="260"/>
      <c r="F2" s="260"/>
      <c r="G2" s="260"/>
      <c r="H2" s="260"/>
      <c r="I2" s="260"/>
      <c r="J2" s="260"/>
      <c r="K2" s="260"/>
      <c r="L2" s="260"/>
      <c r="M2" s="260"/>
      <c r="N2" s="260"/>
    </row>
    <row r="3" spans="2:14" ht="15" customHeight="1">
      <c r="C3" s="260"/>
      <c r="D3" s="260">
        <v>2015</v>
      </c>
      <c r="E3" s="260">
        <v>2020</v>
      </c>
      <c r="F3" s="260">
        <v>2030</v>
      </c>
      <c r="G3" s="260">
        <v>2040</v>
      </c>
      <c r="H3" s="260">
        <v>2050</v>
      </c>
      <c r="I3" s="1291" t="s">
        <v>290</v>
      </c>
      <c r="J3" s="1291"/>
      <c r="K3" s="1291" t="s">
        <v>289</v>
      </c>
      <c r="L3" s="1291"/>
      <c r="M3" s="930" t="s">
        <v>288</v>
      </c>
      <c r="N3" s="930" t="s">
        <v>287</v>
      </c>
    </row>
    <row r="4" spans="2:14">
      <c r="C4" s="929"/>
      <c r="D4" s="929"/>
      <c r="E4" s="929"/>
      <c r="F4" s="929"/>
      <c r="G4" s="929"/>
      <c r="H4" s="929"/>
      <c r="I4" s="928" t="s">
        <v>284</v>
      </c>
      <c r="J4" s="928" t="s">
        <v>283</v>
      </c>
      <c r="K4" s="928" t="s">
        <v>284</v>
      </c>
      <c r="L4" s="928" t="s">
        <v>283</v>
      </c>
      <c r="M4" s="928"/>
      <c r="N4" s="92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Ethanol/year, 1,000 tonnes/year</v>
      </c>
      <c r="C6" s="180" t="s">
        <v>1115</v>
      </c>
      <c r="D6" s="180">
        <v>320</v>
      </c>
      <c r="E6" s="180">
        <v>320</v>
      </c>
      <c r="F6" s="180">
        <v>400</v>
      </c>
      <c r="G6" s="180">
        <v>450</v>
      </c>
      <c r="H6" s="180">
        <v>500</v>
      </c>
      <c r="I6" s="179">
        <v>0.5</v>
      </c>
      <c r="J6" s="179">
        <v>1.2</v>
      </c>
      <c r="K6" s="179">
        <v>0.6</v>
      </c>
      <c r="L6" s="179">
        <v>1</v>
      </c>
      <c r="M6" s="178" t="s">
        <v>280</v>
      </c>
      <c r="N6" s="178">
        <v>11</v>
      </c>
    </row>
    <row r="7" spans="2:14">
      <c r="B7" t="str">
        <f>IF(IF(OR(LEFT(C7,27)=SUP_Biofuels!$N$8,LEFT(C7,20)=SUP_Biofuels!$O$8,LEFT(C7,20)=SUP_Biofuels!$P$8),LEFT(C7,20),C7)="Specific investment ","Specific investment (M€ /MW",IF(OR(LEFT(C7,27)=SUP_Biofuels!$N$8,LEFT(C7,20)=SUP_Biofuels!$O$8,LEFT(C7,20)=SUP_Biofuels!$P$8),LEFT(C7,20),C7))</f>
        <v>Ethanol/year, MW</v>
      </c>
      <c r="C7" s="162" t="s">
        <v>1114</v>
      </c>
      <c r="D7" s="162">
        <v>280</v>
      </c>
      <c r="E7" s="162">
        <v>280</v>
      </c>
      <c r="F7" s="162">
        <v>350</v>
      </c>
      <c r="G7" s="162">
        <v>400</v>
      </c>
      <c r="H7" s="162">
        <v>440</v>
      </c>
      <c r="I7" s="167">
        <v>0.5</v>
      </c>
      <c r="J7" s="167">
        <v>1.2</v>
      </c>
      <c r="K7" s="167">
        <v>0.6</v>
      </c>
      <c r="L7" s="167">
        <v>1</v>
      </c>
      <c r="M7" s="161" t="s">
        <v>280</v>
      </c>
      <c r="N7" s="161"/>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62" t="s">
        <v>112</v>
      </c>
      <c r="D9" s="162">
        <v>0.83</v>
      </c>
      <c r="E9" s="162">
        <v>0.83</v>
      </c>
      <c r="F9" s="162">
        <v>0.84</v>
      </c>
      <c r="G9" s="162">
        <v>0.85</v>
      </c>
      <c r="H9" s="162">
        <v>0.85</v>
      </c>
      <c r="I9" s="205">
        <v>0.98</v>
      </c>
      <c r="J9" s="205">
        <v>1.05</v>
      </c>
      <c r="K9" s="205">
        <v>0.98</v>
      </c>
      <c r="L9" s="205">
        <v>1.02</v>
      </c>
      <c r="M9" s="161" t="s">
        <v>272</v>
      </c>
      <c r="N9" s="161"/>
    </row>
    <row r="10" spans="2:14">
      <c r="B10" t="str">
        <f>IF(IF(OR(LEFT(C10,27)=SUP_Biofuels!$N$8,LEFT(C10,20)=SUP_Biofuels!$O$8,LEFT(C10,20)=SUP_Biofuels!$P$8),LEFT(C10,20),C10)="Specific investment ","Specific investment (M€ /MW",IF(OR(LEFT(C10,27)=SUP_Biofuels!$N$8,LEFT(C10,20)=SUP_Biofuels!$O$8,LEFT(C10,20)=SUP_Biofuels!$P$8),LEFT(C10,20),C10))</f>
        <v>Electricity Consumption, MWh/MWh Total Input</v>
      </c>
      <c r="C10" s="162" t="s">
        <v>96</v>
      </c>
      <c r="D10" s="162">
        <v>0.02</v>
      </c>
      <c r="E10" s="162">
        <v>0.02</v>
      </c>
      <c r="F10" s="162">
        <v>0.02</v>
      </c>
      <c r="G10" s="162">
        <v>0.02</v>
      </c>
      <c r="H10" s="162">
        <v>0.02</v>
      </c>
      <c r="I10" s="205">
        <v>0.75</v>
      </c>
      <c r="J10" s="205">
        <v>1.25</v>
      </c>
      <c r="K10" s="205">
        <v>0.75</v>
      </c>
      <c r="L10" s="205">
        <v>1.25</v>
      </c>
      <c r="M10" s="161" t="s">
        <v>269</v>
      </c>
      <c r="N10" s="161"/>
    </row>
    <row r="11" spans="2:14">
      <c r="B11" t="str">
        <f>IF(IF(OR(LEFT(C11,27)=SUP_Biofuels!$N$8,LEFT(C11,20)=SUP_Biofuels!$O$8,LEFT(C11,20)=SUP_Biofuels!$P$8),LEFT(C11,20),C11)="Specific investment ","Specific investment (M€ /MW",IF(OR(LEFT(C11,27)=SUP_Biofuels!$N$8,LEFT(C11,20)=SUP_Biofuels!$O$8,LEFT(C11,20)=SUP_Biofuels!$P$8),LEFT(C11,20),C11))</f>
        <v>Natural Gas Consumption, MWh/MWh Total Input</v>
      </c>
      <c r="C11" s="162" t="s">
        <v>97</v>
      </c>
      <c r="D11" s="162">
        <v>0.15</v>
      </c>
      <c r="E11" s="162">
        <v>0.15</v>
      </c>
      <c r="F11" s="162">
        <v>0.14000000000000001</v>
      </c>
      <c r="G11" s="162">
        <v>0.13</v>
      </c>
      <c r="H11" s="162">
        <v>0.13</v>
      </c>
      <c r="I11" s="205">
        <v>0.75</v>
      </c>
      <c r="J11" s="205">
        <v>1.25</v>
      </c>
      <c r="K11" s="205">
        <v>0.75</v>
      </c>
      <c r="L11" s="205">
        <v>1.25</v>
      </c>
      <c r="M11" s="161" t="s">
        <v>269</v>
      </c>
      <c r="N11" s="161"/>
    </row>
    <row r="12" spans="2:14">
      <c r="B12" t="str">
        <f>IF(IF(OR(LEFT(C12,27)=SUP_Biofuels!$N$8,LEFT(C12,20)=SUP_Biofuels!$O$8,LEFT(C12,20)=SUP_Biofuels!$P$8),LEFT(C12,20),C12)="Specific investment ","Specific investment (M€ /MW",IF(OR(LEFT(C12,27)=SUP_Biofuels!$N$8,LEFT(C12,20)=SUP_Biofuels!$O$8,LEFT(C12,20)=SUP_Biofuels!$P$8),LEFT(C12,20),C12))</f>
        <v>Outputs</v>
      </c>
      <c r="C12" s="260" t="s">
        <v>271</v>
      </c>
      <c r="D12" s="162"/>
      <c r="E12" s="162"/>
      <c r="F12" s="162"/>
      <c r="G12" s="162"/>
      <c r="H12" s="162"/>
      <c r="I12" s="205"/>
      <c r="J12" s="205"/>
      <c r="K12" s="205"/>
      <c r="L12" s="205"/>
      <c r="M12" s="161"/>
      <c r="N12" s="161"/>
    </row>
    <row r="13" spans="2:14">
      <c r="B13" t="str">
        <f>IF(IF(OR(LEFT(C13,27)=SUP_Biofuels!$N$8,LEFT(C13,20)=SUP_Biofuels!$O$8,LEFT(C13,20)=SUP_Biofuels!$P$8),LEFT(C13,20),C13)="Specific investment ","Specific investment (M€ /MW",IF(OR(LEFT(C13,27)=SUP_Biofuels!$N$8,LEFT(C13,20)=SUP_Biofuels!$O$8,LEFT(C13,20)=SUP_Biofuels!$P$8),LEFT(C13,20),C13))</f>
        <v>Ethanol Output, MWh/MWh Total Inputs</v>
      </c>
      <c r="C13" s="162" t="s">
        <v>1113</v>
      </c>
      <c r="D13" s="162">
        <v>0.46</v>
      </c>
      <c r="E13" s="162">
        <v>0.46</v>
      </c>
      <c r="F13" s="162">
        <v>0.47</v>
      </c>
      <c r="G13" s="162">
        <v>0.47</v>
      </c>
      <c r="H13" s="162">
        <v>0.47</v>
      </c>
      <c r="I13" s="162">
        <v>0.95</v>
      </c>
      <c r="J13" s="162">
        <v>1.02</v>
      </c>
      <c r="K13" s="162">
        <v>0.95</v>
      </c>
      <c r="L13" s="162">
        <v>1.02</v>
      </c>
      <c r="M13" s="161" t="s">
        <v>243</v>
      </c>
      <c r="N13" s="161"/>
    </row>
    <row r="14" spans="2:14">
      <c r="B14" t="str">
        <f>IF(IF(OR(LEFT(C14,27)=SUP_Biofuels!$N$8,LEFT(C14,20)=SUP_Biofuels!$O$8,LEFT(C14,20)=SUP_Biofuels!$P$8),LEFT(C14,20),C14)="Specific investment ","Specific investment (M€ /MW",IF(OR(LEFT(C14,27)=SUP_Biofuels!$N$8,LEFT(C14,20)=SUP_Biofuels!$O$8,LEFT(C14,20)=SUP_Biofuels!$P$8),LEFT(C14,20),C14))</f>
        <v>DDG  Output, MWh/MWh Total Input</v>
      </c>
      <c r="C14" s="162" t="s">
        <v>1112</v>
      </c>
      <c r="D14" s="162">
        <v>0.28999999999999998</v>
      </c>
      <c r="E14" s="162">
        <v>0.27</v>
      </c>
      <c r="F14" s="162">
        <v>0.28000000000000003</v>
      </c>
      <c r="G14" s="162">
        <v>0.25</v>
      </c>
      <c r="H14" s="162">
        <v>0.25</v>
      </c>
      <c r="I14" s="205">
        <v>0.98</v>
      </c>
      <c r="J14" s="205">
        <v>1.05</v>
      </c>
      <c r="K14" s="205">
        <v>0.98</v>
      </c>
      <c r="L14" s="205">
        <v>1.02</v>
      </c>
      <c r="M14" s="161" t="s">
        <v>243</v>
      </c>
      <c r="N14" s="161"/>
    </row>
    <row r="15" spans="2:14">
      <c r="B15">
        <f>IF(IF(OR(LEFT(C15,27)=SUP_Biofuels!$N$8,LEFT(C15,20)=SUP_Biofuels!$O$8,LEFT(C15,20)=SUP_Biofuels!$P$8),LEFT(C15,20),C15)="Specific investment ","Specific investment (M€ /MW",IF(OR(LEFT(C15,27)=SUP_Biofuels!$N$8,LEFT(C15,20)=SUP_Biofuels!$O$8,LEFT(C15,20)=SUP_Biofuels!$P$8),LEFT(C15,20),C15))</f>
        <v>0</v>
      </c>
      <c r="C15" s="186"/>
      <c r="D15" s="185"/>
      <c r="E15" s="185"/>
      <c r="F15" s="185"/>
      <c r="G15" s="185"/>
      <c r="H15" s="185"/>
      <c r="I15" s="185"/>
      <c r="J15" s="185"/>
      <c r="K15" s="185"/>
      <c r="L15" s="185"/>
      <c r="M15" s="183"/>
      <c r="N15" s="225"/>
    </row>
    <row r="16" spans="2:14">
      <c r="B16" t="str">
        <f>IF(IF(OR(LEFT(C16,27)=SUP_Biofuels!$N$8,LEFT(C16,20)=SUP_Biofuels!$O$8,LEFT(C16,20)=SUP_Biofuels!$P$8),LEFT(C16,20),C16)="Specific investment ","Specific investment (M€ /MW",IF(OR(LEFT(C16,27)=SUP_Biofuels!$N$8,LEFT(C16,20)=SUP_Biofuels!$O$8,LEFT(C16,20)=SUP_Biofuels!$P$8),LEFT(C16,20),C16))</f>
        <v>Forced outage (%)</v>
      </c>
      <c r="C16" s="162" t="s">
        <v>59</v>
      </c>
      <c r="D16" s="162">
        <v>0</v>
      </c>
      <c r="E16" s="162">
        <v>0</v>
      </c>
      <c r="F16" s="162">
        <v>0</v>
      </c>
      <c r="G16" s="162">
        <v>0</v>
      </c>
      <c r="H16" s="162">
        <v>0</v>
      </c>
      <c r="I16" s="162"/>
      <c r="J16" s="162"/>
      <c r="K16" s="162"/>
      <c r="L16" s="162"/>
      <c r="M16" s="161"/>
      <c r="N16" s="161"/>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62" t="s">
        <v>92</v>
      </c>
      <c r="D17" s="162">
        <v>2</v>
      </c>
      <c r="E17" s="162">
        <v>2</v>
      </c>
      <c r="F17" s="162">
        <v>2</v>
      </c>
      <c r="G17" s="162">
        <v>2</v>
      </c>
      <c r="H17" s="162">
        <v>2</v>
      </c>
      <c r="I17" s="162"/>
      <c r="J17" s="162"/>
      <c r="K17" s="162"/>
      <c r="L17" s="162"/>
      <c r="M17" s="161"/>
      <c r="N17" s="161"/>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62" t="s">
        <v>58</v>
      </c>
      <c r="D18" s="162">
        <v>25</v>
      </c>
      <c r="E18" s="162">
        <v>25</v>
      </c>
      <c r="F18" s="162">
        <v>25</v>
      </c>
      <c r="G18" s="162">
        <v>25</v>
      </c>
      <c r="H18" s="162">
        <v>25</v>
      </c>
      <c r="I18" s="162"/>
      <c r="J18" s="162"/>
      <c r="K18" s="162"/>
      <c r="L18" s="162"/>
      <c r="M18" s="161"/>
      <c r="N18" s="161"/>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62" t="s">
        <v>60</v>
      </c>
      <c r="D19" s="163">
        <v>2</v>
      </c>
      <c r="E19" s="163">
        <v>2</v>
      </c>
      <c r="F19" s="163">
        <v>2</v>
      </c>
      <c r="G19" s="163">
        <v>2</v>
      </c>
      <c r="H19" s="163">
        <v>2</v>
      </c>
      <c r="I19" s="162"/>
      <c r="J19" s="162"/>
      <c r="K19" s="162"/>
      <c r="L19" s="162"/>
      <c r="M19" s="161"/>
      <c r="N19" s="161"/>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86" t="s">
        <v>264</v>
      </c>
      <c r="D20" s="185"/>
      <c r="E20" s="185"/>
      <c r="F20" s="185"/>
      <c r="G20" s="185"/>
      <c r="H20" s="185"/>
      <c r="I20" s="185"/>
      <c r="J20" s="185"/>
      <c r="K20" s="185"/>
      <c r="L20" s="185"/>
      <c r="M20" s="183"/>
      <c r="N20" s="225"/>
    </row>
    <row r="21" spans="2:14">
      <c r="B21" t="str">
        <f>IF(IF(OR(LEFT(C21,27)=SUP_Biofuels!$N$8,LEFT(C21,20)=SUP_Biofuels!$O$8,LEFT(C21,20)=SUP_Biofuels!$P$8),LEFT(C21,20),C21)="Specific investment ","Specific investment (M€ /MW",IF(OR(LEFT(C21,27)=SUP_Biofuels!$N$8,LEFT(C21,20)=SUP_Biofuels!$O$8,LEFT(C21,20)=SUP_Biofuels!$P$8),LEFT(C21,20),C21))</f>
        <v>Specific investment (M€ /MW</v>
      </c>
      <c r="C21" s="162" t="s">
        <v>1111</v>
      </c>
      <c r="D21" s="197">
        <v>0.73779385171790235</v>
      </c>
      <c r="E21" s="197">
        <v>0.72332730560578651</v>
      </c>
      <c r="F21" s="197">
        <v>0.69439421338155505</v>
      </c>
      <c r="G21" s="197">
        <v>0.66374999999999995</v>
      </c>
      <c r="H21" s="197">
        <v>0.6616800920598388</v>
      </c>
      <c r="I21" s="167">
        <v>0.95</v>
      </c>
      <c r="J21" s="167">
        <v>1.25</v>
      </c>
      <c r="K21" s="167">
        <v>0.95</v>
      </c>
      <c r="L21" s="167">
        <v>1.25</v>
      </c>
      <c r="M21" s="161" t="s">
        <v>1109</v>
      </c>
      <c r="N21" s="161">
        <v>10</v>
      </c>
    </row>
    <row r="22" spans="2:14">
      <c r="B22" t="str">
        <f>IF(IF(OR(LEFT(C22,27)=SUP_Biofuels!$N$8,LEFT(C22,20)=SUP_Biofuels!$O$8,LEFT(C22,20)=SUP_Biofuels!$P$8),LEFT(C22,20),C22)="Specific investment ","Specific investment (M€ /MW",IF(OR(LEFT(C22,27)=SUP_Biofuels!$N$8,LEFT(C22,20)=SUP_Biofuels!$O$8,LEFT(C22,20)=SUP_Biofuels!$P$8),LEFT(C22,20),C22))</f>
        <v xml:space="preserve"> - equipment (%)</v>
      </c>
      <c r="C22" s="162" t="s">
        <v>394</v>
      </c>
      <c r="D22" s="162">
        <v>75</v>
      </c>
      <c r="E22" s="162">
        <v>75</v>
      </c>
      <c r="F22" s="162">
        <v>75</v>
      </c>
      <c r="G22" s="162">
        <v>75</v>
      </c>
      <c r="H22" s="162">
        <v>75</v>
      </c>
      <c r="I22" s="162"/>
      <c r="J22" s="162"/>
      <c r="K22" s="162"/>
      <c r="L22" s="162"/>
      <c r="M22" s="161"/>
      <c r="N22" s="161"/>
    </row>
    <row r="23" spans="2:14">
      <c r="B23" t="str">
        <f>LEFT(C23,17)</f>
        <v xml:space="preserve"> -installation (%</v>
      </c>
      <c r="C23" s="162" t="s">
        <v>251</v>
      </c>
      <c r="D23" s="163">
        <v>25</v>
      </c>
      <c r="E23" s="162">
        <v>25</v>
      </c>
      <c r="F23" s="162">
        <v>25</v>
      </c>
      <c r="G23" s="162">
        <v>25</v>
      </c>
      <c r="H23" s="162">
        <v>25</v>
      </c>
      <c r="I23" s="162"/>
      <c r="J23" s="162"/>
      <c r="K23" s="162"/>
      <c r="L23" s="162"/>
      <c r="M23" s="161"/>
      <c r="N23" s="161"/>
    </row>
    <row r="24" spans="2:14">
      <c r="B24" t="str">
        <f>LEFT(C24,17)</f>
        <v>Fixed O&amp;M (M€ /MW</v>
      </c>
      <c r="C24" s="162" t="s">
        <v>1013</v>
      </c>
      <c r="D24" s="168">
        <v>6.0759493670886074E-2</v>
      </c>
      <c r="E24" s="168">
        <v>6.0759493670886074E-2</v>
      </c>
      <c r="F24" s="168">
        <v>6.0759493670886074E-2</v>
      </c>
      <c r="G24" s="168">
        <v>6.0759493670886074E-2</v>
      </c>
      <c r="H24" s="168">
        <v>6.0759493670886074E-2</v>
      </c>
      <c r="I24" s="167">
        <v>0.95</v>
      </c>
      <c r="J24" s="167">
        <v>1.25</v>
      </c>
      <c r="K24" s="167">
        <v>0.95</v>
      </c>
      <c r="L24" s="167">
        <v>1.25</v>
      </c>
      <c r="M24" s="161" t="s">
        <v>673</v>
      </c>
      <c r="N24" s="161">
        <v>8</v>
      </c>
    </row>
    <row r="25" spans="2:14">
      <c r="B25" t="str">
        <f>LEFT(C25,19)</f>
        <v>Variable O&amp;M (€ /MW</v>
      </c>
      <c r="C25" s="162" t="s">
        <v>247</v>
      </c>
      <c r="D25" s="168">
        <v>8.3007194396164632</v>
      </c>
      <c r="E25" s="168">
        <v>8.3007194396164632</v>
      </c>
      <c r="F25" s="168">
        <v>8.3007194396164632</v>
      </c>
      <c r="G25" s="168">
        <v>8.300719439616465</v>
      </c>
      <c r="H25" s="168">
        <v>8.300719439616465</v>
      </c>
      <c r="I25" s="205">
        <v>0.9</v>
      </c>
      <c r="J25" s="205">
        <v>1.1000000000000001</v>
      </c>
      <c r="K25" s="205">
        <v>0.9</v>
      </c>
      <c r="L25" s="205">
        <v>1.1000000000000001</v>
      </c>
      <c r="M25" s="161" t="s">
        <v>1106</v>
      </c>
      <c r="N25" s="161">
        <v>8</v>
      </c>
    </row>
    <row r="26" spans="2:14">
      <c r="B26" t="str">
        <f>IF(IF(OR(LEFT(C26,27)=SUP_Biofuels!$N$8,LEFT(C26,20)=SUP_Biofuels!$O$8,LEFT(C26,20)=SUP_Biofuels!$P$8),LEFT(C26,20),C26)="Specific investment ","Specific investment (M€ /MW",IF(OR(LEFT(C26,27)=SUP_Biofuels!$N$8,LEFT(C26,20)=SUP_Biofuels!$O$8,LEFT(C26,20)=SUP_Biofuels!$P$8),LEFT(C26,20),C26))</f>
        <v>Start-up (M€ /1,000 t Ethanol)</v>
      </c>
      <c r="C26" s="162" t="s">
        <v>1105</v>
      </c>
      <c r="D26" s="162">
        <v>0</v>
      </c>
      <c r="E26" s="162">
        <v>0</v>
      </c>
      <c r="F26" s="162">
        <v>0</v>
      </c>
      <c r="G26" s="162">
        <v>0</v>
      </c>
      <c r="H26" s="162">
        <v>0</v>
      </c>
      <c r="I26" s="205"/>
      <c r="J26" s="205"/>
      <c r="K26" s="205"/>
      <c r="L26" s="205"/>
      <c r="M26" s="161" t="s">
        <v>393</v>
      </c>
      <c r="N26" s="161"/>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86" t="s">
        <v>260</v>
      </c>
      <c r="D27" s="185"/>
      <c r="E27" s="185"/>
      <c r="F27" s="185"/>
      <c r="G27" s="185"/>
      <c r="H27" s="185"/>
      <c r="I27" s="185"/>
      <c r="J27" s="185"/>
      <c r="K27" s="185"/>
      <c r="L27" s="185"/>
      <c r="M27" s="183"/>
      <c r="N27" s="225"/>
    </row>
    <row r="28" spans="2:14">
      <c r="B28" t="str">
        <f>IF(IF(OR(LEFT(C28,27)=SUP_Biofuels!$N$8,LEFT(C28,20)=SUP_Biofuels!$O$8,LEFT(C28,20)=SUP_Biofuels!$P$8),LEFT(C28,20),C28)="Specific investment ","Specific investment (M€ /MW",IF(OR(LEFT(C28,27)=SUP_Biofuels!$N$8,LEFT(C28,20)=SUP_Biofuels!$O$8,LEFT(C28,20)=SUP_Biofuels!$P$8),LEFT(C28,20),C28))</f>
        <v xml:space="preserve">Specific energy content (GJ/ton) </v>
      </c>
      <c r="C28" s="162" t="s">
        <v>1057</v>
      </c>
      <c r="D28" s="162">
        <v>26.9</v>
      </c>
      <c r="E28" s="162">
        <v>26.9</v>
      </c>
      <c r="F28" s="162">
        <v>26.9</v>
      </c>
      <c r="G28" s="162">
        <v>26.9</v>
      </c>
      <c r="H28" s="162">
        <v>26.9</v>
      </c>
      <c r="I28" s="162"/>
      <c r="J28" s="162"/>
      <c r="K28" s="162"/>
      <c r="L28" s="162"/>
      <c r="M28" s="162"/>
      <c r="N28" s="162"/>
    </row>
    <row r="29" spans="2:14">
      <c r="B29" t="str">
        <f>IF(IF(OR(LEFT(C29,27)=SUP_Biofuels!$N$8,LEFT(C29,20)=SUP_Biofuels!$O$8,LEFT(C29,20)=SUP_Biofuels!$P$8),LEFT(C29,20),C29)="Specific investment ","Specific investment (M€ /MW",IF(OR(LEFT(C29,27)=SUP_Biofuels!$N$8,LEFT(C29,20)=SUP_Biofuels!$O$8,LEFT(C29,20)=SUP_Biofuels!$P$8),LEFT(C29,20),C29))</f>
        <v>Specific density  (kg/l) or (ton/m3)</v>
      </c>
      <c r="C29" s="162" t="s">
        <v>257</v>
      </c>
      <c r="D29" s="162">
        <v>0.79</v>
      </c>
      <c r="E29" s="162">
        <v>0.79</v>
      </c>
      <c r="F29" s="162">
        <v>0.79</v>
      </c>
      <c r="G29" s="162">
        <v>0.79</v>
      </c>
      <c r="H29" s="162">
        <v>0.79</v>
      </c>
      <c r="I29" s="162"/>
      <c r="J29" s="162"/>
      <c r="K29" s="162"/>
      <c r="L29" s="162"/>
      <c r="M29" s="162"/>
      <c r="N29" s="162"/>
    </row>
    <row r="30" spans="2:14">
      <c r="B30" t="str">
        <f>IF(IF(OR(LEFT(C30,27)=SUP_Biofuels!$N$8,LEFT(C30,20)=SUP_Biofuels!$O$8,LEFT(C30,20)=SUP_Biofuels!$P$8),LEFT(C30,20),C30)="Specific investment ","Specific investment (M€ /MW",IF(OR(LEFT(C30,27)=SUP_Biofuels!$N$8,LEFT(C30,20)=SUP_Biofuels!$O$8,LEFT(C30,20)=SUP_Biofuels!$P$8),LEFT(C30,20),C30))</f>
        <v>Specific investment (M€ /1,000 t Ethanol)</v>
      </c>
      <c r="C30" s="162" t="s">
        <v>1110</v>
      </c>
      <c r="D30" s="197">
        <v>0.64556962025316456</v>
      </c>
      <c r="E30" s="197">
        <v>0.63291139240506322</v>
      </c>
      <c r="F30" s="197">
        <v>0.60759493670886067</v>
      </c>
      <c r="G30" s="197">
        <v>0.59</v>
      </c>
      <c r="H30" s="197">
        <v>0.58227848101265822</v>
      </c>
      <c r="I30" s="167">
        <v>0.95</v>
      </c>
      <c r="J30" s="167">
        <v>1.25</v>
      </c>
      <c r="K30" s="167">
        <v>0.95</v>
      </c>
      <c r="L30" s="167">
        <v>1.25</v>
      </c>
      <c r="M30" s="161" t="s">
        <v>1109</v>
      </c>
      <c r="N30" s="161">
        <v>10</v>
      </c>
    </row>
    <row r="31" spans="2:14">
      <c r="B31" t="str">
        <f>IF(IF(OR(LEFT(C31,27)=SUP_Biofuels!$N$8,LEFT(C31,20)=SUP_Biofuels!$O$8,LEFT(C31,20)=SUP_Biofuels!$P$8),LEFT(C31,20),C31)="Specific investment ","Specific investment (M€ /MW",IF(OR(LEFT(C31,27)=SUP_Biofuels!$N$8,LEFT(C31,20)=SUP_Biofuels!$O$8,LEFT(C31,20)=SUP_Biofuels!$P$8),LEFT(C31,20),C31))</f>
        <v xml:space="preserve"> - equipment (%)</v>
      </c>
      <c r="C31" s="162" t="s">
        <v>394</v>
      </c>
      <c r="D31" s="162">
        <v>75</v>
      </c>
      <c r="E31" s="162">
        <v>75</v>
      </c>
      <c r="F31" s="162">
        <v>75</v>
      </c>
      <c r="G31" s="162">
        <v>75</v>
      </c>
      <c r="H31" s="162">
        <v>75</v>
      </c>
      <c r="I31" s="162"/>
      <c r="J31" s="162"/>
      <c r="K31" s="162"/>
      <c r="L31" s="162"/>
      <c r="M31" s="161"/>
      <c r="N31" s="161"/>
    </row>
    <row r="32" spans="2:14">
      <c r="B32" t="str">
        <f>IF(IF(OR(LEFT(C32,27)=SUP_Biofuels!$N$8,LEFT(C32,20)=SUP_Biofuels!$O$8,LEFT(C32,20)=SUP_Biofuels!$P$8),LEFT(C32,20),C32)="Specific investment ","Specific investment (M€ /MW",IF(OR(LEFT(C32,27)=SUP_Biofuels!$N$8,LEFT(C32,20)=SUP_Biofuels!$O$8,LEFT(C32,20)=SUP_Biofuels!$P$8),LEFT(C32,20),C32))</f>
        <v xml:space="preserve"> -installation (%)</v>
      </c>
      <c r="C32" s="162" t="s">
        <v>251</v>
      </c>
      <c r="D32" s="163">
        <v>25</v>
      </c>
      <c r="E32" s="162">
        <v>25</v>
      </c>
      <c r="F32" s="162">
        <v>25</v>
      </c>
      <c r="G32" s="162">
        <v>25</v>
      </c>
      <c r="H32" s="162">
        <v>25</v>
      </c>
      <c r="I32" s="162"/>
      <c r="J32" s="162"/>
      <c r="K32" s="162"/>
      <c r="L32" s="162"/>
      <c r="M32" s="161"/>
      <c r="N32" s="161"/>
    </row>
    <row r="33" spans="2:14">
      <c r="B33" t="str">
        <f>IF(IF(OR(LEFT(C33,27)=SUP_Biofuels!$N$8,LEFT(C33,20)=SUP_Biofuels!$O$8,LEFT(C33,20)=SUP_Biofuels!$P$8),LEFT(C33,20),C33)="Specific investment ","Specific investment (M€ /MW",IF(OR(LEFT(C33,27)=SUP_Biofuels!$N$8,LEFT(C33,20)=SUP_Biofuels!$O$8,LEFT(C33,20)=SUP_Biofuels!$P$8),LEFT(C33,20),C33))</f>
        <v>Fixed O&amp;M (M€ /1,000 t Ethanol)</v>
      </c>
      <c r="C33" s="162" t="s">
        <v>1108</v>
      </c>
      <c r="D33" s="168">
        <v>6.0759493670886074E-2</v>
      </c>
      <c r="E33" s="168">
        <v>6.0759493670886074E-2</v>
      </c>
      <c r="F33" s="168">
        <v>6.0759493670886074E-2</v>
      </c>
      <c r="G33" s="168">
        <v>6.0759493670886074E-2</v>
      </c>
      <c r="H33" s="168">
        <v>6.0759493670886074E-2</v>
      </c>
      <c r="I33" s="162">
        <v>0.95</v>
      </c>
      <c r="J33" s="167">
        <v>1.25</v>
      </c>
      <c r="K33" s="167">
        <v>0.95</v>
      </c>
      <c r="L33" s="167">
        <v>1.25</v>
      </c>
      <c r="M33" s="161" t="s">
        <v>673</v>
      </c>
      <c r="N33" s="161">
        <v>8</v>
      </c>
    </row>
    <row r="34" spans="2:14">
      <c r="C34" s="162" t="s">
        <v>1107</v>
      </c>
      <c r="D34" s="168">
        <v>6.20253164556962E-2</v>
      </c>
      <c r="E34" s="168">
        <v>6.20253164556962E-2</v>
      </c>
      <c r="F34" s="168">
        <v>6.20253164556962E-2</v>
      </c>
      <c r="G34" s="168">
        <v>6.20253164556962E-2</v>
      </c>
      <c r="H34" s="168">
        <v>6.20253164556962E-2</v>
      </c>
      <c r="I34" s="205">
        <v>0.9</v>
      </c>
      <c r="J34" s="205">
        <v>1.1000000000000001</v>
      </c>
      <c r="K34" s="205">
        <v>0.9</v>
      </c>
      <c r="L34" s="205">
        <v>1.1000000000000001</v>
      </c>
      <c r="M34" s="161" t="s">
        <v>1106</v>
      </c>
      <c r="N34" s="161">
        <v>8</v>
      </c>
    </row>
    <row r="35" spans="2:14">
      <c r="C35" s="162" t="s">
        <v>1105</v>
      </c>
      <c r="D35" s="162">
        <v>0</v>
      </c>
      <c r="E35" s="162">
        <v>0</v>
      </c>
      <c r="F35" s="162">
        <v>0</v>
      </c>
      <c r="G35" s="162">
        <v>0</v>
      </c>
      <c r="H35" s="162">
        <v>0</v>
      </c>
      <c r="I35" s="205"/>
      <c r="J35" s="205"/>
      <c r="K35" s="205"/>
      <c r="L35" s="205"/>
      <c r="M35" s="161" t="s">
        <v>393</v>
      </c>
      <c r="N35" s="161"/>
    </row>
    <row r="37" spans="2:14">
      <c r="C37" s="886" t="s">
        <v>695</v>
      </c>
    </row>
    <row r="38" spans="2:14">
      <c r="C38" s="885" t="s">
        <v>1104</v>
      </c>
    </row>
    <row r="39" spans="2:14">
      <c r="C39" s="885" t="s">
        <v>1048</v>
      </c>
    </row>
    <row r="40" spans="2:14">
      <c r="C40" s="885" t="s">
        <v>1047</v>
      </c>
    </row>
    <row r="41" spans="2:14">
      <c r="C41" s="885" t="s">
        <v>1103</v>
      </c>
    </row>
    <row r="42" spans="2:14">
      <c r="C42" s="885" t="s">
        <v>1102</v>
      </c>
    </row>
    <row r="43" spans="2:14">
      <c r="C43" s="885" t="s">
        <v>1101</v>
      </c>
    </row>
    <row r="44" spans="2:14">
      <c r="C44" s="885" t="s">
        <v>1100</v>
      </c>
    </row>
    <row r="45" spans="2:14">
      <c r="C45" s="885" t="s">
        <v>1099</v>
      </c>
    </row>
    <row r="46" spans="2:14">
      <c r="C46" s="885" t="s">
        <v>1098</v>
      </c>
    </row>
    <row r="47" spans="2:14">
      <c r="C47" s="885" t="s">
        <v>1097</v>
      </c>
    </row>
    <row r="48" spans="2:14">
      <c r="C48" s="885" t="s">
        <v>1096</v>
      </c>
    </row>
    <row r="50" spans="3:3">
      <c r="C50" s="886" t="s">
        <v>989</v>
      </c>
    </row>
    <row r="51" spans="3:3">
      <c r="C51" s="885" t="s">
        <v>1095</v>
      </c>
    </row>
    <row r="52" spans="3:3">
      <c r="C52" s="885" t="s">
        <v>1094</v>
      </c>
    </row>
    <row r="53" spans="3:3">
      <c r="C53" s="885" t="s">
        <v>1093</v>
      </c>
    </row>
    <row r="54" spans="3:3">
      <c r="C54" s="885" t="s">
        <v>1092</v>
      </c>
    </row>
    <row r="55" spans="3:3">
      <c r="C55" s="885" t="s">
        <v>1091</v>
      </c>
    </row>
    <row r="56" spans="3:3">
      <c r="C56" s="885" t="s">
        <v>1090</v>
      </c>
    </row>
    <row r="57" spans="3:3">
      <c r="C57" s="885" t="s">
        <v>1089</v>
      </c>
    </row>
    <row r="58" spans="3:3">
      <c r="C58" s="885" t="s">
        <v>1088</v>
      </c>
    </row>
    <row r="59" spans="3:3">
      <c r="C59" s="885" t="s">
        <v>1087</v>
      </c>
    </row>
    <row r="60" spans="3:3">
      <c r="C60" s="885" t="s">
        <v>1086</v>
      </c>
    </row>
    <row r="61" spans="3:3">
      <c r="C61" s="885" t="s">
        <v>1085</v>
      </c>
    </row>
    <row r="62" spans="3:3">
      <c r="C62" s="885" t="s">
        <v>1084</v>
      </c>
    </row>
    <row r="63" spans="3:3">
      <c r="C63" s="885" t="s">
        <v>1083</v>
      </c>
    </row>
  </sheetData>
  <mergeCells count="2">
    <mergeCell ref="I3:J3"/>
    <mergeCell ref="K3:L3"/>
  </mergeCells>
  <hyperlinks>
    <hyperlink ref="C52" r:id="rId1" display="https://ens.dk/sites/ens.dk/files/Statistik/energy_statistics_2015.pdf" xr:uid="{E3B9C9DD-223E-43F3-A095-1530B28A4331}"/>
    <hyperlink ref="C53" r:id="rId2" display="http://epure.org/about-ethanol/fuel-market/fuel-blends/" xr:uid="{5B3446B2-4A30-44F1-97ED-D3F7D035E560}"/>
    <hyperlink ref="C55" r:id="rId3" display="http://naldc.nal.usda.gov/download/22550/PDF" xr:uid="{D1E8DEA1-938C-4ADE-BB8A-079E67472EF5}"/>
    <hyperlink ref="C56" r:id="rId4" display="http://task39.sites.olt.ubc.ca/files/2013/05/IEA_Bioenergy_Task-39_Improving_carbon_and_energy_balance.pdf" xr:uid="{B2C39A31-1C35-4CEC-9FC3-77C21C8BF6A9}"/>
    <hyperlink ref="C57" r:id="rId5" display="http://www.eia.gov/cfapps/ipdbproject/IEDIndex3.cfm?tid=79&amp;pid=79&amp;aid=1" xr:uid="{40D09437-9E84-42A1-A585-EF17C33ADB78}"/>
    <hyperlink ref="C58" r:id="rId6" display="http://epure.org/media/1137/state-of-the-industry-report-2014.pdf" xr:uid="{848A6F5F-EBF2-49DB-9F53-5DF6AF2B613C}"/>
    <hyperlink ref="C59" r:id="rId7" display="http://epure.org/media/1610/2016-industry-statistics.pdf" xr:uid="{07D4C7A7-5C83-4847-936F-E82D264C3B40}"/>
    <hyperlink ref="C60" r:id="rId8" display="http://www.extension.iastate.edu/agdm/energy/xls/d1-10ethanolprofitability.xlsx" xr:uid="{D0619072-A64E-41CD-833F-C000C715FC2D}"/>
    <hyperlink ref="C61" r:id="rId9" display="http://www.capjournal.com/news/ringneck-energy-pouring-cement-building-foundations-for-ethanol-plant-near/article_4ee23aac-adec-11e7-80fb-a7814e744ba7.html" xr:uid="{A6F75345-E2F0-47A0-A1FA-583C4F49B905}"/>
    <hyperlink ref="C63" r:id="rId10" display="http://ringneckenergy.com/wp-content/uploads/2016/12/2015_PPM_w_Exhibits.pdf" xr:uid="{ABA359B9-B353-4643-B93E-743FA61FBD12}"/>
    <hyperlink ref="I1" location="Index" display="Back to Index" xr:uid="{CC43DFEB-CD82-4A26-8498-EA4AA41B5F0C}"/>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C4900-CFAB-4805-9B79-69871171C392}">
  <sheetPr>
    <tabColor theme="4" tint="0.39997558519241921"/>
  </sheetPr>
  <dimension ref="B1:N57"/>
  <sheetViews>
    <sheetView workbookViewId="0">
      <selection activeCell="C38" sqref="C38"/>
    </sheetView>
  </sheetViews>
  <sheetFormatPr defaultColWidth="9.109375" defaultRowHeight="14.4"/>
  <cols>
    <col min="1" max="1" width="3.33203125" customWidth="1"/>
    <col min="2" max="2" width="44.6640625" bestFit="1" customWidth="1"/>
    <col min="3" max="3" width="27.109375" customWidth="1"/>
    <col min="4" max="13" width="7.109375" customWidth="1"/>
  </cols>
  <sheetData>
    <row r="1" spans="2:14">
      <c r="I1" s="884" t="s">
        <v>966</v>
      </c>
    </row>
    <row r="2" spans="2:14" ht="15" customHeight="1">
      <c r="C2" s="260" t="s">
        <v>296</v>
      </c>
      <c r="D2" s="186" t="s">
        <v>111</v>
      </c>
      <c r="E2" s="936"/>
      <c r="F2" s="936"/>
      <c r="G2" s="936"/>
      <c r="H2" s="936"/>
      <c r="I2" s="936"/>
      <c r="J2" s="936"/>
      <c r="K2" s="936"/>
      <c r="L2" s="936"/>
      <c r="M2" s="936"/>
      <c r="N2" s="935"/>
    </row>
    <row r="3" spans="2:14" ht="15" customHeight="1">
      <c r="C3" s="260"/>
      <c r="D3" s="260">
        <v>2015</v>
      </c>
      <c r="E3" s="260">
        <v>2020</v>
      </c>
      <c r="F3" s="260">
        <v>2030</v>
      </c>
      <c r="G3" s="260">
        <v>2040</v>
      </c>
      <c r="H3" s="260">
        <v>2050</v>
      </c>
      <c r="I3" s="1396" t="s">
        <v>290</v>
      </c>
      <c r="J3" s="1397"/>
      <c r="K3" s="1396" t="s">
        <v>289</v>
      </c>
      <c r="L3" s="1397"/>
      <c r="M3" s="930" t="s">
        <v>288</v>
      </c>
      <c r="N3" s="930" t="s">
        <v>287</v>
      </c>
    </row>
    <row r="4" spans="2:14">
      <c r="C4" s="929"/>
      <c r="D4" s="929"/>
      <c r="E4" s="929"/>
      <c r="F4" s="929"/>
      <c r="G4" s="929"/>
      <c r="H4" s="929"/>
      <c r="I4" s="928" t="s">
        <v>284</v>
      </c>
      <c r="J4" s="928" t="s">
        <v>283</v>
      </c>
      <c r="K4" s="928" t="s">
        <v>284</v>
      </c>
      <c r="L4" s="928" t="s">
        <v>283</v>
      </c>
      <c r="M4" s="928"/>
      <c r="N4" s="92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Bio Oil/year</v>
      </c>
      <c r="C6" s="180" t="s">
        <v>1152</v>
      </c>
      <c r="D6" s="180">
        <v>20</v>
      </c>
      <c r="E6" s="180">
        <v>80</v>
      </c>
      <c r="F6" s="180">
        <v>200</v>
      </c>
      <c r="G6" s="180">
        <v>500</v>
      </c>
      <c r="H6" s="180">
        <v>1000</v>
      </c>
      <c r="I6" s="179">
        <v>0.5</v>
      </c>
      <c r="J6" s="179">
        <v>1.25</v>
      </c>
      <c r="K6" s="179">
        <v>0.75</v>
      </c>
      <c r="L6" s="179">
        <v>1.25</v>
      </c>
      <c r="M6" s="178" t="s">
        <v>280</v>
      </c>
      <c r="N6" s="178" t="s">
        <v>1150</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62" t="s">
        <v>1151</v>
      </c>
      <c r="D7" s="162">
        <v>10</v>
      </c>
      <c r="E7" s="162">
        <v>40</v>
      </c>
      <c r="F7" s="162">
        <v>105</v>
      </c>
      <c r="G7" s="162">
        <v>265</v>
      </c>
      <c r="H7" s="162">
        <v>520</v>
      </c>
      <c r="I7" s="167">
        <v>0.5</v>
      </c>
      <c r="J7" s="167">
        <v>1.25</v>
      </c>
      <c r="K7" s="167">
        <v>0.75</v>
      </c>
      <c r="L7" s="167">
        <v>1.25</v>
      </c>
      <c r="M7" s="161" t="s">
        <v>277</v>
      </c>
      <c r="N7" s="161" t="s">
        <v>1150</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90" t="s">
        <v>112</v>
      </c>
      <c r="D9" s="190">
        <v>1</v>
      </c>
      <c r="E9" s="190">
        <v>1</v>
      </c>
      <c r="F9" s="190">
        <v>1</v>
      </c>
      <c r="G9" s="190">
        <v>1</v>
      </c>
      <c r="H9" s="190">
        <v>1</v>
      </c>
      <c r="I9" s="208">
        <v>0.9</v>
      </c>
      <c r="J9" s="208">
        <v>1.5</v>
      </c>
      <c r="K9" s="208">
        <v>0.9</v>
      </c>
      <c r="L9" s="208">
        <v>1.25</v>
      </c>
      <c r="M9" s="188" t="s">
        <v>266</v>
      </c>
      <c r="N9" s="188">
        <v>4</v>
      </c>
    </row>
    <row r="10" spans="2:14">
      <c r="B10" t="str">
        <f>IF(IF(OR(LEFT(C10,27)=SUP_Biofuels!$N$8,LEFT(C10,20)=SUP_Biofuels!$O$8,LEFT(C10,20)=SUP_Biofuels!$P$8),LEFT(C10,20),C10)="Specific investment ","Specific investment (M€ /MW",IF(OR(LEFT(C10,27)=SUP_Biofuels!$N$8,LEFT(C10,20)=SUP_Biofuels!$O$8,LEFT(C10,20)=SUP_Biofuels!$P$8),LEFT(C10,20),C10))</f>
        <v>Outputs</v>
      </c>
      <c r="C10" s="186" t="s">
        <v>271</v>
      </c>
      <c r="D10" s="185"/>
      <c r="E10" s="185"/>
      <c r="F10" s="185"/>
      <c r="G10" s="185"/>
      <c r="H10" s="185"/>
      <c r="I10" s="213"/>
      <c r="J10" s="213"/>
      <c r="K10" s="213"/>
      <c r="L10" s="213"/>
      <c r="M10" s="183"/>
      <c r="N10" s="225"/>
    </row>
    <row r="11" spans="2:14">
      <c r="B11" t="str">
        <f>IF(IF(OR(LEFT(C11,27)=SUP_Biofuels!$N$8,LEFT(C11,20)=SUP_Biofuels!$O$8,LEFT(C11,20)=SUP_Biofuels!$P$8),LEFT(C11,20),C11)="Specific investment ","Specific investment (M€ /MW",IF(OR(LEFT(C11,27)=SUP_Biofuels!$N$8,LEFT(C11,20)=SUP_Biofuels!$O$8,LEFT(C11,20)=SUP_Biofuels!$P$8),LEFT(C11,20),C11))</f>
        <v>Bio Oil Output, MWh/MWh Total Input</v>
      </c>
      <c r="C11" s="180" t="s">
        <v>115</v>
      </c>
      <c r="D11" s="180">
        <v>0.6</v>
      </c>
      <c r="E11" s="180">
        <v>0.6</v>
      </c>
      <c r="F11" s="180">
        <v>0.62</v>
      </c>
      <c r="G11" s="180">
        <v>0.64</v>
      </c>
      <c r="H11" s="180">
        <v>0.65</v>
      </c>
      <c r="I11" s="206">
        <v>0.9</v>
      </c>
      <c r="J11" s="206">
        <v>1.1000000000000001</v>
      </c>
      <c r="K11" s="206">
        <v>0.9</v>
      </c>
      <c r="L11" s="206">
        <v>1.1000000000000001</v>
      </c>
      <c r="M11" s="178" t="s">
        <v>266</v>
      </c>
      <c r="N11" s="178">
        <v>4</v>
      </c>
    </row>
    <row r="12" spans="2:14">
      <c r="B12" t="str">
        <f>IF(IF(OR(LEFT(C12,27)=SUP_Biofuels!$N$8,LEFT(C12,20)=SUP_Biofuels!$O$8,LEFT(C12,20)=SUP_Biofuels!$P$8),LEFT(C12,20),C12)="Specific investment ","Specific investment (M€ /MW",IF(OR(LEFT(C12,27)=SUP_Biofuels!$N$8,LEFT(C12,20)=SUP_Biofuels!$O$8,LEFT(C12,20)=SUP_Biofuels!$P$8),LEFT(C12,20),C12))</f>
        <v>Steam, Output, MWh/MWh Total Input</v>
      </c>
      <c r="C12" s="162" t="s">
        <v>1149</v>
      </c>
      <c r="D12" s="162">
        <v>0.23200000000000001</v>
      </c>
      <c r="E12" s="162">
        <v>0.23200000000000001</v>
      </c>
      <c r="F12" s="162">
        <v>0.23200000000000001</v>
      </c>
      <c r="G12" s="162">
        <v>0.23200000000000001</v>
      </c>
      <c r="H12" s="162">
        <v>0.23200000000000001</v>
      </c>
      <c r="I12" s="205">
        <v>0.9</v>
      </c>
      <c r="J12" s="205">
        <v>1.1000000000000001</v>
      </c>
      <c r="K12" s="205">
        <v>0.9</v>
      </c>
      <c r="L12" s="205">
        <v>1.1000000000000001</v>
      </c>
      <c r="M12" s="161" t="s">
        <v>266</v>
      </c>
      <c r="N12" s="161">
        <v>4</v>
      </c>
    </row>
    <row r="13" spans="2:14">
      <c r="B13" t="str">
        <f>IF(IF(OR(LEFT(C13,27)=SUP_Biofuels!$N$8,LEFT(C13,20)=SUP_Biofuels!$O$8,LEFT(C13,20)=SUP_Biofuels!$P$8),LEFT(C13,20),C13)="Specific investment ","Specific investment (M€ /MW",IF(OR(LEFT(C13,27)=SUP_Biofuels!$N$8,LEFT(C13,20)=SUP_Biofuels!$O$8,LEFT(C13,20)=SUP_Biofuels!$P$8),LEFT(C13,20),C13))</f>
        <v>Power, Output, MWh/MWh Total Input</v>
      </c>
      <c r="C13" s="190" t="s">
        <v>1148</v>
      </c>
      <c r="D13" s="190">
        <v>1.6E-2</v>
      </c>
      <c r="E13" s="190">
        <v>1.6E-2</v>
      </c>
      <c r="F13" s="190">
        <v>1.6E-2</v>
      </c>
      <c r="G13" s="190">
        <v>1.6E-2</v>
      </c>
      <c r="H13" s="190">
        <v>1.6E-2</v>
      </c>
      <c r="I13" s="190">
        <v>0.9</v>
      </c>
      <c r="J13" s="190">
        <v>1.1000000000000001</v>
      </c>
      <c r="K13" s="190">
        <v>0.9</v>
      </c>
      <c r="L13" s="190">
        <v>1.1000000000000001</v>
      </c>
      <c r="M13" s="188" t="s">
        <v>266</v>
      </c>
      <c r="N13" s="188">
        <v>4</v>
      </c>
    </row>
    <row r="14" spans="2:14">
      <c r="B14">
        <f>IF(IF(OR(LEFT(C14,27)=SUP_Biofuels!$N$8,LEFT(C14,20)=SUP_Biofuels!$O$8,LEFT(C14,20)=SUP_Biofuels!$P$8),LEFT(C14,20),C14)="Specific investment ","Specific investment (M€ /MW",IF(OR(LEFT(C14,27)=SUP_Biofuels!$N$8,LEFT(C14,20)=SUP_Biofuels!$O$8,LEFT(C14,20)=SUP_Biofuels!$P$8),LEFT(C14,20),C14))</f>
        <v>0</v>
      </c>
      <c r="C14" s="207"/>
      <c r="D14" s="185"/>
      <c r="E14" s="185"/>
      <c r="F14" s="185"/>
      <c r="G14" s="185"/>
      <c r="H14" s="185"/>
      <c r="I14" s="213"/>
      <c r="J14" s="213"/>
      <c r="K14" s="213"/>
      <c r="L14" s="213"/>
      <c r="M14" s="183"/>
      <c r="N14" s="225"/>
    </row>
    <row r="15" spans="2:14">
      <c r="B15" t="str">
        <f>IF(IF(OR(LEFT(C15,27)=SUP_Biofuels!$N$8,LEFT(C15,20)=SUP_Biofuels!$O$8,LEFT(C15,20)=SUP_Biofuels!$P$8),LEFT(C15,20),C15)="Specific investment ","Specific investment (M€ /MW",IF(OR(LEFT(C15,27)=SUP_Biofuels!$N$8,LEFT(C15,20)=SUP_Biofuels!$O$8,LEFT(C15,20)=SUP_Biofuels!$P$8),LEFT(C15,20),C15))</f>
        <v>Forced outage (%)</v>
      </c>
      <c r="C15" s="180" t="s">
        <v>59</v>
      </c>
      <c r="D15" s="180" t="s">
        <v>1136</v>
      </c>
      <c r="E15" s="180">
        <v>4</v>
      </c>
      <c r="F15" s="180">
        <v>0</v>
      </c>
      <c r="G15" s="180">
        <v>0</v>
      </c>
      <c r="H15" s="180">
        <v>0</v>
      </c>
      <c r="I15" s="180"/>
      <c r="J15" s="180"/>
      <c r="K15" s="180"/>
      <c r="L15" s="180"/>
      <c r="M15" s="178"/>
      <c r="N15" s="178"/>
    </row>
    <row r="16" spans="2:14">
      <c r="B16" t="str">
        <f>IF(IF(OR(LEFT(C16,27)=SUP_Biofuels!$N$8,LEFT(C16,20)=SUP_Biofuels!$O$8,LEFT(C16,20)=SUP_Biofuels!$P$8),LEFT(C16,20),C16)="Specific investment ","Specific investment (M€ /MW",IF(OR(LEFT(C16,27)=SUP_Biofuels!$N$8,LEFT(C16,20)=SUP_Biofuels!$O$8,LEFT(C16,20)=SUP_Biofuels!$P$8),LEFT(C16,20),C16))</f>
        <v>Planned outage (weeks per year)</v>
      </c>
      <c r="C16" s="162" t="s">
        <v>92</v>
      </c>
      <c r="D16" s="162">
        <v>4</v>
      </c>
      <c r="E16" s="162">
        <v>4</v>
      </c>
      <c r="F16" s="162">
        <v>4</v>
      </c>
      <c r="G16" s="162">
        <v>4</v>
      </c>
      <c r="H16" s="162">
        <v>4</v>
      </c>
      <c r="I16" s="162"/>
      <c r="J16" s="162"/>
      <c r="K16" s="162"/>
      <c r="L16" s="162"/>
      <c r="M16" s="161" t="s">
        <v>272</v>
      </c>
      <c r="N16" s="161">
        <v>8</v>
      </c>
    </row>
    <row r="17" spans="2:14">
      <c r="B17" t="str">
        <f>IF(IF(OR(LEFT(C17,27)=SUP_Biofuels!$N$8,LEFT(C17,20)=SUP_Biofuels!$O$8,LEFT(C17,20)=SUP_Biofuels!$P$8),LEFT(C17,20),C17)="Specific investment ","Specific investment (M€ /MW",IF(OR(LEFT(C17,27)=SUP_Biofuels!$N$8,LEFT(C17,20)=SUP_Biofuels!$O$8,LEFT(C17,20)=SUP_Biofuels!$P$8),LEFT(C17,20),C17))</f>
        <v>Technical lifetime (years)</v>
      </c>
      <c r="C17" s="162" t="s">
        <v>58</v>
      </c>
      <c r="D17" s="162">
        <v>25</v>
      </c>
      <c r="E17" s="162">
        <v>25</v>
      </c>
      <c r="F17" s="162">
        <v>25</v>
      </c>
      <c r="G17" s="162">
        <v>25</v>
      </c>
      <c r="H17" s="162">
        <v>25</v>
      </c>
      <c r="I17" s="162"/>
      <c r="J17" s="162"/>
      <c r="K17" s="162"/>
      <c r="L17" s="162"/>
      <c r="M17" s="161"/>
      <c r="N17" s="161"/>
    </row>
    <row r="18" spans="2:14">
      <c r="B18" t="str">
        <f>IF(IF(OR(LEFT(C18,27)=SUP_Biofuels!$N$8,LEFT(C18,20)=SUP_Biofuels!$O$8,LEFT(C18,20)=SUP_Biofuels!$P$8),LEFT(C18,20),C18)="Specific investment ","Specific investment (M€ /MW",IF(OR(LEFT(C18,27)=SUP_Biofuels!$N$8,LEFT(C18,20)=SUP_Biofuels!$O$8,LEFT(C18,20)=SUP_Biofuels!$P$8),LEFT(C18,20),C18))</f>
        <v>Construction time (years)</v>
      </c>
      <c r="C18" s="190" t="s">
        <v>60</v>
      </c>
      <c r="D18" s="190">
        <v>2</v>
      </c>
      <c r="E18" s="190">
        <v>2</v>
      </c>
      <c r="F18" s="190">
        <v>2</v>
      </c>
      <c r="G18" s="190">
        <v>2</v>
      </c>
      <c r="H18" s="190">
        <v>2</v>
      </c>
      <c r="I18" s="190"/>
      <c r="J18" s="190"/>
      <c r="K18" s="190"/>
      <c r="L18" s="190"/>
      <c r="M18" s="188"/>
      <c r="N18" s="188"/>
    </row>
    <row r="19" spans="2:14">
      <c r="B19" t="str">
        <f>IF(IF(OR(LEFT(C19,27)=SUP_Biofuels!$N$8,LEFT(C19,20)=SUP_Biofuels!$O$8,LEFT(C19,20)=SUP_Biofuels!$P$8),LEFT(C19,20),C19)="Specific investment ","Specific investment (M€ /MW",IF(OR(LEFT(C19,27)=SUP_Biofuels!$N$8,LEFT(C19,20)=SUP_Biofuels!$O$8,LEFT(C19,20)=SUP_Biofuels!$P$8),LEFT(C19,20),C19))</f>
        <v xml:space="preserve">Financial data                                 </v>
      </c>
      <c r="C19" s="186" t="s">
        <v>264</v>
      </c>
      <c r="D19" s="934"/>
      <c r="E19" s="934"/>
      <c r="F19" s="934"/>
      <c r="G19" s="934"/>
      <c r="H19" s="934"/>
      <c r="I19" s="185"/>
      <c r="J19" s="185"/>
      <c r="K19" s="185"/>
      <c r="L19" s="185"/>
      <c r="M19" s="183"/>
      <c r="N19" s="225"/>
    </row>
    <row r="20" spans="2:14">
      <c r="B20" t="str">
        <f>IF(IF(OR(LEFT(C20,27)=SUP_Biofuels!$N$8,LEFT(C20,20)=SUP_Biofuels!$O$8,LEFT(C20,20)=SUP_Biofuels!$P$8),LEFT(C20,20),C20)="Specific investment ","Specific investment (M€ /MW",IF(OR(LEFT(C20,27)=SUP_Biofuels!$N$8,LEFT(C20,20)=SUP_Biofuels!$O$8,LEFT(C20,20)=SUP_Biofuels!$P$8),LEFT(C20,20),C20))</f>
        <v>Specific investment (M€ /MW</v>
      </c>
      <c r="C20" s="274" t="s">
        <v>1147</v>
      </c>
      <c r="D20" s="933">
        <v>2.4</v>
      </c>
      <c r="E20" s="933">
        <v>1.92</v>
      </c>
      <c r="F20" s="933">
        <v>1.1428571428571428</v>
      </c>
      <c r="G20" s="933">
        <v>0.84905660377358494</v>
      </c>
      <c r="H20" s="933">
        <v>0.69230769230769229</v>
      </c>
      <c r="I20" s="180">
        <v>0.75</v>
      </c>
      <c r="J20" s="180">
        <v>1.25</v>
      </c>
      <c r="K20" s="180">
        <v>0.75</v>
      </c>
      <c r="L20" s="180">
        <v>1.25</v>
      </c>
      <c r="M20" s="178" t="s">
        <v>1142</v>
      </c>
      <c r="N20" s="178" t="s">
        <v>1141</v>
      </c>
    </row>
    <row r="21" spans="2:14">
      <c r="B21" t="str">
        <f>IF(IF(OR(LEFT(C21,27)=SUP_Biofuels!$N$8,LEFT(C21,20)=SUP_Biofuels!$O$8,LEFT(C21,20)=SUP_Biofuels!$P$8),LEFT(C21,20),C21)="Specific investment ","Specific investment (M€ /MW",IF(OR(LEFT(C21,27)=SUP_Biofuels!$N$8,LEFT(C21,20)=SUP_Biofuels!$O$8,LEFT(C21,20)=SUP_Biofuels!$P$8),LEFT(C21,20),C21))</f>
        <v xml:space="preserve"> - equipment (%)</v>
      </c>
      <c r="C21" s="162" t="s">
        <v>394</v>
      </c>
      <c r="D21" s="197">
        <v>75</v>
      </c>
      <c r="E21" s="197">
        <v>75</v>
      </c>
      <c r="F21" s="197">
        <v>75</v>
      </c>
      <c r="G21" s="197">
        <v>75</v>
      </c>
      <c r="H21" s="197">
        <v>75</v>
      </c>
      <c r="I21" s="167"/>
      <c r="J21" s="167"/>
      <c r="K21" s="167"/>
      <c r="L21" s="167"/>
      <c r="M21" s="161"/>
      <c r="N21" s="161"/>
    </row>
    <row r="22" spans="2:14">
      <c r="B22" t="str">
        <f>IF(IF(OR(LEFT(C22,27)=SUP_Biofuels!$N$8,LEFT(C22,20)=SUP_Biofuels!$O$8,LEFT(C22,20)=SUP_Biofuels!$P$8),LEFT(C22,20),C22)="Specific investment ","Specific investment (M€ /MW",IF(OR(LEFT(C22,27)=SUP_Biofuels!$N$8,LEFT(C22,20)=SUP_Biofuels!$O$8,LEFT(C22,20)=SUP_Biofuels!$P$8),LEFT(C22,20),C22))</f>
        <v xml:space="preserve"> -installation (%)</v>
      </c>
      <c r="C22" s="162" t="s">
        <v>251</v>
      </c>
      <c r="D22" s="162">
        <v>25</v>
      </c>
      <c r="E22" s="162">
        <v>25</v>
      </c>
      <c r="F22" s="162">
        <v>25</v>
      </c>
      <c r="G22" s="162">
        <v>25</v>
      </c>
      <c r="H22" s="162">
        <v>25</v>
      </c>
      <c r="I22" s="162"/>
      <c r="J22" s="162"/>
      <c r="K22" s="162"/>
      <c r="L22" s="162"/>
      <c r="M22" s="161"/>
      <c r="N22" s="161"/>
    </row>
    <row r="23" spans="2:14">
      <c r="B23" t="str">
        <f>LEFT(C23,17)</f>
        <v>Fixed O&amp;M (M€ /MW</v>
      </c>
      <c r="C23" s="162" t="s">
        <v>1146</v>
      </c>
      <c r="D23" s="163">
        <v>7.1999999999999995E-2</v>
      </c>
      <c r="E23" s="162">
        <v>7.1999999999999995E-2</v>
      </c>
      <c r="F23" s="168">
        <v>6.8571428571428561E-2</v>
      </c>
      <c r="G23" s="168">
        <v>6.7924528301886791E-2</v>
      </c>
      <c r="H23" s="168">
        <v>6.9230769230769235E-2</v>
      </c>
      <c r="I23" s="162">
        <v>0.75</v>
      </c>
      <c r="J23" s="162">
        <v>1.25</v>
      </c>
      <c r="K23" s="162">
        <v>0.75</v>
      </c>
      <c r="L23" s="162">
        <v>1.25</v>
      </c>
      <c r="M23" s="161" t="s">
        <v>1138</v>
      </c>
      <c r="N23" s="161">
        <v>6</v>
      </c>
    </row>
    <row r="24" spans="2:14">
      <c r="B24" t="str">
        <f>LEFT(C24,19)</f>
        <v>Variable O&amp;M (€ /MW</v>
      </c>
      <c r="C24" s="162" t="s">
        <v>1145</v>
      </c>
      <c r="D24" s="197">
        <v>2.7</v>
      </c>
      <c r="E24" s="197">
        <v>2.7</v>
      </c>
      <c r="F24" s="197">
        <v>2.7</v>
      </c>
      <c r="G24" s="197">
        <v>2.7</v>
      </c>
      <c r="H24" s="197">
        <v>2.7</v>
      </c>
      <c r="I24" s="167">
        <v>0.75</v>
      </c>
      <c r="J24" s="167">
        <v>1.25</v>
      </c>
      <c r="K24" s="167">
        <v>0.75</v>
      </c>
      <c r="L24" s="167">
        <v>1.25</v>
      </c>
      <c r="M24" s="161" t="s">
        <v>1138</v>
      </c>
      <c r="N24" s="161">
        <v>6</v>
      </c>
    </row>
    <row r="25" spans="2:14">
      <c r="B25" t="str">
        <f>IF(IF(OR(LEFT(C25,27)=SUP_Biofuels!$N$8,LEFT(C25,20)=SUP_Biofuels!$O$8,LEFT(C25,20)=SUP_Biofuels!$P$8),LEFT(C25,20),C25)="Specific investment ","Specific investment (M€ /MW",IF(OR(LEFT(C25,27)=SUP_Biofuels!$N$8,LEFT(C25,20)=SUP_Biofuels!$O$8,LEFT(C25,20)=SUP_Biofuels!$P$8),LEFT(C25,20),C25))</f>
        <v>Start up  (M€ /1,000 t Bio Oil)</v>
      </c>
      <c r="C25" s="190" t="s">
        <v>1137</v>
      </c>
      <c r="D25" s="932" t="s">
        <v>1136</v>
      </c>
      <c r="E25" s="932">
        <v>0</v>
      </c>
      <c r="F25" s="932">
        <v>0</v>
      </c>
      <c r="G25" s="932"/>
      <c r="H25" s="932">
        <v>0</v>
      </c>
      <c r="I25" s="208"/>
      <c r="J25" s="208"/>
      <c r="K25" s="208"/>
      <c r="L25" s="208"/>
      <c r="M25" s="188"/>
      <c r="N25" s="188"/>
    </row>
    <row r="26" spans="2:14">
      <c r="B26" t="str">
        <f>IF(IF(OR(LEFT(C26,27)=SUP_Biofuels!$N$8,LEFT(C26,20)=SUP_Biofuels!$O$8,LEFT(C26,20)=SUP_Biofuels!$P$8),LEFT(C26,20),C26)="Specific investment ","Specific investment (M€ /MW",IF(OR(LEFT(C26,27)=SUP_Biofuels!$N$8,LEFT(C26,20)=SUP_Biofuels!$O$8,LEFT(C26,20)=SUP_Biofuels!$P$8),LEFT(C26,20),C26))</f>
        <v xml:space="preserve">Technology specific data                                 </v>
      </c>
      <c r="C26" s="186" t="s">
        <v>260</v>
      </c>
      <c r="D26" s="185"/>
      <c r="E26" s="185"/>
      <c r="F26" s="185"/>
      <c r="G26" s="185"/>
      <c r="H26" s="185"/>
      <c r="I26" s="213"/>
      <c r="J26" s="213"/>
      <c r="K26" s="213"/>
      <c r="L26" s="213"/>
      <c r="M26" s="183"/>
      <c r="N26" s="225"/>
    </row>
    <row r="27" spans="2:14">
      <c r="B27" t="str">
        <f>IF(IF(OR(LEFT(C27,27)=SUP_Biofuels!$N$8,LEFT(C27,20)=SUP_Biofuels!$O$8,LEFT(C27,20)=SUP_Biofuels!$P$8),LEFT(C27,20),C27)="Specific investment ","Specific investment (M€ /MW",IF(OR(LEFT(C27,27)=SUP_Biofuels!$N$8,LEFT(C27,20)=SUP_Biofuels!$O$8,LEFT(C27,20)=SUP_Biofuels!$P$8),LEFT(C27,20),C27))</f>
        <v>Specific energy content (GJ/ton) bio-oil)</v>
      </c>
      <c r="C27" s="180" t="s">
        <v>1144</v>
      </c>
      <c r="D27" s="180">
        <v>16</v>
      </c>
      <c r="E27" s="180">
        <v>16</v>
      </c>
      <c r="F27" s="180">
        <v>16</v>
      </c>
      <c r="G27" s="180">
        <v>16</v>
      </c>
      <c r="H27" s="180">
        <v>16</v>
      </c>
      <c r="I27" s="180"/>
      <c r="J27" s="180"/>
      <c r="K27" s="180"/>
      <c r="L27" s="180"/>
      <c r="M27" s="178"/>
      <c r="N27" s="178"/>
    </row>
    <row r="28" spans="2:14">
      <c r="B28" t="str">
        <f>IF(IF(OR(LEFT(C28,27)=SUP_Biofuels!$N$8,LEFT(C28,20)=SUP_Biofuels!$O$8,LEFT(C28,20)=SUP_Biofuels!$P$8),LEFT(C28,20),C28)="Specific investment ","Specific investment (M€ /MW",IF(OR(LEFT(C28,27)=SUP_Biofuels!$N$8,LEFT(C28,20)=SUP_Biofuels!$O$8,LEFT(C28,20)=SUP_Biofuels!$P$8),LEFT(C28,20),C28))</f>
        <v>Specific density  (kg/l) or (ton/m3)</v>
      </c>
      <c r="C28" s="162" t="s">
        <v>257</v>
      </c>
      <c r="D28" s="162">
        <v>1.2</v>
      </c>
      <c r="E28" s="162">
        <v>1.2</v>
      </c>
      <c r="F28" s="162">
        <v>1.2</v>
      </c>
      <c r="G28" s="162">
        <v>1.2</v>
      </c>
      <c r="H28" s="162">
        <v>1.2</v>
      </c>
      <c r="I28" s="162"/>
      <c r="J28" s="162"/>
      <c r="K28" s="162"/>
      <c r="L28" s="162"/>
      <c r="M28" s="162"/>
      <c r="N28" s="162"/>
    </row>
    <row r="29" spans="2:14">
      <c r="B29" t="str">
        <f>IF(IF(OR(LEFT(C29,27)=SUP_Biofuels!$N$8,LEFT(C29,20)=SUP_Biofuels!$O$8,LEFT(C29,20)=SUP_Biofuels!$P$8),LEFT(C29,20),C29)="Specific investment ","Specific investment (M€ /MW",IF(OR(LEFT(C29,27)=SUP_Biofuels!$N$8,LEFT(C29,20)=SUP_Biofuels!$O$8,LEFT(C29,20)=SUP_Biofuels!$P$8),LEFT(C29,20),C29))</f>
        <v>Specific investment (M€ /1,000 t Bio Oil)</v>
      </c>
      <c r="C29" s="162" t="s">
        <v>1143</v>
      </c>
      <c r="D29" s="162">
        <v>1.2</v>
      </c>
      <c r="E29" s="162">
        <v>0.96</v>
      </c>
      <c r="F29" s="162">
        <v>0.6</v>
      </c>
      <c r="G29" s="162">
        <v>0.45</v>
      </c>
      <c r="H29" s="162">
        <v>0.36</v>
      </c>
      <c r="I29" s="162">
        <v>0.75</v>
      </c>
      <c r="J29" s="162">
        <v>1.25</v>
      </c>
      <c r="K29" s="162">
        <v>0.75</v>
      </c>
      <c r="L29" s="162">
        <v>1.25</v>
      </c>
      <c r="M29" s="162" t="s">
        <v>1142</v>
      </c>
      <c r="N29" s="162" t="s">
        <v>1141</v>
      </c>
    </row>
    <row r="30" spans="2:14">
      <c r="B30" t="str">
        <f>IF(IF(OR(LEFT(C30,27)=SUP_Biofuels!$N$8,LEFT(C30,20)=SUP_Biofuels!$O$8,LEFT(C30,20)=SUP_Biofuels!$P$8),LEFT(C30,20),C30)="Specific investment ","Specific investment (M€ /MW",IF(OR(LEFT(C30,27)=SUP_Biofuels!$N$8,LEFT(C30,20)=SUP_Biofuels!$O$8,LEFT(C30,20)=SUP_Biofuels!$P$8),LEFT(C30,20),C30))</f>
        <v xml:space="preserve"> - equipment (%)</v>
      </c>
      <c r="C30" s="162" t="s">
        <v>394</v>
      </c>
      <c r="D30" s="197">
        <v>75</v>
      </c>
      <c r="E30" s="197">
        <v>75</v>
      </c>
      <c r="F30" s="197">
        <v>75</v>
      </c>
      <c r="G30" s="197">
        <v>75</v>
      </c>
      <c r="H30" s="197">
        <v>75</v>
      </c>
      <c r="I30" s="167"/>
      <c r="J30" s="167"/>
      <c r="K30" s="167"/>
      <c r="L30" s="167"/>
      <c r="M30" s="161"/>
      <c r="N30" s="161"/>
    </row>
    <row r="31" spans="2:14">
      <c r="B31" t="str">
        <f>IF(IF(OR(LEFT(C31,27)=SUP_Biofuels!$N$8,LEFT(C31,20)=SUP_Biofuels!$O$8,LEFT(C31,20)=SUP_Biofuels!$P$8),LEFT(C31,20),C31)="Specific investment ","Specific investment (M€ /MW",IF(OR(LEFT(C31,27)=SUP_Biofuels!$N$8,LEFT(C31,20)=SUP_Biofuels!$O$8,LEFT(C31,20)=SUP_Biofuels!$P$8),LEFT(C31,20),C31))</f>
        <v xml:space="preserve"> -installation (%)</v>
      </c>
      <c r="C31" s="162" t="s">
        <v>251</v>
      </c>
      <c r="D31" s="162">
        <v>25</v>
      </c>
      <c r="E31" s="162">
        <v>25</v>
      </c>
      <c r="F31" s="162">
        <v>25</v>
      </c>
      <c r="G31" s="162">
        <v>25</v>
      </c>
      <c r="H31" s="162">
        <v>25</v>
      </c>
      <c r="I31" s="162"/>
      <c r="J31" s="162"/>
      <c r="K31" s="162"/>
      <c r="L31" s="162"/>
      <c r="M31" s="161"/>
      <c r="N31" s="161"/>
    </row>
    <row r="32" spans="2:14">
      <c r="B32" t="str">
        <f>IF(IF(OR(LEFT(C32,27)=SUP_Biofuels!$N$8,LEFT(C32,20)=SUP_Biofuels!$O$8,LEFT(C32,20)=SUP_Biofuels!$P$8),LEFT(C32,20),C32)="Specific investment ","Specific investment (M€ /MW",IF(OR(LEFT(C32,27)=SUP_Biofuels!$N$8,LEFT(C32,20)=SUP_Biofuels!$O$8,LEFT(C32,20)=SUP_Biofuels!$P$8),LEFT(C32,20),C32))</f>
        <v>Fixed O&amp;M (M€ /1,000 t Bio Oil)</v>
      </c>
      <c r="C32" s="162" t="s">
        <v>1140</v>
      </c>
      <c r="D32" s="163">
        <v>3.5999999999999997E-2</v>
      </c>
      <c r="E32" s="162">
        <v>3.5999999999999997E-2</v>
      </c>
      <c r="F32" s="162">
        <v>3.5999999999999997E-2</v>
      </c>
      <c r="G32" s="162">
        <v>3.5999999999999997E-2</v>
      </c>
      <c r="H32" s="162">
        <v>3.5999999999999997E-2</v>
      </c>
      <c r="I32" s="162">
        <v>0.75</v>
      </c>
      <c r="J32" s="162">
        <v>1.25</v>
      </c>
      <c r="K32" s="162">
        <v>0.75</v>
      </c>
      <c r="L32" s="162">
        <v>1.25</v>
      </c>
      <c r="M32" s="161" t="s">
        <v>1138</v>
      </c>
      <c r="N32" s="161">
        <v>6</v>
      </c>
    </row>
    <row r="33" spans="2:14">
      <c r="B33" t="str">
        <f>IF(IF(OR(LEFT(C33,27)=SUP_Biofuels!$N$8,LEFT(C33,20)=SUP_Biofuels!$O$8,LEFT(C33,20)=SUP_Biofuels!$P$8),LEFT(C33,20),C33)="Specific investment ","Specific investment (M€ /MW",IF(OR(LEFT(C33,27)=SUP_Biofuels!$N$8,LEFT(C33,20)=SUP_Biofuels!$O$8,LEFT(C33,20)=SUP_Biofuels!$P$8),LEFT(C33,20),C33))</f>
        <v>Variable O&amp;M (M€ /1,000 t Bio Oil)</v>
      </c>
      <c r="C33" s="162" t="s">
        <v>1139</v>
      </c>
      <c r="D33" s="168">
        <v>1.2E-2</v>
      </c>
      <c r="E33" s="168">
        <v>1.2E-2</v>
      </c>
      <c r="F33" s="168">
        <v>1.2E-2</v>
      </c>
      <c r="G33" s="168">
        <v>1.2E-2</v>
      </c>
      <c r="H33" s="168">
        <v>1.2E-2</v>
      </c>
      <c r="I33" s="162">
        <v>0.75</v>
      </c>
      <c r="J33" s="167">
        <v>1.25</v>
      </c>
      <c r="K33" s="167">
        <v>0.75</v>
      </c>
      <c r="L33" s="167">
        <v>1.25</v>
      </c>
      <c r="M33" s="161" t="s">
        <v>1138</v>
      </c>
      <c r="N33" s="161">
        <v>6</v>
      </c>
    </row>
    <row r="34" spans="2:14">
      <c r="C34" s="162" t="s">
        <v>1137</v>
      </c>
      <c r="D34" s="168" t="s">
        <v>1136</v>
      </c>
      <c r="E34" s="168">
        <v>0</v>
      </c>
      <c r="F34" s="168">
        <v>0</v>
      </c>
      <c r="G34" s="168">
        <v>0</v>
      </c>
      <c r="H34" s="168">
        <v>0</v>
      </c>
      <c r="I34" s="205"/>
      <c r="J34" s="205"/>
      <c r="K34" s="205"/>
      <c r="L34" s="205"/>
      <c r="M34" s="161"/>
      <c r="N34" s="161"/>
    </row>
    <row r="35" spans="2:14">
      <c r="C35" s="886" t="s">
        <v>695</v>
      </c>
    </row>
    <row r="36" spans="2:14">
      <c r="C36" s="885" t="s">
        <v>1135</v>
      </c>
    </row>
    <row r="37" spans="2:14">
      <c r="C37" s="885" t="s">
        <v>1048</v>
      </c>
    </row>
    <row r="38" spans="2:14">
      <c r="C38" s="885" t="s">
        <v>1134</v>
      </c>
    </row>
    <row r="39" spans="2:14">
      <c r="C39" s="885" t="s">
        <v>1133</v>
      </c>
    </row>
    <row r="40" spans="2:14">
      <c r="C40" s="885" t="s">
        <v>1132</v>
      </c>
    </row>
    <row r="41" spans="2:14">
      <c r="C41" s="885" t="s">
        <v>1131</v>
      </c>
    </row>
    <row r="42" spans="2:14">
      <c r="C42" s="885" t="s">
        <v>1130</v>
      </c>
    </row>
    <row r="43" spans="2:14">
      <c r="C43" s="885" t="s">
        <v>1129</v>
      </c>
    </row>
    <row r="45" spans="2:14">
      <c r="C45" s="886" t="s">
        <v>989</v>
      </c>
    </row>
    <row r="46" spans="2:14">
      <c r="C46" s="885" t="s">
        <v>1128</v>
      </c>
    </row>
    <row r="47" spans="2:14">
      <c r="C47" s="885" t="s">
        <v>1127</v>
      </c>
    </row>
    <row r="48" spans="2:14">
      <c r="C48" s="885" t="s">
        <v>1126</v>
      </c>
    </row>
    <row r="49" spans="3:3">
      <c r="C49" s="885" t="s">
        <v>1125</v>
      </c>
    </row>
    <row r="50" spans="3:3">
      <c r="C50" s="885" t="s">
        <v>1124</v>
      </c>
    </row>
    <row r="51" spans="3:3">
      <c r="C51" s="885" t="s">
        <v>1123</v>
      </c>
    </row>
    <row r="52" spans="3:3">
      <c r="C52" s="885" t="s">
        <v>1122</v>
      </c>
    </row>
    <row r="53" spans="3:3">
      <c r="C53" s="885" t="s">
        <v>1121</v>
      </c>
    </row>
    <row r="54" spans="3:3">
      <c r="C54" s="885" t="s">
        <v>1120</v>
      </c>
    </row>
    <row r="55" spans="3:3">
      <c r="C55" s="885" t="s">
        <v>1119</v>
      </c>
    </row>
    <row r="56" spans="3:3">
      <c r="C56" s="885" t="s">
        <v>1118</v>
      </c>
    </row>
    <row r="57" spans="3:3">
      <c r="C57" s="885" t="s">
        <v>1117</v>
      </c>
    </row>
  </sheetData>
  <mergeCells count="2">
    <mergeCell ref="I3:J3"/>
    <mergeCell ref="K3:L3"/>
  </mergeCells>
  <hyperlinks>
    <hyperlink ref="C46" r:id="rId1" display="http://www.gastechnology.org/tcbiomass/tcb2015/Muggen_Gerhard-Presentation-tcbiomass2015.pdf" xr:uid="{90EFD37A-F461-4600-B2A1-432BE508079D}"/>
    <hyperlink ref="C47" r:id="rId2" display="https://www.btg-btl.com/en/company/projects/empyro" xr:uid="{262ACEEF-0074-42D3-86D7-B5934686958B}"/>
    <hyperlink ref="C48" r:id="rId3" display="https://ec.europa.eu/energy/sites/ener/files/documents/32_dharmesh_mahajan-honeywell.pdf" xr:uid="{42061C61-E54D-45EF-B7FD-1DA90F73D972}"/>
    <hyperlink ref="C49" r:id="rId4" display="https://doi.org/10.1016/S0146-6380(99)00120-5" xr:uid="{DE02366C-2069-42DE-82CD-517374FFEE51}"/>
    <hyperlink ref="C50" r:id="rId5" display="https://www.btg-btl.com/nieuwsbrieven/2017/november/en" xr:uid="{EDD90B26-72D6-4733-A9AF-9A491E2303B1}"/>
    <hyperlink ref="C51" r:id="rId6" display="https://www.nrel.gov/docs/fy11osti/46586.pdf" xr:uid="{C4CB023E-050D-4A16-9FC8-B6FB1E224EE4}"/>
    <hyperlink ref="C52" r:id="rId7" display="http://dx.doi.org/10.1080/17597269.2015.1118780" xr:uid="{3977A656-6F41-4B0E-9E21-7696056ECC93}"/>
    <hyperlink ref="C53" r:id="rId8" display="https://doi.org/10.1016/j.fuel.2014.11.078" xr:uid="{69B606E5-1C90-4821-92B4-BDB0C723B6DC}"/>
    <hyperlink ref="C54" r:id="rId9" display="http://www.besustainablemagazine.com/cms2/empyro-bv-breaks-ground-of-its-biomass-to-liquid-pyrolysis-plant/" xr:uid="{D9D9BF9D-95CE-4733-B5D2-4ED830D2EC44}"/>
    <hyperlink ref="C55" r:id="rId10" display="https://www.energy.gov/sites/prod/files/2016/10/f33/Graham_0.pdf" xr:uid="{67DB6F21-0CE7-4B42-8FBD-4351508500BB}"/>
    <hyperlink ref="C56" r:id="rId11" display="https://www.btg-btl.com/en/applications/oilproperties" xr:uid="{77B7C086-BE52-43F4-AC70-BEE27934A768}"/>
    <hyperlink ref="C57" r:id="rId12" display="http://www.etc-cte.ec.gc.ca/databases/oilproperties/pdf/web_bunker_c_fuel_oil.pdf" xr:uid="{FC512824-1717-4AD5-B19C-707B137877EC}"/>
    <hyperlink ref="I1" location="Index" display="Back to Index" xr:uid="{D67BE2AF-DCA7-42CF-BDC5-05DEA97F0795}"/>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35C13-F347-4AF8-98A9-49F49600C90C}">
  <sheetPr>
    <tabColor theme="4" tint="0.39997558519241921"/>
  </sheetPr>
  <dimension ref="B1:N61"/>
  <sheetViews>
    <sheetView workbookViewId="0">
      <selection activeCell="A40" sqref="A40:XFD40"/>
    </sheetView>
  </sheetViews>
  <sheetFormatPr defaultColWidth="9.109375" defaultRowHeight="14.4"/>
  <cols>
    <col min="2" max="2" width="44.6640625" bestFit="1" customWidth="1"/>
    <col min="3" max="3" width="24.33203125" customWidth="1"/>
    <col min="4" max="13" width="7.44140625" customWidth="1"/>
  </cols>
  <sheetData>
    <row r="1" spans="2:14">
      <c r="I1" s="884" t="s">
        <v>966</v>
      </c>
    </row>
    <row r="2" spans="2:14" ht="15" customHeight="1">
      <c r="C2" s="260" t="s">
        <v>296</v>
      </c>
      <c r="D2" s="260" t="s">
        <v>1178</v>
      </c>
      <c r="E2" s="260"/>
      <c r="F2" s="260"/>
      <c r="G2" s="260"/>
      <c r="H2" s="260"/>
      <c r="I2" s="260"/>
      <c r="J2" s="260"/>
      <c r="K2" s="260"/>
      <c r="L2" s="260"/>
      <c r="M2" s="260"/>
      <c r="N2" s="260"/>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tonnes/year</v>
      </c>
      <c r="C6" s="180" t="s">
        <v>1177</v>
      </c>
      <c r="D6" s="180">
        <v>60</v>
      </c>
      <c r="E6" s="180">
        <v>60</v>
      </c>
      <c r="F6" s="180">
        <v>150</v>
      </c>
      <c r="G6" s="180">
        <v>175</v>
      </c>
      <c r="H6" s="180">
        <v>200</v>
      </c>
      <c r="I6" s="179">
        <v>0.5</v>
      </c>
      <c r="J6" s="179">
        <v>1.5</v>
      </c>
      <c r="K6" s="179">
        <v>0.5</v>
      </c>
      <c r="L6" s="179">
        <v>1.5</v>
      </c>
      <c r="M6" s="178" t="s">
        <v>280</v>
      </c>
      <c r="N6" s="178">
        <v>9</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278</v>
      </c>
      <c r="D7" s="190">
        <v>55</v>
      </c>
      <c r="E7" s="190">
        <v>55</v>
      </c>
      <c r="F7" s="190">
        <v>130</v>
      </c>
      <c r="G7" s="190">
        <v>155</v>
      </c>
      <c r="H7" s="190">
        <v>180</v>
      </c>
      <c r="I7" s="189">
        <v>0.5</v>
      </c>
      <c r="J7" s="189">
        <v>1.5</v>
      </c>
      <c r="K7" s="189">
        <v>0.5</v>
      </c>
      <c r="L7" s="189">
        <v>1.5</v>
      </c>
      <c r="M7" s="188" t="s">
        <v>277</v>
      </c>
      <c r="N7" s="188">
        <v>9</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268" t="s">
        <v>112</v>
      </c>
      <c r="D9" s="940">
        <v>1</v>
      </c>
      <c r="E9" s="940">
        <v>1</v>
      </c>
      <c r="F9" s="940">
        <v>1</v>
      </c>
      <c r="G9" s="940">
        <v>1</v>
      </c>
      <c r="H9" s="940">
        <v>1</v>
      </c>
      <c r="I9" s="939">
        <v>0.9</v>
      </c>
      <c r="J9" s="939">
        <v>1.5</v>
      </c>
      <c r="K9" s="939">
        <v>0.9</v>
      </c>
      <c r="L9" s="939">
        <v>1.5</v>
      </c>
      <c r="M9" s="270" t="s">
        <v>272</v>
      </c>
      <c r="N9" s="270">
        <v>1</v>
      </c>
    </row>
    <row r="10" spans="2:14">
      <c r="B10" t="str">
        <f>IF(IF(OR(LEFT(C10,27)=SUP_Biofuels!$N$8,LEFT(C10,20)=SUP_Biofuels!$O$8,LEFT(C10,20)=SUP_Biofuels!$P$8),LEFT(C10,20),C10)="Specific investment ","Specific investment (M€ /MW",IF(OR(LEFT(C10,27)=SUP_Biofuels!$N$8,LEFT(C10,20)=SUP_Biofuels!$O$8,LEFT(C10,20)=SUP_Biofuels!$P$8),LEFT(C10,20),C10))</f>
        <v>Outputs</v>
      </c>
      <c r="C10" s="186" t="s">
        <v>271</v>
      </c>
      <c r="D10" s="185"/>
      <c r="E10" s="185"/>
      <c r="F10" s="185"/>
      <c r="G10" s="185"/>
      <c r="H10" s="185"/>
      <c r="I10" s="213"/>
      <c r="J10" s="213"/>
      <c r="K10" s="213"/>
      <c r="L10" s="213"/>
      <c r="M10" s="183"/>
      <c r="N10" s="225"/>
    </row>
    <row r="11" spans="2:14">
      <c r="B11" t="str">
        <f>IF(IF(OR(LEFT(C11,27)=SUP_Biofuels!$N$8,LEFT(C11,20)=SUP_Biofuels!$O$8,LEFT(C11,20)=SUP_Biofuels!$P$8),LEFT(C11,20),C11)="Specific investment ","Specific investment (M€ /MW",IF(OR(LEFT(C11,27)=SUP_Biofuels!$N$8,LEFT(C11,20)=SUP_Biofuels!$O$8,LEFT(C11,20)=SUP_Biofuels!$P$8),LEFT(C11,20),C11))</f>
        <v>Ethanol Output, MWh/MWh Total Input</v>
      </c>
      <c r="C11" s="180" t="s">
        <v>113</v>
      </c>
      <c r="D11" s="180">
        <v>0.28999999999999998</v>
      </c>
      <c r="E11" s="180">
        <v>0.28999999999999998</v>
      </c>
      <c r="F11" s="180">
        <v>0.37</v>
      </c>
      <c r="G11" s="180">
        <v>0.39</v>
      </c>
      <c r="H11" s="201">
        <v>0.4</v>
      </c>
      <c r="I11" s="206">
        <v>0.8</v>
      </c>
      <c r="J11" s="206">
        <v>1.2</v>
      </c>
      <c r="K11" s="206">
        <v>0.8</v>
      </c>
      <c r="L11" s="206">
        <v>1.2</v>
      </c>
      <c r="M11" s="178" t="s">
        <v>272</v>
      </c>
      <c r="N11" s="178">
        <v>1</v>
      </c>
    </row>
    <row r="12" spans="2:14">
      <c r="B12" t="str">
        <f>IF(IF(OR(LEFT(C12,27)=SUP_Biofuels!$N$8,LEFT(C12,20)=SUP_Biofuels!$O$8,LEFT(C12,20)=SUP_Biofuels!$P$8),LEFT(C12,20),C12)="Specific investment ","Specific investment (M€ /MW",IF(OR(LEFT(C12,27)=SUP_Biofuels!$N$8,LEFT(C12,20)=SUP_Biofuels!$O$8,LEFT(C12,20)=SUP_Biofuels!$P$8),LEFT(C12,20),C12))</f>
        <v>Electiricity Output, MWh/MWh Total Input</v>
      </c>
      <c r="C12" s="190" t="s">
        <v>114</v>
      </c>
      <c r="D12" s="190">
        <v>0.04</v>
      </c>
      <c r="E12" s="190">
        <v>0.04</v>
      </c>
      <c r="F12" s="190">
        <v>0.05</v>
      </c>
      <c r="G12" s="190">
        <v>0.05</v>
      </c>
      <c r="H12" s="190">
        <v>0.06</v>
      </c>
      <c r="I12" s="208">
        <v>0.8</v>
      </c>
      <c r="J12" s="208">
        <v>1.2</v>
      </c>
      <c r="K12" s="208">
        <v>0.8</v>
      </c>
      <c r="L12" s="208">
        <v>1.2</v>
      </c>
      <c r="M12" s="188" t="s">
        <v>272</v>
      </c>
      <c r="N12" s="188">
        <v>1</v>
      </c>
    </row>
    <row r="13" spans="2:14">
      <c r="B13">
        <f>IF(IF(OR(LEFT(C13,27)=SUP_Biofuels!$N$8,LEFT(C13,20)=SUP_Biofuels!$O$8,LEFT(C13,20)=SUP_Biofuels!$P$8),LEFT(C13,20),C13)="Specific investment ","Specific investment (M€ /MW",IF(OR(LEFT(C13,27)=SUP_Biofuels!$N$8,LEFT(C13,20)=SUP_Biofuels!$O$8,LEFT(C13,20)=SUP_Biofuels!$P$8),LEFT(C13,20),C13))</f>
        <v>0</v>
      </c>
      <c r="C13" s="207"/>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Forced outage (%)</v>
      </c>
      <c r="C14" s="180" t="s">
        <v>59</v>
      </c>
      <c r="D14" s="180">
        <v>4</v>
      </c>
      <c r="E14" s="180">
        <v>4</v>
      </c>
      <c r="F14" s="180">
        <v>2</v>
      </c>
      <c r="G14" s="180">
        <v>0</v>
      </c>
      <c r="H14" s="180">
        <v>0</v>
      </c>
      <c r="I14" s="206"/>
      <c r="J14" s="206"/>
      <c r="K14" s="206"/>
      <c r="L14" s="206"/>
      <c r="M14" s="178"/>
      <c r="N14" s="178"/>
    </row>
    <row r="15" spans="2:14">
      <c r="B15" t="str">
        <f>IF(IF(OR(LEFT(C15,27)=SUP_Biofuels!$N$8,LEFT(C15,20)=SUP_Biofuels!$O$8,LEFT(C15,20)=SUP_Biofuels!$P$8),LEFT(C15,20),C15)="Specific investment ","Specific investment (M€ /MW",IF(OR(LEFT(C15,27)=SUP_Biofuels!$N$8,LEFT(C15,20)=SUP_Biofuels!$O$8,LEFT(C15,20)=SUP_Biofuels!$P$8),LEFT(C15,20),C15))</f>
        <v>Planned outage (weeks per year)</v>
      </c>
      <c r="C15" s="162" t="s">
        <v>92</v>
      </c>
      <c r="D15" s="162">
        <v>2</v>
      </c>
      <c r="E15" s="162">
        <v>2</v>
      </c>
      <c r="F15" s="162">
        <v>2</v>
      </c>
      <c r="G15" s="162">
        <v>2</v>
      </c>
      <c r="H15" s="162">
        <v>2</v>
      </c>
      <c r="I15" s="205"/>
      <c r="J15" s="205"/>
      <c r="K15" s="205"/>
      <c r="L15" s="205"/>
      <c r="M15" s="161"/>
      <c r="N15" s="161"/>
    </row>
    <row r="16" spans="2:14">
      <c r="B16" t="str">
        <f>IF(IF(OR(LEFT(C16,27)=SUP_Biofuels!$N$8,LEFT(C16,20)=SUP_Biofuels!$O$8,LEFT(C16,20)=SUP_Biofuels!$P$8),LEFT(C16,20),C16)="Specific investment ","Specific investment (M€ /MW",IF(OR(LEFT(C16,27)=SUP_Biofuels!$N$8,LEFT(C16,20)=SUP_Biofuels!$O$8,LEFT(C16,20)=SUP_Biofuels!$P$8),LEFT(C16,20),C16))</f>
        <v>Technical lifetime (years)</v>
      </c>
      <c r="C16" s="162" t="s">
        <v>58</v>
      </c>
      <c r="D16" s="162">
        <v>25</v>
      </c>
      <c r="E16" s="162">
        <v>25</v>
      </c>
      <c r="F16" s="162">
        <v>25</v>
      </c>
      <c r="G16" s="162">
        <v>25</v>
      </c>
      <c r="H16" s="162">
        <v>25</v>
      </c>
      <c r="I16" s="162"/>
      <c r="J16" s="162"/>
      <c r="K16" s="162"/>
      <c r="L16" s="162"/>
      <c r="M16" s="161"/>
      <c r="N16" s="161"/>
    </row>
    <row r="17" spans="2:14">
      <c r="B17" t="str">
        <f>IF(IF(OR(LEFT(C17,27)=SUP_Biofuels!$N$8,LEFT(C17,20)=SUP_Biofuels!$O$8,LEFT(C17,20)=SUP_Biofuels!$P$8),LEFT(C17,20),C17)="Specific investment ","Specific investment (M€ /MW",IF(OR(LEFT(C17,27)=SUP_Biofuels!$N$8,LEFT(C17,20)=SUP_Biofuels!$O$8,LEFT(C17,20)=SUP_Biofuels!$P$8),LEFT(C17,20),C17))</f>
        <v>Construction time (years)</v>
      </c>
      <c r="C17" s="190" t="s">
        <v>60</v>
      </c>
      <c r="D17" s="190">
        <v>2</v>
      </c>
      <c r="E17" s="190">
        <v>2</v>
      </c>
      <c r="F17" s="190">
        <v>2</v>
      </c>
      <c r="G17" s="190">
        <v>2</v>
      </c>
      <c r="H17" s="190">
        <v>2</v>
      </c>
      <c r="I17" s="190"/>
      <c r="J17" s="190"/>
      <c r="K17" s="190"/>
      <c r="L17" s="190"/>
      <c r="M17" s="188"/>
      <c r="N17" s="188"/>
    </row>
    <row r="18" spans="2:14">
      <c r="B18" t="str">
        <f>IF(IF(OR(LEFT(C18,27)=SUP_Biofuels!$N$8,LEFT(C18,20)=SUP_Biofuels!$O$8,LEFT(C18,20)=SUP_Biofuels!$P$8),LEFT(C18,20),C18)="Specific investment ","Specific investment (M€ /MW",IF(OR(LEFT(C18,27)=SUP_Biofuels!$N$8,LEFT(C18,20)=SUP_Biofuels!$O$8,LEFT(C18,20)=SUP_Biofuels!$P$8),LEFT(C18,20),C18))</f>
        <v xml:space="preserve">Financial data                                 </v>
      </c>
      <c r="C18" s="186" t="s">
        <v>264</v>
      </c>
      <c r="D18" s="185"/>
      <c r="E18" s="185"/>
      <c r="F18" s="185"/>
      <c r="G18" s="185"/>
      <c r="H18" s="185"/>
      <c r="I18" s="185"/>
      <c r="J18" s="185"/>
      <c r="K18" s="185"/>
      <c r="L18" s="185"/>
      <c r="M18" s="183"/>
      <c r="N18" s="225"/>
    </row>
    <row r="19" spans="2:14">
      <c r="B19" t="str">
        <f>IF(IF(OR(LEFT(C19,27)=SUP_Biofuels!$N$8,LEFT(C19,20)=SUP_Biofuels!$O$8,LEFT(C19,20)=SUP_Biofuels!$P$8),LEFT(C19,20),C19)="Specific investment ","Specific investment (M€ /MW",IF(OR(LEFT(C19,27)=SUP_Biofuels!$N$8,LEFT(C19,20)=SUP_Biofuels!$O$8,LEFT(C19,20)=SUP_Biofuels!$P$8),LEFT(C19,20),C19))</f>
        <v>Specific investment (M€ /MW</v>
      </c>
      <c r="C19" s="180" t="s">
        <v>1111</v>
      </c>
      <c r="D19" s="201">
        <v>5.6919219014512894</v>
      </c>
      <c r="E19" s="201">
        <v>5.6919219014512894</v>
      </c>
      <c r="F19" s="201">
        <v>2.561364855653081</v>
      </c>
      <c r="G19" s="201">
        <v>2.2483091510732596</v>
      </c>
      <c r="H19" s="201">
        <v>2.1344707130442337</v>
      </c>
      <c r="I19" s="179">
        <v>0.75</v>
      </c>
      <c r="J19" s="179">
        <v>1.5</v>
      </c>
      <c r="K19" s="179">
        <v>0.75</v>
      </c>
      <c r="L19" s="179">
        <v>1.5</v>
      </c>
      <c r="M19" s="178" t="s">
        <v>1142</v>
      </c>
      <c r="N19" s="178" t="s">
        <v>1174</v>
      </c>
    </row>
    <row r="20" spans="2:14">
      <c r="B20" t="str">
        <f>IF(IF(OR(LEFT(C20,27)=SUP_Biofuels!$N$8,LEFT(C20,20)=SUP_Biofuels!$O$8,LEFT(C20,20)=SUP_Biofuels!$P$8),LEFT(C20,20),C20)="Specific investment ","Specific investment (M€ /MW",IF(OR(LEFT(C20,27)=SUP_Biofuels!$N$8,LEFT(C20,20)=SUP_Biofuels!$O$8,LEFT(C20,20)=SUP_Biofuels!$P$8),LEFT(C20,20),C20))</f>
        <v xml:space="preserve"> - equipment (%)</v>
      </c>
      <c r="C20" s="162" t="s">
        <v>394</v>
      </c>
      <c r="D20" s="938">
        <v>75</v>
      </c>
      <c r="E20" s="938">
        <v>75</v>
      </c>
      <c r="F20" s="938">
        <v>75</v>
      </c>
      <c r="G20" s="938">
        <v>75</v>
      </c>
      <c r="H20" s="938">
        <v>75</v>
      </c>
      <c r="I20" s="162"/>
      <c r="J20" s="162"/>
      <c r="K20" s="162"/>
      <c r="L20" s="162"/>
      <c r="M20" s="161"/>
      <c r="N20" s="161"/>
    </row>
    <row r="21" spans="2:14">
      <c r="B21" t="str">
        <f>IF(IF(OR(LEFT(C21,27)=SUP_Biofuels!$N$8,LEFT(C21,20)=SUP_Biofuels!$O$8,LEFT(C21,20)=SUP_Biofuels!$P$8),LEFT(C21,20),C21)="Specific investment ","Specific investment (M€ /MW",IF(OR(LEFT(C21,27)=SUP_Biofuels!$N$8,LEFT(C21,20)=SUP_Biofuels!$O$8,LEFT(C21,20)=SUP_Biofuels!$P$8),LEFT(C21,20),C21))</f>
        <v xml:space="preserve"> -installation (%)</v>
      </c>
      <c r="C21" s="162" t="s">
        <v>251</v>
      </c>
      <c r="D21" s="937">
        <v>25</v>
      </c>
      <c r="E21" s="937">
        <v>25</v>
      </c>
      <c r="F21" s="937">
        <v>25</v>
      </c>
      <c r="G21" s="937">
        <v>25</v>
      </c>
      <c r="H21" s="937">
        <v>25</v>
      </c>
      <c r="I21" s="162"/>
      <c r="J21" s="162"/>
      <c r="K21" s="162"/>
      <c r="L21" s="162"/>
      <c r="M21" s="161"/>
      <c r="N21" s="161"/>
    </row>
    <row r="22" spans="2:14">
      <c r="B22" t="str">
        <f>LEFT(C22,17)</f>
        <v>Fixed O&amp;M (M€ /MW</v>
      </c>
      <c r="C22" s="162" t="s">
        <v>1176</v>
      </c>
      <c r="D22" s="168">
        <v>0.1138384380290258</v>
      </c>
      <c r="E22" s="168">
        <v>0.1138384380290258</v>
      </c>
      <c r="F22" s="168">
        <v>5.6919219014512905E-2</v>
      </c>
      <c r="G22" s="168">
        <v>5.7331883352368107E-2</v>
      </c>
      <c r="H22" s="168">
        <v>5.6919219014512905E-2</v>
      </c>
      <c r="I22" s="167">
        <v>0.95</v>
      </c>
      <c r="J22" s="167">
        <v>2</v>
      </c>
      <c r="K22" s="167">
        <v>0.95</v>
      </c>
      <c r="L22" s="167">
        <v>2</v>
      </c>
      <c r="M22" s="161" t="s">
        <v>1138</v>
      </c>
      <c r="N22" s="161">
        <v>1</v>
      </c>
    </row>
    <row r="23" spans="2:14">
      <c r="B23" t="str">
        <f>LEFT(C23,19)</f>
        <v>Variable O&amp;M (€ /MW</v>
      </c>
      <c r="C23" s="162" t="s">
        <v>1175</v>
      </c>
      <c r="D23" s="176">
        <v>27.104390006910904</v>
      </c>
      <c r="E23" s="176">
        <v>27.104390006910904</v>
      </c>
      <c r="F23" s="176">
        <v>13.552195003455452</v>
      </c>
      <c r="G23" s="176">
        <v>13.38279256591226</v>
      </c>
      <c r="H23" s="176">
        <v>13.552195003455454</v>
      </c>
      <c r="I23" s="167">
        <v>0.95</v>
      </c>
      <c r="J23" s="167">
        <v>2</v>
      </c>
      <c r="K23" s="167">
        <v>0.95</v>
      </c>
      <c r="L23" s="167">
        <v>2</v>
      </c>
      <c r="M23" s="161" t="s">
        <v>1138</v>
      </c>
      <c r="N23" s="161">
        <v>1</v>
      </c>
    </row>
    <row r="24" spans="2:14">
      <c r="B24" t="str">
        <f>IF(IF(OR(LEFT(C24,27)=SUP_Biofuels!$N$8,LEFT(C24,20)=SUP_Biofuels!$O$8,LEFT(C24,20)=SUP_Biofuels!$P$8),LEFT(C24,20),C24)="Specific investment ","Specific investment (M€ /MW",IF(OR(LEFT(C24,27)=SUP_Biofuels!$N$8,LEFT(C24,20)=SUP_Biofuels!$O$8,LEFT(C24,20)=SUP_Biofuels!$P$8),LEFT(C24,20),C24))</f>
        <v>Start-up (M€ /1,000 t Ethanol)</v>
      </c>
      <c r="C24" s="190" t="s">
        <v>1105</v>
      </c>
      <c r="D24" s="192">
        <v>0</v>
      </c>
      <c r="E24" s="190">
        <v>0</v>
      </c>
      <c r="F24" s="190">
        <v>0</v>
      </c>
      <c r="G24" s="190"/>
      <c r="H24" s="190">
        <v>0</v>
      </c>
      <c r="I24" s="190"/>
      <c r="J24" s="190"/>
      <c r="K24" s="190"/>
      <c r="L24" s="190"/>
      <c r="M24" s="188" t="s">
        <v>266</v>
      </c>
      <c r="N24" s="188"/>
    </row>
    <row r="25" spans="2:14">
      <c r="B25" t="str">
        <f>IF(IF(OR(LEFT(C25,27)=SUP_Biofuels!$N$8,LEFT(C25,20)=SUP_Biofuels!$O$8,LEFT(C25,20)=SUP_Biofuels!$P$8),LEFT(C25,20),C25)="Specific investment ","Specific investment (M€ /MW",IF(OR(LEFT(C25,27)=SUP_Biofuels!$N$8,LEFT(C25,20)=SUP_Biofuels!$O$8,LEFT(C25,20)=SUP_Biofuels!$P$8),LEFT(C25,20),C25))</f>
        <v xml:space="preserve">Technology specific data                                 </v>
      </c>
      <c r="C25" s="186" t="s">
        <v>260</v>
      </c>
      <c r="D25" s="185"/>
      <c r="E25" s="185"/>
      <c r="F25" s="185"/>
      <c r="G25" s="185"/>
      <c r="H25" s="185"/>
      <c r="I25" s="213"/>
      <c r="J25" s="213"/>
      <c r="K25" s="213"/>
      <c r="L25" s="213"/>
      <c r="M25" s="183"/>
      <c r="N25" s="225"/>
    </row>
    <row r="26" spans="2:14">
      <c r="B26" t="str">
        <f>IF(IF(OR(LEFT(C26,27)=SUP_Biofuels!$N$8,LEFT(C26,20)=SUP_Biofuels!$O$8,LEFT(C26,20)=SUP_Biofuels!$P$8),LEFT(C26,20),C26)="Specific investment ","Specific investment (M€ /MW",IF(OR(LEFT(C26,27)=SUP_Biofuels!$N$8,LEFT(C26,20)=SUP_Biofuels!$O$8,LEFT(C26,20)=SUP_Biofuels!$P$8),LEFT(C26,20),C26))</f>
        <v xml:space="preserve">Specific energy content (GJ/ton) </v>
      </c>
      <c r="C26" s="180" t="s">
        <v>1057</v>
      </c>
      <c r="D26" s="180">
        <v>26.9</v>
      </c>
      <c r="E26" s="180">
        <v>26.9</v>
      </c>
      <c r="F26" s="180">
        <v>26.9</v>
      </c>
      <c r="G26" s="180">
        <v>26.9</v>
      </c>
      <c r="H26" s="180">
        <v>26.9</v>
      </c>
      <c r="I26" s="180"/>
      <c r="J26" s="180"/>
      <c r="K26" s="180"/>
      <c r="L26" s="180"/>
      <c r="M26" s="180"/>
      <c r="N26" s="180"/>
    </row>
    <row r="27" spans="2:14">
      <c r="B27" t="str">
        <f>IF(IF(OR(LEFT(C27,27)=SUP_Biofuels!$N$8,LEFT(C27,20)=SUP_Biofuels!$O$8,LEFT(C27,20)=SUP_Biofuels!$P$8),LEFT(C27,20),C27)="Specific investment ","Specific investment (M€ /MW",IF(OR(LEFT(C27,27)=SUP_Biofuels!$N$8,LEFT(C27,20)=SUP_Biofuels!$O$8,LEFT(C27,20)=SUP_Biofuels!$P$8),LEFT(C27,20),C27))</f>
        <v>Specific density  (kg/l) or (ton/m3)</v>
      </c>
      <c r="C27" s="162" t="s">
        <v>257</v>
      </c>
      <c r="D27" s="162">
        <v>0.79</v>
      </c>
      <c r="E27" s="162">
        <v>0.79</v>
      </c>
      <c r="F27" s="162">
        <v>0.79</v>
      </c>
      <c r="G27" s="162">
        <v>0.79</v>
      </c>
      <c r="H27" s="162">
        <v>0.79</v>
      </c>
      <c r="I27" s="162"/>
      <c r="J27" s="162"/>
      <c r="K27" s="162"/>
      <c r="L27" s="162"/>
      <c r="M27" s="162"/>
      <c r="N27" s="162"/>
    </row>
    <row r="28" spans="2:14">
      <c r="B28" t="str">
        <f>IF(IF(OR(LEFT(C28,27)=SUP_Biofuels!$N$8,LEFT(C28,20)=SUP_Biofuels!$O$8,LEFT(C28,20)=SUP_Biofuels!$P$8),LEFT(C28,20),C28)="Specific investment ","Specific investment (M€ /MW",IF(OR(LEFT(C28,27)=SUP_Biofuels!$N$8,LEFT(C28,20)=SUP_Biofuels!$O$8,LEFT(C28,20)=SUP_Biofuels!$P$8),LEFT(C28,20),C28))</f>
        <v>Specific investment (M€ /1,000 t Ethanol)</v>
      </c>
      <c r="C28" s="162" t="s">
        <v>1110</v>
      </c>
      <c r="D28" s="197">
        <v>5.0632911392405058</v>
      </c>
      <c r="E28" s="197">
        <v>5.0632911392405058</v>
      </c>
      <c r="F28" s="197">
        <v>2.278481012658228</v>
      </c>
      <c r="G28" s="197">
        <v>2</v>
      </c>
      <c r="H28" s="197">
        <v>1.8987341772151898</v>
      </c>
      <c r="I28" s="167">
        <v>0.75</v>
      </c>
      <c r="J28" s="167">
        <v>1.5</v>
      </c>
      <c r="K28" s="167">
        <v>0.75</v>
      </c>
      <c r="L28" s="167">
        <v>1.5</v>
      </c>
      <c r="M28" s="161" t="s">
        <v>1142</v>
      </c>
      <c r="N28" s="161" t="s">
        <v>1174</v>
      </c>
    </row>
    <row r="29" spans="2:14">
      <c r="B29" t="str">
        <f>IF(IF(OR(LEFT(C29,27)=SUP_Biofuels!$N$8,LEFT(C29,20)=SUP_Biofuels!$O$8,LEFT(C29,20)=SUP_Biofuels!$P$8),LEFT(C29,20),C29)="Specific investment ","Specific investment (M€ /MW",IF(OR(LEFT(C29,27)=SUP_Biofuels!$N$8,LEFT(C29,20)=SUP_Biofuels!$O$8,LEFT(C29,20)=SUP_Biofuels!$P$8),LEFT(C29,20),C29))</f>
        <v xml:space="preserve"> - equipment (%)</v>
      </c>
      <c r="C29" s="162" t="s">
        <v>394</v>
      </c>
      <c r="D29" s="938">
        <v>75</v>
      </c>
      <c r="E29" s="938">
        <v>75</v>
      </c>
      <c r="F29" s="938">
        <v>75</v>
      </c>
      <c r="G29" s="938">
        <v>75</v>
      </c>
      <c r="H29" s="938">
        <v>75</v>
      </c>
      <c r="I29" s="162"/>
      <c r="J29" s="162"/>
      <c r="K29" s="162"/>
      <c r="L29" s="162"/>
      <c r="M29" s="161"/>
      <c r="N29" s="161"/>
    </row>
    <row r="30" spans="2:14">
      <c r="B30" t="str">
        <f>IF(IF(OR(LEFT(C30,27)=SUP_Biofuels!$N$8,LEFT(C30,20)=SUP_Biofuels!$O$8,LEFT(C30,20)=SUP_Biofuels!$P$8),LEFT(C30,20),C30)="Specific investment ","Specific investment (M€ /MW",IF(OR(LEFT(C30,27)=SUP_Biofuels!$N$8,LEFT(C30,20)=SUP_Biofuels!$O$8,LEFT(C30,20)=SUP_Biofuels!$P$8),LEFT(C30,20),C30))</f>
        <v xml:space="preserve"> -installation (%)</v>
      </c>
      <c r="C30" s="162" t="s">
        <v>251</v>
      </c>
      <c r="D30" s="937">
        <v>25</v>
      </c>
      <c r="E30" s="937">
        <v>25</v>
      </c>
      <c r="F30" s="937">
        <v>25</v>
      </c>
      <c r="G30" s="937">
        <v>25</v>
      </c>
      <c r="H30" s="937">
        <v>25</v>
      </c>
      <c r="I30" s="162"/>
      <c r="J30" s="162"/>
      <c r="K30" s="162"/>
      <c r="L30" s="162"/>
      <c r="M30" s="161"/>
      <c r="N30" s="161"/>
    </row>
    <row r="31" spans="2:14">
      <c r="B31" t="str">
        <f>IF(IF(OR(LEFT(C31,27)=SUP_Biofuels!$N$8,LEFT(C31,20)=SUP_Biofuels!$O$8,LEFT(C31,20)=SUP_Biofuels!$P$8),LEFT(C31,20),C31)="Specific investment ","Specific investment (M€ /MW",IF(OR(LEFT(C31,27)=SUP_Biofuels!$N$8,LEFT(C31,20)=SUP_Biofuels!$O$8,LEFT(C31,20)=SUP_Biofuels!$P$8),LEFT(C31,20),C31))</f>
        <v>Fixed O&amp;M (M€ /1,000 t Ethanol)</v>
      </c>
      <c r="C31" s="162" t="s">
        <v>1108</v>
      </c>
      <c r="D31" s="168">
        <v>0.10126582278481013</v>
      </c>
      <c r="E31" s="168">
        <v>0.10126582278481013</v>
      </c>
      <c r="F31" s="168">
        <v>5.0632911392405063E-2</v>
      </c>
      <c r="G31" s="168">
        <v>5.0999999999999997E-2</v>
      </c>
      <c r="H31" s="168">
        <v>5.0632911392405063E-2</v>
      </c>
      <c r="I31" s="167">
        <v>0.95</v>
      </c>
      <c r="J31" s="167">
        <v>2</v>
      </c>
      <c r="K31" s="167">
        <v>0.95</v>
      </c>
      <c r="L31" s="167">
        <v>2</v>
      </c>
      <c r="M31" s="161" t="s">
        <v>1138</v>
      </c>
      <c r="N31" s="161">
        <v>1</v>
      </c>
    </row>
    <row r="32" spans="2:14">
      <c r="B32" t="str">
        <f>IF(IF(OR(LEFT(C32,27)=SUP_Biofuels!$N$8,LEFT(C32,20)=SUP_Biofuels!$O$8,LEFT(C32,20)=SUP_Biofuels!$P$8),LEFT(C32,20),C32)="Specific investment ","Specific investment (M€ /MW",IF(OR(LEFT(C32,27)=SUP_Biofuels!$N$8,LEFT(C32,20)=SUP_Biofuels!$O$8,LEFT(C32,20)=SUP_Biofuels!$P$8),LEFT(C32,20),C32))</f>
        <v>Variable O&amp;M (M€ /1,000 t Ethanol)</v>
      </c>
      <c r="C32" s="162" t="s">
        <v>1107</v>
      </c>
      <c r="D32" s="168">
        <v>0.20253164556962025</v>
      </c>
      <c r="E32" s="168">
        <v>0.20253164556962025</v>
      </c>
      <c r="F32" s="168">
        <v>0.10126582278481013</v>
      </c>
      <c r="G32" s="168">
        <v>0.1</v>
      </c>
      <c r="H32" s="168">
        <v>0.10126582278481013</v>
      </c>
      <c r="I32" s="167">
        <v>0.95</v>
      </c>
      <c r="J32" s="167">
        <v>2</v>
      </c>
      <c r="K32" s="167">
        <v>0.95</v>
      </c>
      <c r="L32" s="167">
        <v>2</v>
      </c>
      <c r="M32" s="161" t="s">
        <v>1138</v>
      </c>
      <c r="N32" s="161">
        <v>1</v>
      </c>
    </row>
    <row r="33" spans="2:14">
      <c r="B33" t="str">
        <f>IF(IF(OR(LEFT(C33,27)=SUP_Biofuels!$N$8,LEFT(C33,20)=SUP_Biofuels!$O$8,LEFT(C33,20)=SUP_Biofuels!$P$8),LEFT(C33,20),C33)="Specific investment ","Specific investment (M€ /MW",IF(OR(LEFT(C33,27)=SUP_Biofuels!$N$8,LEFT(C33,20)=SUP_Biofuels!$O$8,LEFT(C33,20)=SUP_Biofuels!$P$8),LEFT(C33,20),C33))</f>
        <v>Start-up (M€ /1,000 t Ethanol)</v>
      </c>
      <c r="C33" s="162" t="s">
        <v>1105</v>
      </c>
      <c r="D33" s="163">
        <v>0</v>
      </c>
      <c r="E33" s="162">
        <v>0</v>
      </c>
      <c r="F33" s="162">
        <v>0</v>
      </c>
      <c r="G33" s="162">
        <v>0</v>
      </c>
      <c r="H33" s="162">
        <v>0</v>
      </c>
      <c r="I33" s="162"/>
      <c r="J33" s="162"/>
      <c r="K33" s="162"/>
      <c r="L33" s="162"/>
      <c r="M33" s="161" t="s">
        <v>266</v>
      </c>
      <c r="N33" s="161"/>
    </row>
    <row r="35" spans="2:14">
      <c r="C35" s="886" t="s">
        <v>695</v>
      </c>
    </row>
    <row r="36" spans="2:14">
      <c r="C36" s="885" t="s">
        <v>1173</v>
      </c>
    </row>
    <row r="37" spans="2:14">
      <c r="C37" s="885" t="s">
        <v>1048</v>
      </c>
    </row>
    <row r="38" spans="2:14">
      <c r="C38" s="885" t="s">
        <v>1047</v>
      </c>
    </row>
    <row r="39" spans="2:14">
      <c r="C39" s="885" t="s">
        <v>1172</v>
      </c>
    </row>
    <row r="40" spans="2:14">
      <c r="C40" s="885" t="s">
        <v>1171</v>
      </c>
    </row>
    <row r="41" spans="2:14">
      <c r="C41" s="885" t="s">
        <v>1170</v>
      </c>
    </row>
    <row r="42" spans="2:14">
      <c r="C42" s="885" t="s">
        <v>1169</v>
      </c>
    </row>
    <row r="43" spans="2:14">
      <c r="C43" s="885" t="s">
        <v>1129</v>
      </c>
    </row>
    <row r="45" spans="2:14">
      <c r="C45" s="886" t="s">
        <v>989</v>
      </c>
    </row>
    <row r="46" spans="2:14">
      <c r="C46" s="885" t="s">
        <v>1168</v>
      </c>
    </row>
    <row r="47" spans="2:14">
      <c r="C47" s="885" t="s">
        <v>1167</v>
      </c>
    </row>
    <row r="48" spans="2:14">
      <c r="C48" s="885" t="s">
        <v>1166</v>
      </c>
    </row>
    <row r="49" spans="3:3">
      <c r="C49" s="885" t="s">
        <v>1165</v>
      </c>
    </row>
    <row r="50" spans="3:3">
      <c r="C50" s="885" t="s">
        <v>1164</v>
      </c>
    </row>
    <row r="51" spans="3:3">
      <c r="C51" s="885" t="s">
        <v>1163</v>
      </c>
    </row>
    <row r="52" spans="3:3">
      <c r="C52" s="885" t="s">
        <v>1162</v>
      </c>
    </row>
    <row r="53" spans="3:3">
      <c r="C53" s="885" t="s">
        <v>1161</v>
      </c>
    </row>
    <row r="54" spans="3:3">
      <c r="C54" s="885" t="s">
        <v>1160</v>
      </c>
    </row>
    <row r="55" spans="3:3">
      <c r="C55" s="885" t="s">
        <v>1159</v>
      </c>
    </row>
    <row r="56" spans="3:3">
      <c r="C56" s="885" t="s">
        <v>1158</v>
      </c>
    </row>
    <row r="57" spans="3:3">
      <c r="C57" s="885" t="s">
        <v>1157</v>
      </c>
    </row>
    <row r="58" spans="3:3">
      <c r="C58" s="885" t="s">
        <v>1156</v>
      </c>
    </row>
    <row r="59" spans="3:3">
      <c r="C59" s="885" t="s">
        <v>1155</v>
      </c>
    </row>
    <row r="60" spans="3:3">
      <c r="C60" s="885" t="s">
        <v>1154</v>
      </c>
    </row>
    <row r="61" spans="3:3">
      <c r="C61" s="885" t="s">
        <v>1153</v>
      </c>
    </row>
  </sheetData>
  <mergeCells count="2">
    <mergeCell ref="I3:J3"/>
    <mergeCell ref="K3:L3"/>
  </mergeCells>
  <hyperlinks>
    <hyperlink ref="I1" location="Index" display="Back to Index" xr:uid="{A4E1D1F5-35A8-4DCB-A0A0-FAA461BBC6AA}"/>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3FB3F-D115-49A2-91D8-3A8C1CB3C0E9}">
  <sheetPr>
    <tabColor theme="4" tint="0.39997558519241921"/>
  </sheetPr>
  <dimension ref="B1:N51"/>
  <sheetViews>
    <sheetView workbookViewId="0">
      <selection activeCell="H11" sqref="H11:H13"/>
    </sheetView>
  </sheetViews>
  <sheetFormatPr defaultColWidth="9.109375" defaultRowHeight="14.4"/>
  <cols>
    <col min="1" max="1" width="2.44140625" customWidth="1"/>
    <col min="2" max="2" width="44.6640625" bestFit="1" customWidth="1"/>
    <col min="3" max="3" width="26.6640625" customWidth="1"/>
    <col min="4" max="13" width="6.88671875" customWidth="1"/>
  </cols>
  <sheetData>
    <row r="1" spans="2:14">
      <c r="I1" s="884" t="s">
        <v>966</v>
      </c>
    </row>
    <row r="2" spans="2:14" ht="15" customHeight="1">
      <c r="C2" s="260" t="s">
        <v>296</v>
      </c>
      <c r="D2" s="260" t="s">
        <v>664</v>
      </c>
      <c r="E2" s="260"/>
      <c r="F2" s="260"/>
      <c r="G2" s="260"/>
      <c r="H2" s="260"/>
      <c r="I2" s="260"/>
      <c r="J2" s="260"/>
      <c r="K2" s="260"/>
      <c r="L2" s="260"/>
      <c r="M2" s="260"/>
      <c r="N2" s="260"/>
    </row>
    <row r="3" spans="2:14" ht="15" customHeight="1">
      <c r="C3" s="190"/>
      <c r="D3" s="163">
        <v>2015</v>
      </c>
      <c r="E3" s="163">
        <v>2020</v>
      </c>
      <c r="F3" s="163">
        <v>2030</v>
      </c>
      <c r="G3" s="163">
        <v>2040</v>
      </c>
      <c r="H3" s="163">
        <v>2050</v>
      </c>
      <c r="I3" s="1398" t="s">
        <v>290</v>
      </c>
      <c r="J3" s="1398"/>
      <c r="K3" s="1398" t="s">
        <v>289</v>
      </c>
      <c r="L3" s="1398"/>
      <c r="M3" s="161" t="s">
        <v>288</v>
      </c>
      <c r="N3" s="161" t="s">
        <v>287</v>
      </c>
    </row>
    <row r="4" spans="2:14">
      <c r="C4" s="162"/>
      <c r="D4" s="955"/>
      <c r="E4" s="192"/>
      <c r="F4" s="192"/>
      <c r="G4" s="192"/>
      <c r="H4" s="192"/>
      <c r="I4" s="192" t="s">
        <v>284</v>
      </c>
      <c r="J4" s="192" t="s">
        <v>283</v>
      </c>
      <c r="K4" s="192" t="s">
        <v>284</v>
      </c>
      <c r="L4" s="192" t="s">
        <v>283</v>
      </c>
      <c r="M4" s="188"/>
      <c r="N4" s="188"/>
    </row>
    <row r="5" spans="2:14">
      <c r="C5" s="186" t="s">
        <v>282</v>
      </c>
      <c r="D5" s="934"/>
      <c r="E5" s="934"/>
      <c r="F5" s="934"/>
      <c r="G5" s="934"/>
      <c r="H5" s="934"/>
      <c r="I5" s="934"/>
      <c r="J5" s="934"/>
      <c r="K5" s="934"/>
      <c r="L5" s="934"/>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Methanol/year</v>
      </c>
      <c r="C6" s="180" t="s">
        <v>281</v>
      </c>
      <c r="D6" s="943">
        <v>100</v>
      </c>
      <c r="E6" s="943">
        <v>100</v>
      </c>
      <c r="F6" s="943">
        <v>200</v>
      </c>
      <c r="G6" s="943">
        <v>250</v>
      </c>
      <c r="H6" s="943">
        <v>300</v>
      </c>
      <c r="I6" s="942">
        <v>0.5</v>
      </c>
      <c r="J6" s="942">
        <v>2</v>
      </c>
      <c r="K6" s="942">
        <v>0.5</v>
      </c>
      <c r="L6" s="942">
        <v>1.25</v>
      </c>
      <c r="M6" s="178" t="s">
        <v>280</v>
      </c>
      <c r="N6" s="178" t="s">
        <v>661</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278</v>
      </c>
      <c r="D7" s="192">
        <v>65</v>
      </c>
      <c r="E7" s="192">
        <v>65</v>
      </c>
      <c r="F7" s="192">
        <v>130</v>
      </c>
      <c r="G7" s="192">
        <v>165</v>
      </c>
      <c r="H7" s="192">
        <v>195</v>
      </c>
      <c r="I7" s="945">
        <v>0.5</v>
      </c>
      <c r="J7" s="945">
        <v>2</v>
      </c>
      <c r="K7" s="945">
        <v>0.5</v>
      </c>
      <c r="L7" s="945">
        <v>1.25</v>
      </c>
      <c r="M7" s="188" t="s">
        <v>277</v>
      </c>
      <c r="N7" s="188" t="s">
        <v>661</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934"/>
      <c r="E8" s="934"/>
      <c r="F8" s="934"/>
      <c r="G8" s="934"/>
      <c r="H8" s="934"/>
      <c r="I8" s="934"/>
      <c r="J8" s="934"/>
      <c r="K8" s="934"/>
      <c r="L8" s="934"/>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268" t="s">
        <v>112</v>
      </c>
      <c r="D9" s="954">
        <v>1</v>
      </c>
      <c r="E9" s="954">
        <v>1</v>
      </c>
      <c r="F9" s="954">
        <v>1</v>
      </c>
      <c r="G9" s="954">
        <v>1</v>
      </c>
      <c r="H9" s="954">
        <v>1</v>
      </c>
      <c r="I9" s="953">
        <v>0.9</v>
      </c>
      <c r="J9" s="953">
        <v>1.5</v>
      </c>
      <c r="K9" s="953">
        <v>0.9</v>
      </c>
      <c r="L9" s="953">
        <v>1.2</v>
      </c>
      <c r="M9" s="270"/>
      <c r="N9" s="270">
        <v>1</v>
      </c>
    </row>
    <row r="10" spans="2:14">
      <c r="B10" t="str">
        <f>IF(IF(OR(LEFT(C10,27)=SUP_Biofuels!$N$8,LEFT(C10,20)=SUP_Biofuels!$O$8,LEFT(C10,20)=SUP_Biofuels!$P$8),LEFT(C10,20),C10)="Specific investment ","Specific investment (M€ /MW",IF(OR(LEFT(C10,27)=SUP_Biofuels!$N$8,LEFT(C10,20)=SUP_Biofuels!$O$8,LEFT(C10,20)=SUP_Biofuels!$P$8),LEFT(C10,20),C10))</f>
        <v>Outputs</v>
      </c>
      <c r="C10" s="186" t="s">
        <v>271</v>
      </c>
      <c r="D10" s="934"/>
      <c r="E10" s="934"/>
      <c r="F10" s="934"/>
      <c r="G10" s="934"/>
      <c r="H10" s="934"/>
      <c r="I10" s="951"/>
      <c r="J10" s="951"/>
      <c r="K10" s="951"/>
      <c r="L10" s="951"/>
      <c r="M10" s="183"/>
      <c r="N10" s="225"/>
    </row>
    <row r="11" spans="2:14">
      <c r="B11" t="str">
        <f>IF(IF(OR(LEFT(C11,27)=SUP_Biofuels!$N$8,LEFT(C11,20)=SUP_Biofuels!$O$8,LEFT(C11,20)=SUP_Biofuels!$P$8),LEFT(C11,20),C11)="Specific investment ","Specific investment (M€ /MW",IF(OR(LEFT(C11,27)=SUP_Biofuels!$N$8,LEFT(C11,20)=SUP_Biofuels!$O$8,LEFT(C11,20)=SUP_Biofuels!$P$8),LEFT(C11,20),C11))</f>
        <v>Methanol Output, MWh/MWh Total Input</v>
      </c>
      <c r="C11" s="180" t="s">
        <v>1201</v>
      </c>
      <c r="D11" s="943">
        <v>0.57999999999999996</v>
      </c>
      <c r="E11" s="943">
        <v>0.57999999999999996</v>
      </c>
      <c r="F11" s="943">
        <v>0.61</v>
      </c>
      <c r="G11" s="943">
        <v>0.63</v>
      </c>
      <c r="H11" s="943">
        <v>0.65</v>
      </c>
      <c r="I11" s="950">
        <v>1</v>
      </c>
      <c r="J11" s="950">
        <v>1.33</v>
      </c>
      <c r="K11" s="950">
        <v>1</v>
      </c>
      <c r="L11" s="950">
        <v>1.33</v>
      </c>
      <c r="M11" s="180" t="s">
        <v>269</v>
      </c>
      <c r="N11" s="178">
        <v>1</v>
      </c>
    </row>
    <row r="12" spans="2:14">
      <c r="B12" t="str">
        <f>IF(IF(OR(LEFT(C12,27)=SUP_Biofuels!$N$8,LEFT(C12,20)=SUP_Biofuels!$O$8,LEFT(C12,20)=SUP_Biofuels!$P$8),LEFT(C12,20),C12)="Specific investment ","Specific investment (M€ /MW",IF(OR(LEFT(C12,27)=SUP_Biofuels!$N$8,LEFT(C12,20)=SUP_Biofuels!$O$8,LEFT(C12,20)=SUP_Biofuels!$P$8),LEFT(C12,20),C12))</f>
        <v>District heat  Output, MWh/MWh Total Input</v>
      </c>
      <c r="C12" s="162" t="s">
        <v>1200</v>
      </c>
      <c r="D12" s="163">
        <v>0.22</v>
      </c>
      <c r="E12" s="163">
        <v>0.22</v>
      </c>
      <c r="F12" s="163">
        <v>0.22</v>
      </c>
      <c r="G12" s="163">
        <v>0.22</v>
      </c>
      <c r="H12" s="163">
        <v>0.22</v>
      </c>
      <c r="I12" s="949">
        <v>0.8</v>
      </c>
      <c r="J12" s="949">
        <v>1.25</v>
      </c>
      <c r="K12" s="949">
        <v>0.8</v>
      </c>
      <c r="L12" s="949">
        <v>1.25</v>
      </c>
      <c r="M12" s="162" t="s">
        <v>269</v>
      </c>
      <c r="N12" s="161">
        <v>1</v>
      </c>
    </row>
    <row r="13" spans="2:14">
      <c r="B13" t="str">
        <f>IF(IF(OR(LEFT(C13,27)=SUP_Biofuels!$N$8,LEFT(C13,20)=SUP_Biofuels!$O$8,LEFT(C13,20)=SUP_Biofuels!$P$8),LEFT(C13,20),C13)="Specific investment ","Specific investment (M€ /MW",IF(OR(LEFT(C13,27)=SUP_Biofuels!$N$8,LEFT(C13,20)=SUP_Biofuels!$O$8,LEFT(C13,20)=SUP_Biofuels!$P$8),LEFT(C13,20),C13))</f>
        <v>Electricity Output, MWh/MWh Total Input</v>
      </c>
      <c r="C13" s="190" t="s">
        <v>1199</v>
      </c>
      <c r="D13" s="192">
        <v>0.02</v>
      </c>
      <c r="E13" s="192">
        <v>0.02</v>
      </c>
      <c r="F13" s="192">
        <v>0.02</v>
      </c>
      <c r="G13" s="192">
        <v>0.02</v>
      </c>
      <c r="H13" s="192">
        <v>0.02</v>
      </c>
      <c r="I13" s="952">
        <v>0.8</v>
      </c>
      <c r="J13" s="952">
        <v>1.25</v>
      </c>
      <c r="K13" s="952">
        <v>0.8</v>
      </c>
      <c r="L13" s="952">
        <v>1.25</v>
      </c>
      <c r="M13" s="190" t="s">
        <v>269</v>
      </c>
      <c r="N13" s="188">
        <v>1</v>
      </c>
    </row>
    <row r="14" spans="2:14">
      <c r="B14">
        <f>IF(IF(OR(LEFT(C14,27)=SUP_Biofuels!$N$8,LEFT(C14,20)=SUP_Biofuels!$O$8,LEFT(C14,20)=SUP_Biofuels!$P$8),LEFT(C14,20),C14)="Specific investment ","Specific investment (M€ /MW",IF(OR(LEFT(C14,27)=SUP_Biofuels!$N$8,LEFT(C14,20)=SUP_Biofuels!$O$8,LEFT(C14,20)=SUP_Biofuels!$P$8),LEFT(C14,20),C14))</f>
        <v>0</v>
      </c>
      <c r="C14" s="207"/>
      <c r="D14" s="934"/>
      <c r="E14" s="934"/>
      <c r="F14" s="934"/>
      <c r="G14" s="934"/>
      <c r="H14" s="934"/>
      <c r="I14" s="951"/>
      <c r="J14" s="951"/>
      <c r="K14" s="951"/>
      <c r="L14" s="951"/>
      <c r="M14" s="934"/>
      <c r="N14" s="225"/>
    </row>
    <row r="15" spans="2:14">
      <c r="B15" t="str">
        <f>IF(IF(OR(LEFT(C15,27)=SUP_Biofuels!$N$8,LEFT(C15,20)=SUP_Biofuels!$O$8,LEFT(C15,20)=SUP_Biofuels!$P$8),LEFT(C15,20),C15)="Specific investment ","Specific investment (M€ /MW",IF(OR(LEFT(C15,27)=SUP_Biofuels!$N$8,LEFT(C15,20)=SUP_Biofuels!$O$8,LEFT(C15,20)=SUP_Biofuels!$P$8),LEFT(C15,20),C15))</f>
        <v>Forced outage (%)</v>
      </c>
      <c r="C15" s="180" t="s">
        <v>59</v>
      </c>
      <c r="D15" s="943">
        <v>4</v>
      </c>
      <c r="E15" s="943">
        <v>4</v>
      </c>
      <c r="F15" s="943">
        <v>0</v>
      </c>
      <c r="G15" s="943">
        <v>0</v>
      </c>
      <c r="H15" s="943">
        <v>0</v>
      </c>
      <c r="I15" s="943"/>
      <c r="J15" s="950"/>
      <c r="K15" s="950"/>
      <c r="L15" s="950"/>
      <c r="M15" s="178"/>
      <c r="N15" s="178"/>
    </row>
    <row r="16" spans="2:14">
      <c r="B16" t="str">
        <f>IF(IF(OR(LEFT(C16,27)=SUP_Biofuels!$N$8,LEFT(C16,20)=SUP_Biofuels!$O$8,LEFT(C16,20)=SUP_Biofuels!$P$8),LEFT(C16,20),C16)="Specific investment ","Specific investment (M€ /MW",IF(OR(LEFT(C16,27)=SUP_Biofuels!$N$8,LEFT(C16,20)=SUP_Biofuels!$O$8,LEFT(C16,20)=SUP_Biofuels!$P$8),LEFT(C16,20),C16))</f>
        <v>Planned outage (weeks per year)</v>
      </c>
      <c r="C16" s="162" t="s">
        <v>92</v>
      </c>
      <c r="D16" s="163">
        <v>2</v>
      </c>
      <c r="E16" s="163">
        <v>2</v>
      </c>
      <c r="F16" s="163">
        <v>2</v>
      </c>
      <c r="G16" s="163">
        <v>2</v>
      </c>
      <c r="H16" s="163">
        <v>2</v>
      </c>
      <c r="I16" s="949"/>
      <c r="J16" s="949"/>
      <c r="K16" s="949"/>
      <c r="L16" s="949"/>
      <c r="M16" s="161"/>
      <c r="N16" s="161"/>
    </row>
    <row r="17" spans="2:14">
      <c r="B17" t="str">
        <f>IF(IF(OR(LEFT(C17,27)=SUP_Biofuels!$N$8,LEFT(C17,20)=SUP_Biofuels!$O$8,LEFT(C17,20)=SUP_Biofuels!$P$8),LEFT(C17,20),C17)="Specific investment ","Specific investment (M€ /MW",IF(OR(LEFT(C17,27)=SUP_Biofuels!$N$8,LEFT(C17,20)=SUP_Biofuels!$O$8,LEFT(C17,20)=SUP_Biofuels!$P$8),LEFT(C17,20),C17))</f>
        <v>Technical lifetime (years)</v>
      </c>
      <c r="C17" s="162" t="s">
        <v>58</v>
      </c>
      <c r="D17" s="163">
        <v>25</v>
      </c>
      <c r="E17" s="163">
        <v>20</v>
      </c>
      <c r="F17" s="163">
        <v>20</v>
      </c>
      <c r="G17" s="163">
        <v>20</v>
      </c>
      <c r="H17" s="163">
        <v>20</v>
      </c>
      <c r="I17" s="163"/>
      <c r="J17" s="163"/>
      <c r="K17" s="163"/>
      <c r="L17" s="163"/>
      <c r="M17" s="161"/>
      <c r="N17" s="161"/>
    </row>
    <row r="18" spans="2:14">
      <c r="B18" t="str">
        <f>IF(IF(OR(LEFT(C18,27)=SUP_Biofuels!$N$8,LEFT(C18,20)=SUP_Biofuels!$O$8,LEFT(C18,20)=SUP_Biofuels!$P$8),LEFT(C18,20),C18)="Specific investment ","Specific investment (M€ /MW",IF(OR(LEFT(C18,27)=SUP_Biofuels!$N$8,LEFT(C18,20)=SUP_Biofuels!$O$8,LEFT(C18,20)=SUP_Biofuels!$P$8),LEFT(C18,20),C18))</f>
        <v>Construction time (years)</v>
      </c>
      <c r="C18" s="190" t="s">
        <v>60</v>
      </c>
      <c r="D18" s="948" t="s">
        <v>1198</v>
      </c>
      <c r="E18" s="948" t="s">
        <v>1198</v>
      </c>
      <c r="F18" s="948" t="s">
        <v>1198</v>
      </c>
      <c r="G18" s="948" t="s">
        <v>1198</v>
      </c>
      <c r="H18" s="948" t="s">
        <v>1198</v>
      </c>
      <c r="I18" s="192"/>
      <c r="J18" s="192"/>
      <c r="K18" s="192"/>
      <c r="L18" s="192"/>
      <c r="M18" s="188"/>
      <c r="N18" s="188"/>
    </row>
    <row r="19" spans="2:14">
      <c r="B19" t="str">
        <f>IF(IF(OR(LEFT(C19,27)=SUP_Biofuels!$N$8,LEFT(C19,20)=SUP_Biofuels!$O$8,LEFT(C19,20)=SUP_Biofuels!$P$8),LEFT(C19,20),C19)="Specific investment ","Specific investment (M€ /MW",IF(OR(LEFT(C19,27)=SUP_Biofuels!$N$8,LEFT(C19,20)=SUP_Biofuels!$O$8,LEFT(C19,20)=SUP_Biofuels!$P$8),LEFT(C19,20),C19))</f>
        <v xml:space="preserve">Financial data                                 </v>
      </c>
      <c r="C19" s="186" t="s">
        <v>264</v>
      </c>
      <c r="D19" s="934"/>
      <c r="E19" s="934"/>
      <c r="F19" s="934"/>
      <c r="G19" s="934"/>
      <c r="H19" s="934"/>
      <c r="I19" s="934"/>
      <c r="J19" s="934"/>
      <c r="K19" s="934"/>
      <c r="L19" s="934"/>
      <c r="M19" s="183"/>
      <c r="N19" s="225"/>
    </row>
    <row r="20" spans="2:14">
      <c r="B20" t="str">
        <f>IF(IF(OR(LEFT(C20,27)=SUP_Biofuels!$N$8,LEFT(C20,20)=SUP_Biofuels!$O$8,LEFT(C20,20)=SUP_Biofuels!$P$8),LEFT(C20,20),C20)="Specific investment ","Specific investment (M€ /MW",IF(OR(LEFT(C20,27)=SUP_Biofuels!$N$8,LEFT(C20,20)=SUP_Biofuels!$O$8,LEFT(C20,20)=SUP_Biofuels!$P$8),LEFT(C20,20),C20))</f>
        <v>Specific investment (M€ /MW</v>
      </c>
      <c r="C20" s="180" t="s">
        <v>263</v>
      </c>
      <c r="D20" s="947">
        <v>5.2580331061343726</v>
      </c>
      <c r="E20" s="947">
        <v>5.2580331061343726</v>
      </c>
      <c r="F20" s="947">
        <v>2.9211295034079843</v>
      </c>
      <c r="G20" s="947">
        <v>2.1212121212121211</v>
      </c>
      <c r="H20" s="947">
        <v>1.4605647517039921</v>
      </c>
      <c r="I20" s="942">
        <v>0.5</v>
      </c>
      <c r="J20" s="942">
        <v>1</v>
      </c>
      <c r="K20" s="942">
        <v>0.8</v>
      </c>
      <c r="L20" s="942">
        <v>1.2</v>
      </c>
      <c r="M20" s="178" t="s">
        <v>255</v>
      </c>
      <c r="N20" s="178" t="s">
        <v>254</v>
      </c>
    </row>
    <row r="21" spans="2:14">
      <c r="B21" t="str">
        <f>IF(IF(OR(LEFT(C21,27)=SUP_Biofuels!$N$8,LEFT(C21,20)=SUP_Biofuels!$O$8,LEFT(C21,20)=SUP_Biofuels!$P$8),LEFT(C21,20),C21)="Specific investment ","Specific investment (M€ /MW",IF(OR(LEFT(C21,27)=SUP_Biofuels!$N$8,LEFT(C21,20)=SUP_Biofuels!$O$8,LEFT(C21,20)=SUP_Biofuels!$P$8),LEFT(C21,20),C21))</f>
        <v>- equipment (%)</v>
      </c>
      <c r="C21" s="162" t="s">
        <v>252</v>
      </c>
      <c r="D21" s="163" t="s">
        <v>1008</v>
      </c>
      <c r="E21" s="163">
        <v>75</v>
      </c>
      <c r="F21" s="163">
        <v>75</v>
      </c>
      <c r="G21" s="163">
        <v>75</v>
      </c>
      <c r="H21" s="163">
        <v>75</v>
      </c>
      <c r="I21" s="941"/>
      <c r="J21" s="941"/>
      <c r="K21" s="941"/>
      <c r="L21" s="941"/>
      <c r="M21" s="161"/>
      <c r="N21" s="161"/>
    </row>
    <row r="22" spans="2:14">
      <c r="B22" t="str">
        <f>IF(IF(OR(LEFT(C22,27)=SUP_Biofuels!$N$8,LEFT(C22,20)=SUP_Biofuels!$O$8,LEFT(C22,20)=SUP_Biofuels!$P$8),LEFT(C22,20),C22)="Specific investment ","Specific investment (M€ /MW",IF(OR(LEFT(C22,27)=SUP_Biofuels!$N$8,LEFT(C22,20)=SUP_Biofuels!$O$8,LEFT(C22,20)=SUP_Biofuels!$P$8),LEFT(C22,20),C22))</f>
        <v xml:space="preserve"> -installation (%)</v>
      </c>
      <c r="C22" s="162" t="s">
        <v>251</v>
      </c>
      <c r="D22" s="163">
        <v>25</v>
      </c>
      <c r="E22" s="163">
        <v>25</v>
      </c>
      <c r="F22" s="163">
        <v>25</v>
      </c>
      <c r="G22" s="163">
        <v>25</v>
      </c>
      <c r="H22" s="163">
        <v>25</v>
      </c>
      <c r="I22" s="941"/>
      <c r="J22" s="941"/>
      <c r="K22" s="941"/>
      <c r="L22" s="941"/>
      <c r="M22" s="161"/>
      <c r="N22" s="161"/>
    </row>
    <row r="23" spans="2:14">
      <c r="B23" t="s">
        <v>1390</v>
      </c>
      <c r="C23" s="162" t="s">
        <v>1197</v>
      </c>
      <c r="D23" s="286">
        <v>5.8422590068159676E-2</v>
      </c>
      <c r="E23" s="286">
        <v>5.8422590068159676E-2</v>
      </c>
      <c r="F23" s="286">
        <v>3.8948393378773129E-2</v>
      </c>
      <c r="G23" s="286">
        <v>3.8358266206367474E-2</v>
      </c>
      <c r="H23" s="286">
        <v>3.8948393378773122E-2</v>
      </c>
      <c r="I23" s="941">
        <v>0.9</v>
      </c>
      <c r="J23" s="941">
        <v>1.1000000000000001</v>
      </c>
      <c r="K23" s="941">
        <v>0.9</v>
      </c>
      <c r="L23" s="941">
        <v>1.1000000000000001</v>
      </c>
      <c r="M23" s="161" t="s">
        <v>243</v>
      </c>
      <c r="N23" s="161">
        <v>1</v>
      </c>
    </row>
    <row r="24" spans="2:14">
      <c r="B24" t="s">
        <v>1391</v>
      </c>
      <c r="C24" s="162" t="s">
        <v>1196</v>
      </c>
      <c r="D24" s="946">
        <v>20.404307576043831</v>
      </c>
      <c r="E24" s="946">
        <v>20.404307576043831</v>
      </c>
      <c r="F24" s="946">
        <v>13.60287171736255</v>
      </c>
      <c r="G24" s="946">
        <v>13.602871717362556</v>
      </c>
      <c r="H24" s="946">
        <v>13.602871717362554</v>
      </c>
      <c r="I24" s="941">
        <v>0.9</v>
      </c>
      <c r="J24" s="941">
        <v>1.1000000000000001</v>
      </c>
      <c r="K24" s="941">
        <v>0.9</v>
      </c>
      <c r="L24" s="941">
        <v>1.1000000000000001</v>
      </c>
      <c r="M24" s="161" t="s">
        <v>1195</v>
      </c>
      <c r="N24" s="161">
        <v>1</v>
      </c>
    </row>
    <row r="25" spans="2:14">
      <c r="B25" t="str">
        <f>LEFT(C25,17)</f>
        <v>Start up (M€ /1,0</v>
      </c>
      <c r="C25" s="190" t="s">
        <v>1194</v>
      </c>
      <c r="D25" s="192">
        <v>0</v>
      </c>
      <c r="E25" s="192">
        <v>0</v>
      </c>
      <c r="F25" s="192">
        <v>0</v>
      </c>
      <c r="G25" s="192"/>
      <c r="H25" s="192">
        <v>0</v>
      </c>
      <c r="I25" s="945"/>
      <c r="J25" s="945"/>
      <c r="K25" s="945"/>
      <c r="L25" s="945"/>
      <c r="M25" s="188"/>
      <c r="N25" s="188"/>
    </row>
    <row r="26" spans="2:14">
      <c r="B26" t="str">
        <f>LEFT(C26,19)</f>
        <v>Technology specific</v>
      </c>
      <c r="C26" s="186" t="s">
        <v>260</v>
      </c>
      <c r="D26" s="934"/>
      <c r="E26" s="934"/>
      <c r="F26" s="934"/>
      <c r="G26" s="934"/>
      <c r="H26" s="934"/>
      <c r="I26" s="944"/>
      <c r="J26" s="944"/>
      <c r="K26" s="944"/>
      <c r="L26" s="944"/>
      <c r="M26" s="183"/>
      <c r="N26" s="225"/>
    </row>
    <row r="27" spans="2:14">
      <c r="B27" t="str">
        <f>IF(IF(OR(LEFT(C27,27)=SUP_Biofuels!$N$8,LEFT(C27,20)=SUP_Biofuels!$O$8,LEFT(C27,20)=SUP_Biofuels!$P$8),LEFT(C27,20),C27)="Specific investment ","Specific investment (M€ /MW",IF(OR(LEFT(C27,27)=SUP_Biofuels!$N$8,LEFT(C27,20)=SUP_Biofuels!$O$8,LEFT(C27,20)=SUP_Biofuels!$P$8),LEFT(C27,20),C27))</f>
        <v>Specific energy content (GJ/ton) methanol)</v>
      </c>
      <c r="C27" s="180" t="s">
        <v>258</v>
      </c>
      <c r="D27" s="943">
        <v>20.100000000000001</v>
      </c>
      <c r="E27" s="943">
        <v>20.100000000000001</v>
      </c>
      <c r="F27" s="943">
        <v>20.100000000000001</v>
      </c>
      <c r="G27" s="943">
        <v>20.100000000000001</v>
      </c>
      <c r="H27" s="943">
        <v>20.100000000000001</v>
      </c>
      <c r="I27" s="942"/>
      <c r="J27" s="942"/>
      <c r="K27" s="942"/>
      <c r="L27" s="942"/>
      <c r="M27" s="178"/>
      <c r="N27" s="178"/>
    </row>
    <row r="28" spans="2:14">
      <c r="B28" t="str">
        <f>IF(IF(OR(LEFT(C28,27)=SUP_Biofuels!$N$8,LEFT(C28,20)=SUP_Biofuels!$O$8,LEFT(C28,20)=SUP_Biofuels!$P$8),LEFT(C28,20),C28)="Specific investment ","Specific investment (M€ /MW",IF(OR(LEFT(C28,27)=SUP_Biofuels!$N$8,LEFT(C28,20)=SUP_Biofuels!$O$8,LEFT(C28,20)=SUP_Biofuels!$P$8),LEFT(C28,20),C28))</f>
        <v>Specific density  (kg/l) or (ton/m3)</v>
      </c>
      <c r="C28" s="162" t="s">
        <v>257</v>
      </c>
      <c r="D28" s="163">
        <v>0.79</v>
      </c>
      <c r="E28" s="163">
        <v>0.79</v>
      </c>
      <c r="F28" s="163">
        <v>0.79</v>
      </c>
      <c r="G28" s="163">
        <v>0.79</v>
      </c>
      <c r="H28" s="163">
        <v>0.79</v>
      </c>
      <c r="I28" s="941"/>
      <c r="J28" s="941"/>
      <c r="K28" s="941"/>
      <c r="L28" s="941"/>
      <c r="M28" s="161"/>
      <c r="N28" s="161"/>
    </row>
    <row r="29" spans="2:14">
      <c r="B29" t="str">
        <f>IF(IF(OR(LEFT(C29,27)=SUP_Biofuels!$N$8,LEFT(C29,20)=SUP_Biofuels!$O$8,LEFT(C29,20)=SUP_Biofuels!$P$8),LEFT(C29,20),C29)="Specific investment ","Specific investment (M€ /MW",IF(OR(LEFT(C29,27)=SUP_Biofuels!$N$8,LEFT(C29,20)=SUP_Biofuels!$O$8,LEFT(C29,20)=SUP_Biofuels!$P$8),LEFT(C29,20),C29))</f>
        <v>Specific investment (M€ /1,000 t Methanol)</v>
      </c>
      <c r="C29" s="162" t="s">
        <v>256</v>
      </c>
      <c r="D29" s="290">
        <v>3.4177215189873418</v>
      </c>
      <c r="E29" s="290">
        <v>3.4177215189873418</v>
      </c>
      <c r="F29" s="290">
        <v>1.8987341772151898</v>
      </c>
      <c r="G29" s="290">
        <v>1.4</v>
      </c>
      <c r="H29" s="290">
        <v>0.94936708860759489</v>
      </c>
      <c r="I29" s="941">
        <v>0.5</v>
      </c>
      <c r="J29" s="941">
        <v>1</v>
      </c>
      <c r="K29" s="941">
        <v>0.8</v>
      </c>
      <c r="L29" s="941">
        <v>1.2</v>
      </c>
      <c r="M29" s="161" t="s">
        <v>255</v>
      </c>
      <c r="N29" s="161" t="s">
        <v>254</v>
      </c>
    </row>
    <row r="30" spans="2:14">
      <c r="B30" t="str">
        <f>IF(IF(OR(LEFT(C30,27)=SUP_Biofuels!$N$8,LEFT(C30,20)=SUP_Biofuels!$O$8,LEFT(C30,20)=SUP_Biofuels!$P$8),LEFT(C30,20),C30)="Specific investment ","Specific investment (M€ /MW",IF(OR(LEFT(C30,27)=SUP_Biofuels!$N$8,LEFT(C30,20)=SUP_Biofuels!$O$8,LEFT(C30,20)=SUP_Biofuels!$P$8),LEFT(C30,20),C30))</f>
        <v>Fixed O&amp;M (M€ /1,000 t Methanol)</v>
      </c>
      <c r="C30" s="162" t="s">
        <v>246</v>
      </c>
      <c r="D30" s="286">
        <v>3.7974683544303792E-2</v>
      </c>
      <c r="E30" s="286">
        <v>3.7974683544303792E-2</v>
      </c>
      <c r="F30" s="286">
        <v>2.5316455696202531E-2</v>
      </c>
      <c r="G30" s="286">
        <v>2.5316455696202531E-2</v>
      </c>
      <c r="H30" s="286">
        <v>2.5316455696202531E-2</v>
      </c>
      <c r="I30" s="941">
        <v>0.9</v>
      </c>
      <c r="J30" s="941">
        <v>1.1000000000000001</v>
      </c>
      <c r="K30" s="941">
        <v>0.9</v>
      </c>
      <c r="L30" s="941">
        <v>1.1000000000000001</v>
      </c>
      <c r="M30" s="161" t="s">
        <v>243</v>
      </c>
      <c r="N30" s="161">
        <v>1</v>
      </c>
    </row>
    <row r="31" spans="2:14">
      <c r="B31" t="str">
        <f>IF(IF(OR(LEFT(C31,27)=SUP_Biofuels!$N$8,LEFT(C31,20)=SUP_Biofuels!$O$8,LEFT(C31,20)=SUP_Biofuels!$P$8),LEFT(C31,20),C31)="Specific investment ","Specific investment (M€ /MW",IF(OR(LEFT(C31,27)=SUP_Biofuels!$N$8,LEFT(C31,20)=SUP_Biofuels!$O$8,LEFT(C31,20)=SUP_Biofuels!$P$8),LEFT(C31,20),C31))</f>
        <v>Variable O&amp;M (M€ /1,000 t Methanol)</v>
      </c>
      <c r="C31" s="162" t="s">
        <v>244</v>
      </c>
      <c r="D31" s="286">
        <v>0.11392405063291139</v>
      </c>
      <c r="E31" s="286">
        <v>0.11392405063291139</v>
      </c>
      <c r="F31" s="286">
        <v>7.5949367088607583E-2</v>
      </c>
      <c r="G31" s="286">
        <v>7.5949367088607583E-2</v>
      </c>
      <c r="H31" s="286">
        <v>7.5949367088607583E-2</v>
      </c>
      <c r="I31" s="941">
        <v>0.9</v>
      </c>
      <c r="J31" s="941">
        <v>1.1000000000000001</v>
      </c>
      <c r="K31" s="941">
        <v>0.9</v>
      </c>
      <c r="L31" s="941">
        <v>1.1000000000000001</v>
      </c>
      <c r="M31" s="161" t="s">
        <v>1195</v>
      </c>
      <c r="N31" s="161">
        <v>1</v>
      </c>
    </row>
    <row r="32" spans="2:14">
      <c r="B32" t="str">
        <f>IF(IF(OR(LEFT(C32,27)=SUP_Biofuels!$N$8,LEFT(C32,20)=SUP_Biofuels!$O$8,LEFT(C32,20)=SUP_Biofuels!$P$8),LEFT(C32,20),C32)="Specific investment ","Specific investment (M€ /MW",IF(OR(LEFT(C32,27)=SUP_Biofuels!$N$8,LEFT(C32,20)=SUP_Biofuels!$O$8,LEFT(C32,20)=SUP_Biofuels!$P$8),LEFT(C32,20),C32))</f>
        <v>Start up (M€ /1,000 t Methanoll)</v>
      </c>
      <c r="C32" s="162" t="s">
        <v>1194</v>
      </c>
      <c r="D32" s="163">
        <v>0</v>
      </c>
      <c r="E32" s="163">
        <v>0</v>
      </c>
      <c r="F32" s="163">
        <v>0</v>
      </c>
      <c r="G32" s="163">
        <v>0</v>
      </c>
      <c r="H32" s="163">
        <v>0</v>
      </c>
      <c r="I32" s="163"/>
      <c r="J32" s="163"/>
      <c r="K32" s="163"/>
      <c r="L32" s="163"/>
      <c r="M32" s="161"/>
      <c r="N32" s="161"/>
    </row>
    <row r="33" spans="2:3">
      <c r="B33">
        <f>IF(IF(OR(LEFT(C33,27)=SUP_Biofuels!$N$8,LEFT(C33,20)=SUP_Biofuels!$O$8,LEFT(C33,20)=SUP_Biofuels!$P$8),LEFT(C33,20),C33)="Specific investment ","Specific investment (M€ /MW",IF(OR(LEFT(C33,27)=SUP_Biofuels!$N$8,LEFT(C33,20)=SUP_Biofuels!$O$8,LEFT(C33,20)=SUP_Biofuels!$P$8),LEFT(C33,20),C33))</f>
        <v>0</v>
      </c>
    </row>
    <row r="34" spans="2:3">
      <c r="B34" t="str">
        <f>IF(IF(OR(LEFT(C34,27)=SUP_Biofuels!$N$8,LEFT(C34,20)=SUP_Biofuels!$O$8,LEFT(C34,20)=SUP_Biofuels!$P$8),LEFT(C34,20),C34)="Specific investment ","Specific investment (M€ /MW",IF(OR(LEFT(C34,27)=SUP_Biofuels!$N$8,LEFT(C34,20)=SUP_Biofuels!$O$8,LEFT(C34,20)=SUP_Biofuels!$P$8),LEFT(C34,20),C34))</f>
        <v>Notes:</v>
      </c>
      <c r="C34" s="886" t="s">
        <v>695</v>
      </c>
    </row>
    <row r="35" spans="2:3">
      <c r="B35" t="str">
        <f>IF(IF(OR(LEFT(C35,27)=SUP_Biofuels!$N$8,LEFT(C35,20)=SUP_Biofuels!$O$8,LEFT(C35,20)=SUP_Biofuels!$P$8),LEFT(C35,20),C35)="Specific investment ","Specific investment (M€ /MW",IF(OR(LEFT(C35,27)=SUP_Biofuels!$N$8,LEFT(C35,20)=SUP_Biofuels!$O$8,LEFT(C35,20)=SUP_Biofuels!$P$8),LEFT(C35,20),C35))</f>
        <v>A.     The plant size range is assumed based on the proposed Värmlands plant and the NREL nth plant.</v>
      </c>
      <c r="C35" s="885" t="s">
        <v>1193</v>
      </c>
    </row>
    <row r="36" spans="2:3">
      <c r="C36" s="885" t="s">
        <v>1192</v>
      </c>
    </row>
    <row r="37" spans="2:3">
      <c r="C37" s="885" t="s">
        <v>1191</v>
      </c>
    </row>
    <row r="38" spans="2:3">
      <c r="C38" s="885" t="s">
        <v>1190</v>
      </c>
    </row>
    <row r="39" spans="2:3">
      <c r="C39" s="885" t="s">
        <v>1189</v>
      </c>
    </row>
    <row r="40" spans="2:3">
      <c r="C40" s="885" t="s">
        <v>1188</v>
      </c>
    </row>
    <row r="41" spans="2:3">
      <c r="C41" s="885" t="s">
        <v>1187</v>
      </c>
    </row>
    <row r="43" spans="2:3">
      <c r="C43" s="886" t="s">
        <v>989</v>
      </c>
    </row>
    <row r="44" spans="2:3">
      <c r="C44" s="885" t="s">
        <v>1186</v>
      </c>
    </row>
    <row r="45" spans="2:3">
      <c r="C45" s="885" t="s">
        <v>1185</v>
      </c>
    </row>
    <row r="46" spans="2:3">
      <c r="C46" s="885" t="s">
        <v>1184</v>
      </c>
    </row>
    <row r="47" spans="2:3">
      <c r="C47" s="885" t="s">
        <v>1183</v>
      </c>
    </row>
    <row r="48" spans="2:3">
      <c r="C48" s="885" t="s">
        <v>1182</v>
      </c>
    </row>
    <row r="49" spans="3:3">
      <c r="C49" s="885" t="s">
        <v>1181</v>
      </c>
    </row>
    <row r="50" spans="3:3">
      <c r="C50" s="885" t="s">
        <v>1180</v>
      </c>
    </row>
    <row r="51" spans="3:3">
      <c r="C51" s="885" t="s">
        <v>1179</v>
      </c>
    </row>
  </sheetData>
  <mergeCells count="2">
    <mergeCell ref="I3:J3"/>
    <mergeCell ref="K3:L3"/>
  </mergeCells>
  <hyperlinks>
    <hyperlink ref="C44" r:id="rId1" display="https://doi.org/10.1016/j.biombioe.2014.03.063" xr:uid="{D042CB34-2CCA-4AE6-966C-6E212B6CE34F}"/>
    <hyperlink ref="C45" r:id="rId2" display="http://serenergy.com/wp-content/uploads/2015/11/GreenSynFuels_report_final.pdf" xr:uid="{46B99684-0447-45AE-9523-B6E6D67DB2D0}"/>
    <hyperlink ref="C46" r:id="rId3" display="https://doi.org/10.1016/j.energy.2014.09.042" xr:uid="{8FB600B5-57C1-48AA-B3A2-F843A66A92C6}"/>
    <hyperlink ref="C47" r:id="rId4" display="http://task39.sites.olt.ubc.ca/files/2012/01/IEA-Bioenergy-Task-39-Newsletter-Issue-42-April-2016.pdf" xr:uid="{31E3C34A-4DEF-4B38-AE75-07172848DC72}"/>
    <hyperlink ref="C48" r:id="rId5" display="http://www.varmlandsmetanol.se/Om Projektet.htm" xr:uid="{D611F911-1C5C-4E14-9476-AA4ED6931E1C}"/>
    <hyperlink ref="C49" r:id="rId6" display="http://www.varmlandsmetanol.se/dokument/Folder VM sept 2016.pdf" xr:uid="{872BEE6A-1CD5-404D-97CF-AE5B344980CB}"/>
    <hyperlink ref="C50" r:id="rId7" display="https://www.nrel.gov/docs/fy12osti/52636.pdf" xr:uid="{69B69EE3-30D1-4A46-803D-060F4DAC017D}"/>
    <hyperlink ref="C51" r:id="rId8" display="http://platformduurzamebiobrandstoffen.nl/wp-content/uploads/2017/07/2017_SGAB_Cost-of-Biofuels.pdf" xr:uid="{D2204A65-149F-4FFE-AF0A-0F7292C7C83A}"/>
    <hyperlink ref="I1" location="Index" display="Back to Index" xr:uid="{BC272281-EBD1-4795-9E16-FE2273B36A95}"/>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577A-230D-47EE-B3B7-FA19CEBD7AE6}">
  <sheetPr>
    <tabColor theme="4" tint="0.59999389629810485"/>
  </sheetPr>
  <dimension ref="B1:N61"/>
  <sheetViews>
    <sheetView workbookViewId="0">
      <selection activeCell="R15" sqref="R15"/>
    </sheetView>
  </sheetViews>
  <sheetFormatPr defaultColWidth="9.109375" defaultRowHeight="14.4"/>
  <cols>
    <col min="2" max="2" width="35.88671875" bestFit="1" customWidth="1"/>
    <col min="3" max="3" width="27.44140625" customWidth="1"/>
    <col min="4" max="13" width="7" customWidth="1"/>
  </cols>
  <sheetData>
    <row r="1" spans="2:14">
      <c r="I1" s="884" t="s">
        <v>966</v>
      </c>
    </row>
    <row r="2" spans="2:14" ht="15" customHeight="1">
      <c r="C2" s="260" t="s">
        <v>296</v>
      </c>
      <c r="D2" s="1291" t="s">
        <v>295</v>
      </c>
      <c r="E2" s="1291"/>
      <c r="F2" s="1291"/>
      <c r="G2" s="1291"/>
      <c r="H2" s="1291"/>
      <c r="I2" s="1291"/>
      <c r="J2" s="1291"/>
      <c r="K2" s="1291"/>
      <c r="L2" s="1291"/>
      <c r="M2" s="1291"/>
      <c r="N2" s="1291"/>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Methanol/year</v>
      </c>
      <c r="C6" s="180" t="s">
        <v>281</v>
      </c>
      <c r="D6" s="180">
        <v>5</v>
      </c>
      <c r="E6" s="180">
        <v>50</v>
      </c>
      <c r="F6" s="180">
        <v>100</v>
      </c>
      <c r="G6" s="180">
        <v>125</v>
      </c>
      <c r="H6" s="180">
        <v>150</v>
      </c>
      <c r="I6" s="206">
        <v>0.5</v>
      </c>
      <c r="J6" s="179">
        <v>1.5</v>
      </c>
      <c r="K6" s="179">
        <v>0.5</v>
      </c>
      <c r="L6" s="179">
        <v>1.5</v>
      </c>
      <c r="M6" s="218" t="s">
        <v>280</v>
      </c>
      <c r="N6" s="178" t="s">
        <v>279</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278</v>
      </c>
      <c r="D7" s="190">
        <v>3</v>
      </c>
      <c r="E7" s="190">
        <v>33</v>
      </c>
      <c r="F7" s="190">
        <v>65</v>
      </c>
      <c r="G7" s="190">
        <v>83</v>
      </c>
      <c r="H7" s="190">
        <v>100</v>
      </c>
      <c r="I7" s="208">
        <v>0.5</v>
      </c>
      <c r="J7" s="189">
        <v>1.5</v>
      </c>
      <c r="K7" s="189">
        <v>0.5</v>
      </c>
      <c r="L7" s="189">
        <v>1.5</v>
      </c>
      <c r="M7" s="217" t="s">
        <v>277</v>
      </c>
      <c r="N7" s="188" t="s">
        <v>276</v>
      </c>
    </row>
    <row r="8" spans="2:14">
      <c r="B8" t="str">
        <f>IF(IF(OR(LEFT(C8,27)=SUP_Biofuels!$N$8,LEFT(C8,20)=SUP_Biofuels!$O$8,LEFT(C8,20)=SUP_Biofuels!$P$8),LEFT(C8,20),C8)="Specific investment ","Specific investment (M€ /MW",IF(OR(LEFT(C8,27)=SUP_Biofuels!$N$8,LEFT(C8,20)=SUP_Biofuels!$O$8,LEFT(C8,20)=SUP_Biofuels!$P$8),LEFT(C8,20),C8))</f>
        <v>Inputs</v>
      </c>
      <c r="C8" s="186" t="s">
        <v>275</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CO2 Consumption, t/t Methanol</v>
      </c>
      <c r="C9" s="180" t="s">
        <v>274</v>
      </c>
      <c r="D9" s="180">
        <v>1.37</v>
      </c>
      <c r="E9" s="180">
        <v>1.37</v>
      </c>
      <c r="F9" s="180">
        <v>1.37</v>
      </c>
      <c r="G9" s="180">
        <v>1.37</v>
      </c>
      <c r="H9" s="180">
        <v>1.37</v>
      </c>
      <c r="I9" s="206">
        <v>1</v>
      </c>
      <c r="J9" s="206">
        <v>1.1000000000000001</v>
      </c>
      <c r="K9" s="206">
        <v>1</v>
      </c>
      <c r="L9" s="206">
        <v>1.1000000000000001</v>
      </c>
      <c r="M9" s="178"/>
      <c r="N9" s="178">
        <v>5</v>
      </c>
    </row>
    <row r="10" spans="2:14">
      <c r="B10" t="str">
        <f>IF(IF(OR(LEFT(C10,27)=SUP_Biofuels!$N$8,LEFT(C10,20)=SUP_Biofuels!$O$8,LEFT(C10,20)=SUP_Biofuels!$P$8),LEFT(C10,20),C10)="Specific investment ","Specific investment (M€ /MW",IF(OR(LEFT(C10,27)=SUP_Biofuels!$N$8,LEFT(C10,20)=SUP_Biofuels!$O$8,LEFT(C10,20)=SUP_Biofuels!$P$8),LEFT(C10,20),C10))</f>
        <v>Hydrogen Consumption, t/t Methanol</v>
      </c>
      <c r="C10" s="162" t="s">
        <v>273</v>
      </c>
      <c r="D10" s="162">
        <v>0.192</v>
      </c>
      <c r="E10" s="162">
        <v>0.192</v>
      </c>
      <c r="F10" s="162">
        <v>0.192</v>
      </c>
      <c r="G10" s="162">
        <v>0.192</v>
      </c>
      <c r="H10" s="162">
        <v>0.192</v>
      </c>
      <c r="I10" s="205">
        <v>1</v>
      </c>
      <c r="J10" s="205">
        <v>1.1000000000000001</v>
      </c>
      <c r="K10" s="205">
        <v>1</v>
      </c>
      <c r="L10" s="205">
        <v>1.1000000000000001</v>
      </c>
      <c r="M10" s="161"/>
      <c r="N10" s="161">
        <v>5</v>
      </c>
    </row>
    <row r="11" spans="2:14">
      <c r="B11" t="str">
        <f>IF(IF(OR(LEFT(C11,27)=SUP_Biofuels!$N$8,LEFT(C11,20)=SUP_Biofuels!$O$8,LEFT(C11,20)=SUP_Biofuels!$P$8),LEFT(C11,20),C11)="Specific investment ","Specific investment (M€ /MW",IF(OR(LEFT(C11,27)=SUP_Biofuels!$N$8,LEFT(C11,20)=SUP_Biofuels!$O$8,LEFT(C11,20)=SUP_Biofuels!$P$8),LEFT(C11,20),C11))</f>
        <v>Electricity Consumption, MWh/MWh Total Inputs</v>
      </c>
      <c r="C11" s="190" t="s">
        <v>104</v>
      </c>
      <c r="D11" s="190">
        <v>1</v>
      </c>
      <c r="E11" s="190">
        <v>1</v>
      </c>
      <c r="F11" s="190">
        <v>1</v>
      </c>
      <c r="G11" s="190">
        <v>1</v>
      </c>
      <c r="H11" s="190">
        <v>1</v>
      </c>
      <c r="I11" s="208">
        <v>0.9</v>
      </c>
      <c r="J11" s="208">
        <v>1.2</v>
      </c>
      <c r="K11" s="208">
        <v>0.95</v>
      </c>
      <c r="L11" s="208">
        <v>1.1000000000000001</v>
      </c>
      <c r="M11" s="188" t="s">
        <v>272</v>
      </c>
      <c r="N11" s="188" t="s">
        <v>265</v>
      </c>
    </row>
    <row r="12" spans="2:14">
      <c r="B12" t="str">
        <f>IF(IF(OR(LEFT(C12,27)=SUP_Biofuels!$N$8,LEFT(C12,20)=SUP_Biofuels!$O$8,LEFT(C12,20)=SUP_Biofuels!$P$8),LEFT(C12,20),C12)="Specific investment ","Specific investment (M€ /MW",IF(OR(LEFT(C12,27)=SUP_Biofuels!$N$8,LEFT(C12,20)=SUP_Biofuels!$O$8,LEFT(C12,20)=SUP_Biofuels!$P$8),LEFT(C12,20),C12))</f>
        <v>Outputs</v>
      </c>
      <c r="C12" s="186" t="s">
        <v>271</v>
      </c>
      <c r="D12" s="185"/>
      <c r="E12" s="185"/>
      <c r="F12" s="185"/>
      <c r="G12" s="185"/>
      <c r="H12" s="185"/>
      <c r="I12" s="213"/>
      <c r="J12" s="213"/>
      <c r="K12" s="213"/>
      <c r="L12" s="213"/>
      <c r="M12" s="183"/>
      <c r="N12" s="225"/>
    </row>
    <row r="13" spans="2:14">
      <c r="B13" t="str">
        <f>IF(IF(OR(LEFT(C13,27)=SUP_Biofuels!$N$8,LEFT(C13,20)=SUP_Biofuels!$O$8,LEFT(C13,20)=SUP_Biofuels!$P$8),LEFT(C13,20),C13)="Specific investment ","Specific investment (M€ /MW",IF(OR(LEFT(C13,27)=SUP_Biofuels!$N$8,LEFT(C13,20)=SUP_Biofuels!$O$8,LEFT(C13,20)=SUP_Biofuels!$P$8),LEFT(C13,20),C13))</f>
        <v>Methanol Output, MWh/MWh Input</v>
      </c>
      <c r="C13" s="180" t="s">
        <v>270</v>
      </c>
      <c r="D13" s="180">
        <v>0.57999999999999996</v>
      </c>
      <c r="E13" s="180">
        <v>0.57999999999999996</v>
      </c>
      <c r="F13" s="180">
        <v>0.61</v>
      </c>
      <c r="G13" s="180">
        <v>0.63</v>
      </c>
      <c r="H13" s="180">
        <v>0.65</v>
      </c>
      <c r="I13" s="206">
        <v>1</v>
      </c>
      <c r="J13" s="206">
        <v>1.33</v>
      </c>
      <c r="K13" s="206">
        <v>1</v>
      </c>
      <c r="L13" s="206">
        <v>1.33</v>
      </c>
      <c r="M13" s="178" t="s">
        <v>269</v>
      </c>
      <c r="N13" s="178" t="s">
        <v>265</v>
      </c>
    </row>
    <row r="14" spans="2:14">
      <c r="B14" t="str">
        <f>IF(IF(OR(LEFT(C14,27)=SUP_Biofuels!$N$8,LEFT(C14,20)=SUP_Biofuels!$O$8,LEFT(C14,20)=SUP_Biofuels!$P$8),LEFT(C14,20),C14)="Specific investment ","Specific investment (M€ /MW",IF(OR(LEFT(C14,27)=SUP_Biofuels!$N$8,LEFT(C14,20)=SUP_Biofuels!$O$8,LEFT(C14,20)=SUP_Biofuels!$P$8),LEFT(C14,20),C14))</f>
        <v>District Heating Output, MWh/MWh Total input</v>
      </c>
      <c r="C14" s="190" t="s">
        <v>109</v>
      </c>
      <c r="D14" s="190">
        <v>0.25</v>
      </c>
      <c r="E14" s="190">
        <v>0.25</v>
      </c>
      <c r="F14" s="190">
        <v>0.25</v>
      </c>
      <c r="G14" s="190">
        <v>0.25</v>
      </c>
      <c r="H14" s="190">
        <v>0.25</v>
      </c>
      <c r="I14" s="208">
        <v>0</v>
      </c>
      <c r="J14" s="208">
        <v>1</v>
      </c>
      <c r="K14" s="208">
        <v>0</v>
      </c>
      <c r="L14" s="208">
        <v>1</v>
      </c>
      <c r="M14" s="188" t="s">
        <v>266</v>
      </c>
      <c r="N14" s="188" t="s">
        <v>265</v>
      </c>
    </row>
    <row r="15" spans="2:14">
      <c r="B15">
        <f>IF(IF(OR(LEFT(C15,27)=SUP_Biofuels!$N$8,LEFT(C15,20)=SUP_Biofuels!$O$8,LEFT(C15,20)=SUP_Biofuels!$P$8),LEFT(C15,20),C15)="Specific investment ","Specific investment (M€ /MW",IF(OR(LEFT(C15,27)=SUP_Biofuels!$N$8,LEFT(C15,20)=SUP_Biofuels!$O$8,LEFT(C15,20)=SUP_Biofuels!$P$8),LEFT(C15,20),C15))</f>
        <v>0</v>
      </c>
      <c r="C15" s="207"/>
      <c r="D15" s="185"/>
      <c r="E15" s="185"/>
      <c r="F15" s="185"/>
      <c r="G15" s="185"/>
      <c r="H15" s="185"/>
      <c r="I15" s="185"/>
      <c r="J15" s="185"/>
      <c r="K15" s="185"/>
      <c r="L15" s="185"/>
      <c r="M15" s="183"/>
      <c r="N15" s="225"/>
    </row>
    <row r="16" spans="2:14">
      <c r="B16" t="str">
        <f>IF(IF(OR(LEFT(C16,27)=SUP_Biofuels!$N$8,LEFT(C16,20)=SUP_Biofuels!$O$8,LEFT(C16,20)=SUP_Biofuels!$P$8),LEFT(C16,20),C16)="Specific investment ","Specific investment (M€ /MW",IF(OR(LEFT(C16,27)=SUP_Biofuels!$N$8,LEFT(C16,20)=SUP_Biofuels!$O$8,LEFT(C16,20)=SUP_Biofuels!$P$8),LEFT(C16,20),C16))</f>
        <v>Forced outage (%)</v>
      </c>
      <c r="C16" s="180" t="s">
        <v>59</v>
      </c>
      <c r="D16" s="180">
        <v>4</v>
      </c>
      <c r="E16" s="180">
        <v>4</v>
      </c>
      <c r="F16" s="180">
        <v>0</v>
      </c>
      <c r="G16" s="180">
        <v>0</v>
      </c>
      <c r="H16" s="180">
        <v>0</v>
      </c>
      <c r="I16" s="206"/>
      <c r="J16" s="206"/>
      <c r="K16" s="206"/>
      <c r="L16" s="206"/>
      <c r="M16" s="178"/>
      <c r="N16" s="178"/>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62" t="s">
        <v>92</v>
      </c>
      <c r="D17" s="162">
        <v>2</v>
      </c>
      <c r="E17" s="162">
        <v>2</v>
      </c>
      <c r="F17" s="162">
        <v>2</v>
      </c>
      <c r="G17" s="162">
        <v>2</v>
      </c>
      <c r="H17" s="162">
        <v>2</v>
      </c>
      <c r="I17" s="205"/>
      <c r="J17" s="205"/>
      <c r="K17" s="205"/>
      <c r="L17" s="205"/>
      <c r="M17" s="161"/>
      <c r="N17" s="161"/>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62" t="s">
        <v>58</v>
      </c>
      <c r="D18" s="162">
        <v>25</v>
      </c>
      <c r="E18" s="162">
        <v>20</v>
      </c>
      <c r="F18" s="162">
        <v>20</v>
      </c>
      <c r="G18" s="162">
        <v>20</v>
      </c>
      <c r="H18" s="162">
        <v>20</v>
      </c>
      <c r="I18" s="162"/>
      <c r="J18" s="162"/>
      <c r="K18" s="162"/>
      <c r="L18" s="162"/>
      <c r="M18" s="161"/>
      <c r="N18" s="161"/>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90" t="s">
        <v>60</v>
      </c>
      <c r="D19" s="190">
        <v>2</v>
      </c>
      <c r="E19" s="190">
        <v>2</v>
      </c>
      <c r="F19" s="190">
        <v>2</v>
      </c>
      <c r="G19" s="190">
        <v>2</v>
      </c>
      <c r="H19" s="190">
        <v>2</v>
      </c>
      <c r="I19" s="190"/>
      <c r="J19" s="190"/>
      <c r="K19" s="190"/>
      <c r="L19" s="190"/>
      <c r="M19" s="188"/>
      <c r="N19" s="188"/>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86" t="s">
        <v>264</v>
      </c>
      <c r="D20" s="185"/>
      <c r="E20" s="185"/>
      <c r="F20" s="185"/>
      <c r="G20" s="185"/>
      <c r="H20" s="185"/>
      <c r="I20" s="185"/>
      <c r="J20" s="185"/>
      <c r="K20" s="185"/>
      <c r="L20" s="185"/>
      <c r="M20" s="183"/>
      <c r="N20" s="225"/>
    </row>
    <row r="21" spans="2:14">
      <c r="B21" t="str">
        <f>IF(IF(OR(LEFT(C21,27)=SUP_Biofuels!$N$8,LEFT(C21,20)=SUP_Biofuels!$O$8,LEFT(C21,20)=SUP_Biofuels!$P$8),LEFT(C21,20),C21)="Specific investment ","Specific investment (M€ /MW",IF(OR(LEFT(C21,27)=SUP_Biofuels!$N$8,LEFT(C21,20)=SUP_Biofuels!$O$8,LEFT(C21,20)=SUP_Biofuels!$P$8),LEFT(C21,20),C21))</f>
        <v>Specific investment (M€ /MW</v>
      </c>
      <c r="C21" s="180" t="s">
        <v>263</v>
      </c>
      <c r="D21" s="201">
        <v>4.5134328358208959</v>
      </c>
      <c r="E21" s="201">
        <v>4.5134328358208951</v>
      </c>
      <c r="F21" s="201">
        <v>3.0089552238805966</v>
      </c>
      <c r="G21" s="201">
        <v>2.256716417910448</v>
      </c>
      <c r="H21" s="201">
        <v>1.5044776119402985</v>
      </c>
      <c r="I21" s="179">
        <v>0.5</v>
      </c>
      <c r="J21" s="179">
        <v>1</v>
      </c>
      <c r="K21" s="179">
        <v>0.8</v>
      </c>
      <c r="L21" s="179">
        <v>1.2</v>
      </c>
      <c r="M21" s="178" t="s">
        <v>255</v>
      </c>
      <c r="N21" s="178" t="s">
        <v>254</v>
      </c>
    </row>
    <row r="22" spans="2:14">
      <c r="B22" t="str">
        <f>IF(IF(OR(LEFT(C22,27)=SUP_Biofuels!$N$8,LEFT(C22,20)=SUP_Biofuels!$O$8,LEFT(C22,20)=SUP_Biofuels!$P$8),LEFT(C22,20),C22)="Specific investment ","Specific investment (M€ /MW",IF(OR(LEFT(C22,27)=SUP_Biofuels!$N$8,LEFT(C22,20)=SUP_Biofuels!$O$8,LEFT(C22,20)=SUP_Biofuels!$P$8),LEFT(C22,20),C22))</f>
        <v>- equipment (%)</v>
      </c>
      <c r="C22" s="162" t="s">
        <v>252</v>
      </c>
      <c r="D22" s="163" t="s">
        <v>1008</v>
      </c>
      <c r="E22" s="163">
        <v>75</v>
      </c>
      <c r="F22" s="163">
        <v>75</v>
      </c>
      <c r="G22" s="163">
        <v>75</v>
      </c>
      <c r="H22" s="163">
        <v>75</v>
      </c>
      <c r="I22" s="167"/>
      <c r="J22" s="167"/>
      <c r="K22" s="167"/>
      <c r="L22" s="167"/>
      <c r="M22" s="161"/>
      <c r="N22" s="161"/>
    </row>
    <row r="23" spans="2:14">
      <c r="B23" t="str">
        <f>LEFT(C23,17)</f>
        <v xml:space="preserve"> -installation (%</v>
      </c>
      <c r="C23" s="162" t="s">
        <v>251</v>
      </c>
      <c r="D23" s="163">
        <v>25</v>
      </c>
      <c r="E23" s="163">
        <v>25</v>
      </c>
      <c r="F23" s="163">
        <v>25</v>
      </c>
      <c r="G23" s="163">
        <v>25</v>
      </c>
      <c r="H23" s="163">
        <v>25</v>
      </c>
      <c r="I23" s="167"/>
      <c r="J23" s="167"/>
      <c r="K23" s="167"/>
      <c r="L23" s="167"/>
      <c r="M23" s="161"/>
      <c r="N23" s="161"/>
    </row>
    <row r="24" spans="2:14">
      <c r="B24" t="str">
        <f>LEFT(C24,17)</f>
        <v>Fixed O&amp;M (M€ /MW</v>
      </c>
      <c r="C24" s="162" t="s">
        <v>262</v>
      </c>
      <c r="D24" s="168">
        <v>5.2656716417910455E-2</v>
      </c>
      <c r="E24" s="168">
        <v>5.2656716417910449E-2</v>
      </c>
      <c r="F24" s="168">
        <v>5.2656716417910449E-2</v>
      </c>
      <c r="G24" s="168">
        <v>5.2656716417910449E-2</v>
      </c>
      <c r="H24" s="168">
        <v>5.2656716417910455E-2</v>
      </c>
      <c r="I24" s="167">
        <v>0.9</v>
      </c>
      <c r="J24" s="167">
        <v>1.1000000000000001</v>
      </c>
      <c r="K24" s="167">
        <v>0.9</v>
      </c>
      <c r="L24" s="167">
        <v>1.1000000000000001</v>
      </c>
      <c r="M24" s="161" t="s">
        <v>243</v>
      </c>
      <c r="N24" s="161">
        <v>1</v>
      </c>
    </row>
    <row r="25" spans="2:14">
      <c r="B25" t="str">
        <f>LEFT(C25,19)</f>
        <v>Variable O&amp;M (€ /MW</v>
      </c>
      <c r="C25" s="162" t="s">
        <v>247</v>
      </c>
      <c r="D25" s="197">
        <v>6.2686567164179117</v>
      </c>
      <c r="E25" s="197">
        <v>6.2686567164179108</v>
      </c>
      <c r="F25" s="197">
        <v>6.2686567164179108</v>
      </c>
      <c r="G25" s="197">
        <v>6.2686567164179108</v>
      </c>
      <c r="H25" s="197">
        <v>6.2686567164179117</v>
      </c>
      <c r="I25" s="167">
        <v>0.9</v>
      </c>
      <c r="J25" s="167">
        <v>1.1000000000000001</v>
      </c>
      <c r="K25" s="167">
        <v>0.9</v>
      </c>
      <c r="L25" s="167">
        <v>1.1000000000000001</v>
      </c>
      <c r="M25" s="161" t="s">
        <v>243</v>
      </c>
      <c r="N25" s="161">
        <v>1</v>
      </c>
    </row>
    <row r="26" spans="2:14">
      <c r="B26" t="str">
        <f>IF(IF(OR(LEFT(C26,27)=SUP_Biofuels!$N$8,LEFT(C26,20)=SUP_Biofuels!$O$8,LEFT(C26,20)=SUP_Biofuels!$P$8),LEFT(C26,20),C26)="Specific investment ","Specific investment (M€ /MW",IF(OR(LEFT(C26,27)=SUP_Biofuels!$N$8,LEFT(C26,20)=SUP_Biofuels!$O$8,LEFT(C26,20)=SUP_Biofuels!$P$8),LEFT(C26,20),C26))</f>
        <v>Start up (M€ /1,000 t Methanol)</v>
      </c>
      <c r="C26" s="190" t="s">
        <v>240</v>
      </c>
      <c r="D26" s="192">
        <v>0</v>
      </c>
      <c r="E26" s="190">
        <v>0</v>
      </c>
      <c r="F26" s="190">
        <v>0</v>
      </c>
      <c r="G26" s="190">
        <v>0</v>
      </c>
      <c r="H26" s="190">
        <v>0</v>
      </c>
      <c r="I26" s="189"/>
      <c r="J26" s="189"/>
      <c r="K26" s="189"/>
      <c r="L26" s="189"/>
      <c r="M26" s="188"/>
      <c r="N26" s="188"/>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86" t="s">
        <v>260</v>
      </c>
      <c r="D27" s="185"/>
      <c r="E27" s="185"/>
      <c r="F27" s="185"/>
      <c r="G27" s="185"/>
      <c r="H27" s="185"/>
      <c r="I27" s="184"/>
      <c r="J27" s="184"/>
      <c r="K27" s="184"/>
      <c r="L27" s="184"/>
      <c r="M27" s="183"/>
      <c r="N27" s="225"/>
    </row>
    <row r="28" spans="2:14">
      <c r="B28" t="str">
        <f>IF(IF(OR(LEFT(C28,27)=SUP_Biofuels!$N$8,LEFT(C28,20)=SUP_Biofuels!$O$8,LEFT(C28,20)=SUP_Biofuels!$P$8),LEFT(C28,20),C28)="Specific investment ","Specific investment (M€ /MW",IF(OR(LEFT(C28,27)=SUP_Biofuels!$N$8,LEFT(C28,20)=SUP_Biofuels!$O$8,LEFT(C28,20)=SUP_Biofuels!$P$8),LEFT(C28,20),C28))</f>
        <v>Specific energy content (GJ/ton) methanol)</v>
      </c>
      <c r="C28" s="180" t="s">
        <v>258</v>
      </c>
      <c r="D28" s="180">
        <v>20.100000000000001</v>
      </c>
      <c r="E28" s="180">
        <v>20.100000000000001</v>
      </c>
      <c r="F28" s="180">
        <v>20.100000000000001</v>
      </c>
      <c r="G28" s="180">
        <v>20.100000000000001</v>
      </c>
      <c r="H28" s="180">
        <v>20.100000000000001</v>
      </c>
      <c r="I28" s="179"/>
      <c r="J28" s="179"/>
      <c r="K28" s="179"/>
      <c r="L28" s="179"/>
      <c r="M28" s="178"/>
      <c r="N28" s="178"/>
    </row>
    <row r="29" spans="2:14">
      <c r="B29" t="str">
        <f>IF(IF(OR(LEFT(C29,27)=SUP_Biofuels!$N$8,LEFT(C29,20)=SUP_Biofuels!$O$8,LEFT(C29,20)=SUP_Biofuels!$P$8),LEFT(C29,20),C29)="Specific investment ","Specific investment (M€ /MW",IF(OR(LEFT(C29,27)=SUP_Biofuels!$N$8,LEFT(C29,20)=SUP_Biofuels!$O$8,LEFT(C29,20)=SUP_Biofuels!$P$8),LEFT(C29,20),C29))</f>
        <v>Specific density  (kg/l) or (ton/m3)</v>
      </c>
      <c r="C29" s="162" t="s">
        <v>257</v>
      </c>
      <c r="D29" s="162">
        <v>0.79</v>
      </c>
      <c r="E29" s="162">
        <v>0.79</v>
      </c>
      <c r="F29" s="162">
        <v>0.79</v>
      </c>
      <c r="G29" s="162">
        <v>0.79</v>
      </c>
      <c r="H29" s="162">
        <v>0.79</v>
      </c>
      <c r="I29" s="167"/>
      <c r="J29" s="167"/>
      <c r="K29" s="167"/>
      <c r="L29" s="167"/>
      <c r="M29" s="161"/>
      <c r="N29" s="161"/>
    </row>
    <row r="30" spans="2:14">
      <c r="B30" t="str">
        <f>IF(IF(OR(LEFT(C30,27)=SUP_Biofuels!$N$8,LEFT(C30,20)=SUP_Biofuels!$O$8,LEFT(C30,20)=SUP_Biofuels!$P$8),LEFT(C30,20),C30)="Specific investment ","Specific investment (M€ /MW",IF(OR(LEFT(C30,27)=SUP_Biofuels!$N$8,LEFT(C30,20)=SUP_Biofuels!$O$8,LEFT(C30,20)=SUP_Biofuels!$P$8),LEFT(C30,20),C30))</f>
        <v>Specific investment (M€ /1,000 t Methanol)</v>
      </c>
      <c r="C30" s="162" t="s">
        <v>256</v>
      </c>
      <c r="D30" s="176">
        <v>3</v>
      </c>
      <c r="E30" s="176">
        <v>3</v>
      </c>
      <c r="F30" s="176">
        <v>2</v>
      </c>
      <c r="G30" s="176">
        <v>1.5</v>
      </c>
      <c r="H30" s="176">
        <v>1</v>
      </c>
      <c r="I30" s="167">
        <v>0.5</v>
      </c>
      <c r="J30" s="167">
        <v>1</v>
      </c>
      <c r="K30" s="167">
        <v>0.8</v>
      </c>
      <c r="L30" s="167">
        <v>1.2</v>
      </c>
      <c r="M30" s="161" t="s">
        <v>255</v>
      </c>
      <c r="N30" s="161" t="s">
        <v>254</v>
      </c>
    </row>
    <row r="31" spans="2:14">
      <c r="B31" t="str">
        <f>IF(IF(OR(LEFT(C31,27)=SUP_Biofuels!$N$8,LEFT(C31,20)=SUP_Biofuels!$O$8,LEFT(C31,20)=SUP_Biofuels!$P$8),LEFT(C31,20),C31)="Specific investment ","Specific investment (M€ /MW",IF(OR(LEFT(C31,27)=SUP_Biofuels!$N$8,LEFT(C31,20)=SUP_Biofuels!$O$8,LEFT(C31,20)=SUP_Biofuels!$P$8),LEFT(C31,20),C31))</f>
        <v>- equipment (%)</v>
      </c>
      <c r="C31" s="162" t="s">
        <v>252</v>
      </c>
      <c r="D31" s="163" t="s">
        <v>1008</v>
      </c>
      <c r="E31" s="163">
        <v>75</v>
      </c>
      <c r="F31" s="163">
        <v>75</v>
      </c>
      <c r="G31" s="163">
        <v>75</v>
      </c>
      <c r="H31" s="163">
        <v>75</v>
      </c>
      <c r="I31" s="167"/>
      <c r="J31" s="167"/>
      <c r="K31" s="167"/>
      <c r="L31" s="167"/>
      <c r="M31" s="161"/>
      <c r="N31" s="161"/>
    </row>
    <row r="32" spans="2:14">
      <c r="B32" t="str">
        <f>IF(IF(OR(LEFT(C32,27)=SUP_Biofuels!$N$8,LEFT(C32,20)=SUP_Biofuels!$O$8,LEFT(C32,20)=SUP_Biofuels!$P$8),LEFT(C32,20),C32)="Specific investment ","Specific investment (M€ /MW",IF(OR(LEFT(C32,27)=SUP_Biofuels!$N$8,LEFT(C32,20)=SUP_Biofuels!$O$8,LEFT(C32,20)=SUP_Biofuels!$P$8),LEFT(C32,20),C32))</f>
        <v xml:space="preserve"> -installation (%)</v>
      </c>
      <c r="C32" s="162" t="s">
        <v>251</v>
      </c>
      <c r="D32" s="163">
        <v>25</v>
      </c>
      <c r="E32" s="163">
        <v>25</v>
      </c>
      <c r="F32" s="163">
        <v>25</v>
      </c>
      <c r="G32" s="163">
        <v>25</v>
      </c>
      <c r="H32" s="163">
        <v>25</v>
      </c>
      <c r="I32" s="167"/>
      <c r="J32" s="167"/>
      <c r="K32" s="167"/>
      <c r="L32" s="167"/>
      <c r="M32" s="161"/>
      <c r="N32" s="161"/>
    </row>
    <row r="33" spans="2:14">
      <c r="B33" t="str">
        <f>IF(IF(OR(LEFT(C33,27)=SUP_Biofuels!$N$8,LEFT(C33,20)=SUP_Biofuels!$O$8,LEFT(C33,20)=SUP_Biofuels!$P$8),LEFT(C33,20),C33)="Specific investment ","Specific investment (M€ /MW",IF(OR(LEFT(C33,27)=SUP_Biofuels!$N$8,LEFT(C33,20)=SUP_Biofuels!$O$8,LEFT(C33,20)=SUP_Biofuels!$P$8),LEFT(C33,20),C33))</f>
        <v>Fixed O&amp;M (M€ /1,000 t Methanol)</v>
      </c>
      <c r="C33" s="162" t="s">
        <v>246</v>
      </c>
      <c r="D33" s="168">
        <v>3.5000000000000003E-2</v>
      </c>
      <c r="E33" s="168">
        <v>3.5000000000000003E-2</v>
      </c>
      <c r="F33" s="168">
        <v>3.5000000000000003E-2</v>
      </c>
      <c r="G33" s="168">
        <v>3.5000000000000003E-2</v>
      </c>
      <c r="H33" s="168">
        <v>3.5000000000000003E-2</v>
      </c>
      <c r="I33" s="167">
        <v>0.9</v>
      </c>
      <c r="J33" s="167">
        <v>1.1000000000000001</v>
      </c>
      <c r="K33" s="167">
        <v>0.9</v>
      </c>
      <c r="L33" s="167">
        <v>1.1000000000000001</v>
      </c>
      <c r="M33" s="161" t="s">
        <v>243</v>
      </c>
      <c r="N33" s="161">
        <v>1</v>
      </c>
    </row>
    <row r="34" spans="2:14">
      <c r="C34" s="162" t="s">
        <v>244</v>
      </c>
      <c r="D34" s="168">
        <v>3.5000000000000003E-2</v>
      </c>
      <c r="E34" s="168">
        <v>3.5000000000000003E-2</v>
      </c>
      <c r="F34" s="168">
        <v>3.5000000000000003E-2</v>
      </c>
      <c r="G34" s="168">
        <v>3.5000000000000003E-2</v>
      </c>
      <c r="H34" s="168">
        <v>3.5000000000000003E-2</v>
      </c>
      <c r="I34" s="167">
        <v>0.9</v>
      </c>
      <c r="J34" s="167">
        <v>1.1000000000000001</v>
      </c>
      <c r="K34" s="167">
        <v>0.9</v>
      </c>
      <c r="L34" s="167">
        <v>1.1000000000000001</v>
      </c>
      <c r="M34" s="161" t="s">
        <v>243</v>
      </c>
      <c r="N34" s="161">
        <v>1</v>
      </c>
    </row>
    <row r="35" spans="2:14">
      <c r="C35" s="162" t="s">
        <v>240</v>
      </c>
      <c r="D35" s="163">
        <v>0</v>
      </c>
      <c r="E35" s="162">
        <v>0</v>
      </c>
      <c r="F35" s="162">
        <v>0</v>
      </c>
      <c r="G35" s="162"/>
      <c r="H35" s="162">
        <v>0</v>
      </c>
      <c r="I35" s="162"/>
      <c r="J35" s="162"/>
      <c r="K35" s="162"/>
      <c r="L35" s="162"/>
      <c r="M35" s="161"/>
      <c r="N35" s="161"/>
    </row>
    <row r="37" spans="2:14">
      <c r="C37" s="886" t="s">
        <v>695</v>
      </c>
    </row>
    <row r="38" spans="2:14">
      <c r="C38" s="885" t="s">
        <v>1222</v>
      </c>
    </row>
    <row r="39" spans="2:14">
      <c r="C39" s="885" t="s">
        <v>1192</v>
      </c>
    </row>
    <row r="40" spans="2:14">
      <c r="C40" s="885" t="s">
        <v>1221</v>
      </c>
    </row>
    <row r="41" spans="2:14">
      <c r="C41" s="885" t="s">
        <v>1220</v>
      </c>
    </row>
    <row r="42" spans="2:14">
      <c r="C42" s="885" t="s">
        <v>1219</v>
      </c>
    </row>
    <row r="43" spans="2:14">
      <c r="C43" s="885" t="s">
        <v>1218</v>
      </c>
    </row>
    <row r="44" spans="2:14">
      <c r="C44" s="885" t="s">
        <v>1217</v>
      </c>
    </row>
    <row r="45" spans="2:14">
      <c r="C45" s="885" t="s">
        <v>1216</v>
      </c>
    </row>
    <row r="46" spans="2:14">
      <c r="C46" s="885" t="s">
        <v>1215</v>
      </c>
    </row>
    <row r="48" spans="2:14">
      <c r="C48" s="886" t="s">
        <v>989</v>
      </c>
    </row>
    <row r="49" spans="3:3">
      <c r="C49" s="885" t="s">
        <v>1214</v>
      </c>
    </row>
    <row r="50" spans="3:3">
      <c r="C50" s="885" t="s">
        <v>1213</v>
      </c>
    </row>
    <row r="51" spans="3:3">
      <c r="C51" s="885" t="s">
        <v>1212</v>
      </c>
    </row>
    <row r="52" spans="3:3">
      <c r="C52" s="885" t="s">
        <v>1211</v>
      </c>
    </row>
    <row r="53" spans="3:3">
      <c r="C53" s="885" t="s">
        <v>1210</v>
      </c>
    </row>
    <row r="54" spans="3:3">
      <c r="C54" s="885" t="s">
        <v>1209</v>
      </c>
    </row>
    <row r="55" spans="3:3">
      <c r="C55" s="885" t="s">
        <v>1208</v>
      </c>
    </row>
    <row r="56" spans="3:3">
      <c r="C56" s="885" t="s">
        <v>1207</v>
      </c>
    </row>
    <row r="57" spans="3:3">
      <c r="C57" s="885" t="s">
        <v>1206</v>
      </c>
    </row>
    <row r="58" spans="3:3">
      <c r="C58" s="885" t="s">
        <v>1205</v>
      </c>
    </row>
    <row r="59" spans="3:3">
      <c r="C59" s="885" t="s">
        <v>1204</v>
      </c>
    </row>
    <row r="60" spans="3:3">
      <c r="C60" s="885" t="s">
        <v>1203</v>
      </c>
    </row>
    <row r="61" spans="3:3">
      <c r="C61" s="885" t="s">
        <v>1202</v>
      </c>
    </row>
  </sheetData>
  <mergeCells count="3">
    <mergeCell ref="D2:N2"/>
    <mergeCell ref="I3:J3"/>
    <mergeCell ref="K3:L3"/>
  </mergeCells>
  <hyperlinks>
    <hyperlink ref="C49" r:id="rId1" display="http://serenergy.com/next-generation-of-methanol-fuel-cell-vehicles-sees-the-light-of-day/" xr:uid="{ACD3E304-2364-4DAE-A0BC-5335BD2E2108}"/>
    <hyperlink ref="C50" r:id="rId2" display="https://eu-ems.com/event_images/presentations/Benedikt Stefansson presentation.pdf" xr:uid="{3E926933-5FD9-45C1-8406-C632D1786C28}"/>
    <hyperlink ref="C51" r:id="rId3" display="https://www.co2-cato.org/cato-download/4123/20170512_143353_20-11.00-Stefansson-public.pdf" xr:uid="{360AD9EF-8187-4ED2-A1C6-D478ECAD8D12}"/>
    <hyperlink ref="C52" r:id="rId4" display="http://www.mefco2.eu/pdf/MefCO2_Brochure_00.pdf" xr:uid="{DAA178BD-9D33-4189-B6E1-8B5C068ABADD}"/>
    <hyperlink ref="C53" r:id="rId5" display="http://dx.doi.org/10.1016/j.ijhydene.2015.12.074" xr:uid="{4B7FC35A-03FD-43A6-B109-A8698F355515}"/>
    <hyperlink ref="C54" r:id="rId6" display="http://www.methanol.org/the-methanol-industry/" xr:uid="{7D3F14BF-B1C9-46BC-BAC3-B23114813EB4}"/>
    <hyperlink ref="C55" r:id="rId7" display="https://energy.gov/sites/prod/files/2017/06/f34/fcto_may_2017_h2_scale_wkshp_hovsapian.pdf" xr:uid="{C0C95835-F321-43D0-902F-21297ECE10C6}"/>
    <hyperlink ref="C56" r:id="rId8" display="https://doi.org/10.1016/j.renene.2015.07.066" xr:uid="{0D15600C-AA10-4ECF-A0DB-66F02337CB9D}"/>
    <hyperlink ref="C57" r:id="rId9" display="http://serenergy.com/wp-content/uploads/2015/11/GreenSynFuels_report_final.pdf" xr:uid="{E9A8A9BF-461D-450E-86EF-88684BCAB881}"/>
    <hyperlink ref="C58" r:id="rId10" display="https://www.topsoe.com/processes/gasoline-synthesis/gasoline-synthesis-tigas" xr:uid="{5C45DA34-E426-4393-B8D5-CC40476A167B}"/>
    <hyperlink ref="C59" r:id="rId11" display="https://dx.doi.org/10.2790/981669" xr:uid="{EC32605A-8B28-4604-9E00-9D6D53FB8668}"/>
    <hyperlink ref="C60" r:id="rId12" display="http://www.enea-consulting.com/wp-content/uploads/2016/01/ENEA-Consulting-The-potential-of-power-to-gas.pdf" xr:uid="{46083D2B-B8BF-48DC-801E-FCA829089019}"/>
    <hyperlink ref="C61" r:id="rId13" display="http://carbonrecycling.is/comercial-scale/" xr:uid="{22A86E60-CB9A-43E2-9B3B-C1ADB2FCAD8D}"/>
    <hyperlink ref="I1" location="Index" display="Back to Index" xr:uid="{0CAD37DB-191B-4D78-848C-6C670DF741D2}"/>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E4E6D-C695-4704-8E73-44CEA2342B74}">
  <sheetPr>
    <tabColor theme="4" tint="0.39997558519241921"/>
  </sheetPr>
  <dimension ref="B1:M55"/>
  <sheetViews>
    <sheetView workbookViewId="0">
      <selection activeCell="G27" sqref="G27"/>
    </sheetView>
  </sheetViews>
  <sheetFormatPr defaultColWidth="9.109375" defaultRowHeight="14.4"/>
  <cols>
    <col min="1" max="1" width="2.6640625" customWidth="1"/>
    <col min="2" max="2" width="25.44140625" customWidth="1"/>
    <col min="3" max="12" width="6.6640625" customWidth="1"/>
  </cols>
  <sheetData>
    <row r="1" spans="2:13">
      <c r="H1" s="884" t="s">
        <v>966</v>
      </c>
    </row>
    <row r="2" spans="2:13" ht="15" customHeight="1">
      <c r="B2" s="260" t="s">
        <v>296</v>
      </c>
      <c r="C2" s="1291" t="s">
        <v>371</v>
      </c>
      <c r="D2" s="1291"/>
      <c r="E2" s="1291"/>
      <c r="F2" s="1291"/>
      <c r="G2" s="1291"/>
      <c r="H2" s="1291"/>
      <c r="I2" s="1291"/>
      <c r="J2" s="1291"/>
      <c r="K2" s="1291"/>
      <c r="L2" s="1291"/>
      <c r="M2" s="1291"/>
    </row>
    <row r="3" spans="2:13" ht="15" customHeight="1">
      <c r="B3" s="162"/>
      <c r="C3" s="162">
        <v>2015</v>
      </c>
      <c r="D3" s="162">
        <v>2020</v>
      </c>
      <c r="E3" s="162">
        <v>2030</v>
      </c>
      <c r="F3" s="162">
        <v>2040</v>
      </c>
      <c r="G3" s="162">
        <v>2050</v>
      </c>
      <c r="H3" s="1292" t="s">
        <v>290</v>
      </c>
      <c r="I3" s="1292"/>
      <c r="J3" s="1292" t="s">
        <v>289</v>
      </c>
      <c r="K3" s="1292"/>
      <c r="L3" s="161" t="s">
        <v>288</v>
      </c>
      <c r="M3" s="161" t="s">
        <v>287</v>
      </c>
    </row>
    <row r="4" spans="2:13">
      <c r="B4" s="190"/>
      <c r="C4" s="190"/>
      <c r="D4" s="190"/>
      <c r="E4" s="190"/>
      <c r="F4" s="190"/>
      <c r="G4" s="190"/>
      <c r="H4" s="188" t="s">
        <v>284</v>
      </c>
      <c r="I4" s="188" t="s">
        <v>283</v>
      </c>
      <c r="J4" s="188" t="s">
        <v>284</v>
      </c>
      <c r="K4" s="188" t="s">
        <v>283</v>
      </c>
      <c r="L4" s="188"/>
      <c r="M4" s="188"/>
    </row>
    <row r="5" spans="2:13">
      <c r="B5" s="186" t="s">
        <v>282</v>
      </c>
      <c r="C5" s="185"/>
      <c r="D5" s="185"/>
      <c r="E5" s="185"/>
      <c r="F5" s="185"/>
      <c r="G5" s="185"/>
      <c r="H5" s="185"/>
      <c r="I5" s="185"/>
      <c r="J5" s="185"/>
      <c r="K5" s="185"/>
      <c r="L5" s="183"/>
      <c r="M5" s="225"/>
    </row>
    <row r="6" spans="2:13">
      <c r="B6" s="180" t="s">
        <v>381</v>
      </c>
      <c r="C6" s="180">
        <v>70</v>
      </c>
      <c r="D6" s="180">
        <v>100</v>
      </c>
      <c r="E6" s="180">
        <v>250</v>
      </c>
      <c r="F6" s="180">
        <v>500</v>
      </c>
      <c r="G6" s="180">
        <v>700</v>
      </c>
      <c r="H6" s="179">
        <v>0.75</v>
      </c>
      <c r="I6" s="179">
        <v>1.25</v>
      </c>
      <c r="J6" s="179">
        <v>0.75</v>
      </c>
      <c r="K6" s="179">
        <v>1.25</v>
      </c>
      <c r="L6" s="178" t="s">
        <v>280</v>
      </c>
      <c r="M6" s="178" t="s">
        <v>382</v>
      </c>
    </row>
    <row r="7" spans="2:13">
      <c r="B7" s="190" t="s">
        <v>278</v>
      </c>
      <c r="C7" s="261">
        <v>2.3148148148148149</v>
      </c>
      <c r="D7" s="261">
        <v>3.306878306878307</v>
      </c>
      <c r="E7" s="261">
        <v>8.2671957671957657</v>
      </c>
      <c r="F7" s="261">
        <v>16.534391534391531</v>
      </c>
      <c r="G7" s="261">
        <v>23.148148148148149</v>
      </c>
      <c r="H7" s="189">
        <v>0.75</v>
      </c>
      <c r="I7" s="189">
        <v>1.25</v>
      </c>
      <c r="J7" s="189">
        <v>0.75</v>
      </c>
      <c r="K7" s="189">
        <v>1.25</v>
      </c>
      <c r="L7" s="188" t="s">
        <v>383</v>
      </c>
      <c r="M7" s="188" t="s">
        <v>382</v>
      </c>
    </row>
    <row r="8" spans="2:13">
      <c r="B8" s="186" t="s">
        <v>384</v>
      </c>
      <c r="C8" s="185"/>
      <c r="D8" s="185"/>
      <c r="E8" s="185"/>
      <c r="F8" s="185"/>
      <c r="G8" s="185"/>
      <c r="H8" s="185"/>
      <c r="I8" s="185"/>
      <c r="J8" s="185"/>
      <c r="K8" s="185"/>
      <c r="L8" s="183"/>
      <c r="M8" s="225"/>
    </row>
    <row r="9" spans="2:13">
      <c r="B9" s="180" t="s">
        <v>385</v>
      </c>
      <c r="C9" s="180">
        <v>0.53</v>
      </c>
      <c r="D9" s="180">
        <v>0.53</v>
      </c>
      <c r="E9" s="180">
        <v>0.53</v>
      </c>
      <c r="F9" s="180">
        <v>0.53</v>
      </c>
      <c r="G9" s="180">
        <v>0.53</v>
      </c>
      <c r="H9" s="206">
        <v>0.8</v>
      </c>
      <c r="I9" s="206">
        <v>1.2</v>
      </c>
      <c r="J9" s="206">
        <v>0.8</v>
      </c>
      <c r="K9" s="206">
        <v>1.2</v>
      </c>
      <c r="L9" s="178" t="s">
        <v>386</v>
      </c>
      <c r="M9" s="178">
        <v>2</v>
      </c>
    </row>
    <row r="10" spans="2:13">
      <c r="B10" s="162" t="s">
        <v>119</v>
      </c>
      <c r="C10" s="162">
        <v>0.46</v>
      </c>
      <c r="D10" s="162">
        <v>0.46</v>
      </c>
      <c r="E10" s="162">
        <v>0.46</v>
      </c>
      <c r="F10" s="162">
        <v>0.46</v>
      </c>
      <c r="G10" s="162">
        <v>0.46</v>
      </c>
      <c r="H10" s="205">
        <v>0.8</v>
      </c>
      <c r="I10" s="205">
        <v>1.2</v>
      </c>
      <c r="J10" s="205">
        <v>0.8</v>
      </c>
      <c r="K10" s="205">
        <v>1.2</v>
      </c>
      <c r="L10" s="161" t="s">
        <v>387</v>
      </c>
      <c r="M10" s="161">
        <v>2</v>
      </c>
    </row>
    <row r="11" spans="2:13">
      <c r="B11" s="190" t="s">
        <v>96</v>
      </c>
      <c r="C11" s="190">
        <v>0.01</v>
      </c>
      <c r="D11" s="190">
        <v>0.01</v>
      </c>
      <c r="E11" s="190">
        <v>0.01</v>
      </c>
      <c r="F11" s="190">
        <v>0.01</v>
      </c>
      <c r="G11" s="190">
        <v>0.01</v>
      </c>
      <c r="H11" s="208">
        <v>0.5</v>
      </c>
      <c r="I11" s="208">
        <v>1.5</v>
      </c>
      <c r="J11" s="208">
        <v>0.5</v>
      </c>
      <c r="K11" s="208">
        <v>1.5</v>
      </c>
      <c r="L11" s="188" t="s">
        <v>269</v>
      </c>
      <c r="M11" s="188">
        <v>2</v>
      </c>
    </row>
    <row r="12" spans="2:13">
      <c r="B12" s="186" t="s">
        <v>271</v>
      </c>
      <c r="C12" s="185"/>
      <c r="D12" s="185"/>
      <c r="E12" s="185"/>
      <c r="F12" s="185"/>
      <c r="G12" s="185"/>
      <c r="H12" s="213"/>
      <c r="I12" s="213"/>
      <c r="J12" s="213"/>
      <c r="K12" s="213"/>
      <c r="L12" s="183"/>
      <c r="M12" s="225"/>
    </row>
    <row r="13" spans="2:13">
      <c r="B13" s="180" t="s">
        <v>388</v>
      </c>
      <c r="C13" s="180">
        <v>0.89</v>
      </c>
      <c r="D13" s="180">
        <v>0.89</v>
      </c>
      <c r="E13" s="180">
        <v>0.89</v>
      </c>
      <c r="F13" s="180">
        <v>0.89</v>
      </c>
      <c r="G13" s="180">
        <v>0.89</v>
      </c>
      <c r="H13" s="179">
        <v>0.9</v>
      </c>
      <c r="I13" s="179">
        <v>1.1000000000000001</v>
      </c>
      <c r="J13" s="179">
        <v>0.95</v>
      </c>
      <c r="K13" s="179">
        <v>1.05</v>
      </c>
      <c r="L13" s="178" t="s">
        <v>389</v>
      </c>
      <c r="M13" s="178">
        <v>2</v>
      </c>
    </row>
    <row r="14" spans="2:13">
      <c r="B14" s="190" t="s">
        <v>109</v>
      </c>
      <c r="C14" s="272">
        <v>0.1</v>
      </c>
      <c r="D14" s="272">
        <v>0.1</v>
      </c>
      <c r="E14" s="272">
        <v>0.1</v>
      </c>
      <c r="F14" s="272">
        <v>0.1</v>
      </c>
      <c r="G14" s="272">
        <v>0.1</v>
      </c>
      <c r="H14" s="208">
        <v>0.5</v>
      </c>
      <c r="I14" s="208">
        <v>1.5</v>
      </c>
      <c r="J14" s="208">
        <v>0.5</v>
      </c>
      <c r="K14" s="208">
        <v>1.5</v>
      </c>
      <c r="L14" s="188" t="s">
        <v>389</v>
      </c>
      <c r="M14" s="188">
        <v>2</v>
      </c>
    </row>
    <row r="15" spans="2:13">
      <c r="B15" s="207"/>
      <c r="C15" s="185"/>
      <c r="D15" s="185"/>
      <c r="E15" s="185"/>
      <c r="F15" s="185"/>
      <c r="G15" s="185"/>
      <c r="H15" s="213"/>
      <c r="I15" s="213"/>
      <c r="J15" s="213"/>
      <c r="K15" s="213"/>
      <c r="L15" s="183"/>
      <c r="M15" s="225"/>
    </row>
    <row r="16" spans="2:13">
      <c r="B16" s="180" t="s">
        <v>59</v>
      </c>
      <c r="C16" s="180">
        <v>4</v>
      </c>
      <c r="D16" s="180">
        <v>4</v>
      </c>
      <c r="E16" s="180">
        <v>0</v>
      </c>
      <c r="F16" s="180">
        <v>0</v>
      </c>
      <c r="G16" s="180">
        <v>0</v>
      </c>
      <c r="H16" s="180"/>
      <c r="I16" s="180"/>
      <c r="J16" s="180"/>
      <c r="K16" s="180"/>
      <c r="L16" s="178" t="s">
        <v>255</v>
      </c>
      <c r="M16" s="178"/>
    </row>
    <row r="17" spans="2:13">
      <c r="B17" s="162" t="s">
        <v>92</v>
      </c>
      <c r="C17" s="162">
        <v>2</v>
      </c>
      <c r="D17" s="162">
        <v>2</v>
      </c>
      <c r="E17" s="162">
        <v>2</v>
      </c>
      <c r="F17" s="162">
        <v>2</v>
      </c>
      <c r="G17" s="162">
        <v>2</v>
      </c>
      <c r="H17" s="162"/>
      <c r="I17" s="162"/>
      <c r="J17" s="162"/>
      <c r="K17" s="162"/>
      <c r="L17" s="161"/>
      <c r="M17" s="161"/>
    </row>
    <row r="18" spans="2:13">
      <c r="B18" s="162" t="s">
        <v>58</v>
      </c>
      <c r="C18" s="162">
        <v>25</v>
      </c>
      <c r="D18" s="162">
        <v>25</v>
      </c>
      <c r="E18" s="162">
        <v>25</v>
      </c>
      <c r="F18" s="162">
        <v>25</v>
      </c>
      <c r="G18" s="162">
        <v>25</v>
      </c>
      <c r="H18" s="162"/>
      <c r="I18" s="162"/>
      <c r="J18" s="162"/>
      <c r="K18" s="162"/>
      <c r="L18" s="161"/>
      <c r="M18" s="161"/>
    </row>
    <row r="19" spans="2:13">
      <c r="B19" s="190" t="s">
        <v>60</v>
      </c>
      <c r="C19" s="190">
        <v>1</v>
      </c>
      <c r="D19" s="190">
        <v>1</v>
      </c>
      <c r="E19" s="190">
        <v>1</v>
      </c>
      <c r="F19" s="190">
        <v>1</v>
      </c>
      <c r="G19" s="190">
        <v>1</v>
      </c>
      <c r="H19" s="190"/>
      <c r="I19" s="190"/>
      <c r="J19" s="190"/>
      <c r="K19" s="190"/>
      <c r="L19" s="188"/>
      <c r="M19" s="188"/>
    </row>
    <row r="20" spans="2:13">
      <c r="B20" s="186" t="s">
        <v>264</v>
      </c>
      <c r="C20" s="185"/>
      <c r="D20" s="185"/>
      <c r="E20" s="185"/>
      <c r="F20" s="185"/>
      <c r="G20" s="185"/>
      <c r="H20" s="185"/>
      <c r="I20" s="185"/>
      <c r="J20" s="185"/>
      <c r="K20" s="185"/>
      <c r="L20" s="183"/>
      <c r="M20" s="225"/>
    </row>
    <row r="21" spans="2:13">
      <c r="B21" s="180" t="s">
        <v>392</v>
      </c>
      <c r="C21" s="201">
        <v>1.0886400000000001</v>
      </c>
      <c r="D21" s="201">
        <v>0.90720000000000001</v>
      </c>
      <c r="E21" s="201">
        <v>0.75600000000000012</v>
      </c>
      <c r="F21" s="201">
        <v>0.60480000000000012</v>
      </c>
      <c r="G21" s="201">
        <v>0.4536</v>
      </c>
      <c r="H21" s="179">
        <v>0.5</v>
      </c>
      <c r="I21" s="179">
        <v>1.5</v>
      </c>
      <c r="J21" s="179">
        <v>0.5</v>
      </c>
      <c r="K21" s="179">
        <v>1.5</v>
      </c>
      <c r="L21" s="178" t="s">
        <v>393</v>
      </c>
      <c r="M21" s="178">
        <v>1</v>
      </c>
    </row>
    <row r="22" spans="2:13">
      <c r="B22" s="162" t="s">
        <v>394</v>
      </c>
      <c r="C22" s="162">
        <v>75</v>
      </c>
      <c r="D22" s="162">
        <v>75</v>
      </c>
      <c r="E22" s="162">
        <v>75</v>
      </c>
      <c r="F22" s="162">
        <v>75</v>
      </c>
      <c r="G22" s="162">
        <v>75</v>
      </c>
      <c r="H22" s="167"/>
      <c r="I22" s="167"/>
      <c r="J22" s="167"/>
      <c r="K22" s="167"/>
      <c r="L22" s="161"/>
      <c r="M22" s="161"/>
    </row>
    <row r="23" spans="2:13">
      <c r="B23" s="162" t="s">
        <v>251</v>
      </c>
      <c r="C23" s="163">
        <v>25</v>
      </c>
      <c r="D23" s="162">
        <v>25</v>
      </c>
      <c r="E23" s="162">
        <v>25</v>
      </c>
      <c r="F23" s="162">
        <v>25</v>
      </c>
      <c r="G23" s="162">
        <v>25</v>
      </c>
      <c r="H23" s="167"/>
      <c r="I23" s="167"/>
      <c r="J23" s="167"/>
      <c r="K23" s="167"/>
      <c r="L23" s="161"/>
      <c r="M23" s="161"/>
    </row>
    <row r="24" spans="2:13">
      <c r="B24" s="162" t="s">
        <v>395</v>
      </c>
      <c r="C24" s="286">
        <v>4.3545599999999997E-2</v>
      </c>
      <c r="D24" s="168">
        <v>3.6288000000000001E-2</v>
      </c>
      <c r="E24" s="168">
        <v>3.0240000000000006E-2</v>
      </c>
      <c r="F24" s="168">
        <v>2.4192000000000005E-2</v>
      </c>
      <c r="G24" s="168">
        <v>1.8144E-2</v>
      </c>
      <c r="H24" s="167">
        <v>0.9</v>
      </c>
      <c r="I24" s="167">
        <v>1.1000000000000001</v>
      </c>
      <c r="J24" s="167">
        <v>0.9</v>
      </c>
      <c r="K24" s="167">
        <v>1.1000000000000001</v>
      </c>
      <c r="L24" s="161"/>
      <c r="M24" s="161">
        <v>1</v>
      </c>
    </row>
    <row r="25" spans="2:13">
      <c r="B25" s="162" t="s">
        <v>396</v>
      </c>
      <c r="C25" s="197">
        <v>5.1840000000000002</v>
      </c>
      <c r="D25" s="197">
        <v>4.32</v>
      </c>
      <c r="E25" s="197">
        <v>3.6000000000000005</v>
      </c>
      <c r="F25" s="197">
        <v>2.8800000000000003</v>
      </c>
      <c r="G25" s="197">
        <v>2.16</v>
      </c>
      <c r="H25" s="167">
        <v>0.9</v>
      </c>
      <c r="I25" s="167">
        <v>1.1000000000000001</v>
      </c>
      <c r="J25" s="167">
        <v>0.9</v>
      </c>
      <c r="K25" s="167">
        <v>1.1000000000000001</v>
      </c>
      <c r="L25" s="161"/>
      <c r="M25" s="161">
        <v>1</v>
      </c>
    </row>
    <row r="26" spans="2:13">
      <c r="B26" s="190" t="s">
        <v>397</v>
      </c>
      <c r="C26" s="190">
        <v>0</v>
      </c>
      <c r="D26" s="190">
        <v>0</v>
      </c>
      <c r="E26" s="190">
        <v>0</v>
      </c>
      <c r="F26" s="190">
        <v>0</v>
      </c>
      <c r="G26" s="190">
        <v>0</v>
      </c>
      <c r="H26" s="189"/>
      <c r="I26" s="189"/>
      <c r="J26" s="189"/>
      <c r="K26" s="189"/>
      <c r="L26" s="188"/>
      <c r="M26" s="188"/>
    </row>
    <row r="27" spans="2:13">
      <c r="B27" s="186" t="s">
        <v>260</v>
      </c>
      <c r="C27" s="185"/>
      <c r="D27" s="185"/>
      <c r="E27" s="185"/>
      <c r="F27" s="185"/>
      <c r="G27" s="185"/>
      <c r="H27" s="184"/>
      <c r="I27" s="184"/>
      <c r="J27" s="184"/>
      <c r="K27" s="184"/>
      <c r="L27" s="183"/>
      <c r="M27" s="225"/>
    </row>
    <row r="28" spans="2:13">
      <c r="B28" s="180" t="s">
        <v>398</v>
      </c>
      <c r="C28" s="180">
        <v>50.7</v>
      </c>
      <c r="D28" s="180">
        <v>50.7</v>
      </c>
      <c r="E28" s="180">
        <v>50.7</v>
      </c>
      <c r="F28" s="180">
        <v>50.7</v>
      </c>
      <c r="G28" s="180">
        <v>50.7</v>
      </c>
      <c r="H28" s="179"/>
      <c r="I28" s="179"/>
      <c r="J28" s="179"/>
      <c r="K28" s="179"/>
      <c r="L28" s="178"/>
      <c r="M28" s="178"/>
    </row>
    <row r="29" spans="2:13">
      <c r="B29" s="162" t="s">
        <v>399</v>
      </c>
      <c r="C29" s="162">
        <v>3.5999999999999997E-2</v>
      </c>
      <c r="D29" s="162">
        <v>0.03</v>
      </c>
      <c r="E29" s="162">
        <v>2.5000000000000001E-2</v>
      </c>
      <c r="F29" s="162">
        <v>0.02</v>
      </c>
      <c r="G29" s="162">
        <v>1.4999999999999999E-2</v>
      </c>
      <c r="H29" s="167">
        <v>0.5</v>
      </c>
      <c r="I29" s="167">
        <v>1.5</v>
      </c>
      <c r="J29" s="167">
        <v>0.5</v>
      </c>
      <c r="K29" s="167">
        <v>1.5</v>
      </c>
      <c r="L29" s="161" t="s">
        <v>393</v>
      </c>
      <c r="M29" s="161">
        <v>1</v>
      </c>
    </row>
    <row r="30" spans="2:13">
      <c r="B30" s="162" t="s">
        <v>394</v>
      </c>
      <c r="C30" s="162">
        <v>75</v>
      </c>
      <c r="D30" s="162">
        <v>75</v>
      </c>
      <c r="E30" s="162">
        <v>75</v>
      </c>
      <c r="F30" s="162">
        <v>75</v>
      </c>
      <c r="G30" s="162">
        <v>75</v>
      </c>
      <c r="H30" s="167"/>
      <c r="I30" s="167"/>
      <c r="J30" s="167"/>
      <c r="K30" s="167"/>
      <c r="L30" s="161"/>
      <c r="M30" s="161"/>
    </row>
    <row r="31" spans="2:13">
      <c r="B31" s="162" t="s">
        <v>251</v>
      </c>
      <c r="C31" s="163">
        <v>25</v>
      </c>
      <c r="D31" s="162">
        <v>25</v>
      </c>
      <c r="E31" s="162">
        <v>25</v>
      </c>
      <c r="F31" s="162">
        <v>25</v>
      </c>
      <c r="G31" s="162">
        <v>25</v>
      </c>
      <c r="H31" s="167"/>
      <c r="I31" s="167"/>
      <c r="J31" s="167"/>
      <c r="K31" s="167"/>
      <c r="L31" s="161"/>
      <c r="M31" s="161"/>
    </row>
    <row r="32" spans="2:13">
      <c r="B32" s="162" t="s">
        <v>400</v>
      </c>
      <c r="C32" s="290">
        <v>0.14399999999999999</v>
      </c>
      <c r="D32" s="197">
        <v>0.12</v>
      </c>
      <c r="E32" s="197">
        <v>0.1</v>
      </c>
      <c r="F32" s="197">
        <v>0.08</v>
      </c>
      <c r="G32" s="197">
        <v>0.06</v>
      </c>
      <c r="H32" s="167">
        <v>0.9</v>
      </c>
      <c r="I32" s="167">
        <v>1.1000000000000001</v>
      </c>
      <c r="J32" s="167">
        <v>0.9</v>
      </c>
      <c r="K32" s="167">
        <v>1.1000000000000001</v>
      </c>
      <c r="L32" s="161"/>
      <c r="M32" s="161">
        <v>1</v>
      </c>
    </row>
    <row r="33" spans="2:13">
      <c r="B33" s="162" t="s">
        <v>401</v>
      </c>
      <c r="C33" s="197">
        <v>0.14399999999999999</v>
      </c>
      <c r="D33" s="197">
        <v>0.12</v>
      </c>
      <c r="E33" s="197">
        <v>0.1</v>
      </c>
      <c r="F33" s="197">
        <v>0.08</v>
      </c>
      <c r="G33" s="197">
        <v>0.06</v>
      </c>
      <c r="H33" s="167">
        <v>0.9</v>
      </c>
      <c r="I33" s="167">
        <v>1.1000000000000001</v>
      </c>
      <c r="J33" s="167">
        <v>0.9</v>
      </c>
      <c r="K33" s="167">
        <v>1.1000000000000001</v>
      </c>
      <c r="L33" s="161"/>
      <c r="M33" s="161">
        <v>1</v>
      </c>
    </row>
    <row r="34" spans="2:13">
      <c r="B34" s="162" t="s">
        <v>397</v>
      </c>
      <c r="C34" s="162">
        <v>0</v>
      </c>
      <c r="D34" s="162">
        <v>0</v>
      </c>
      <c r="E34" s="162">
        <v>0</v>
      </c>
      <c r="F34" s="162">
        <v>0</v>
      </c>
      <c r="G34" s="162">
        <v>0</v>
      </c>
      <c r="H34" s="205"/>
      <c r="I34" s="205"/>
      <c r="J34" s="205"/>
      <c r="K34" s="205"/>
      <c r="L34" s="161"/>
      <c r="M34" s="161"/>
    </row>
    <row r="36" spans="2:13">
      <c r="B36" s="886" t="s">
        <v>695</v>
      </c>
    </row>
    <row r="37" spans="2:13">
      <c r="B37" s="885" t="s">
        <v>1239</v>
      </c>
    </row>
    <row r="38" spans="2:13">
      <c r="B38" s="885" t="s">
        <v>1238</v>
      </c>
    </row>
    <row r="39" spans="2:13">
      <c r="B39" s="885" t="s">
        <v>1237</v>
      </c>
    </row>
    <row r="40" spans="2:13">
      <c r="B40" s="885" t="s">
        <v>1236</v>
      </c>
    </row>
    <row r="41" spans="2:13">
      <c r="B41" s="885" t="s">
        <v>1235</v>
      </c>
    </row>
    <row r="42" spans="2:13">
      <c r="B42" s="885" t="s">
        <v>1234</v>
      </c>
    </row>
    <row r="43" spans="2:13">
      <c r="B43" s="885" t="s">
        <v>1233</v>
      </c>
    </row>
    <row r="44" spans="2:13">
      <c r="B44" s="885" t="s">
        <v>1232</v>
      </c>
    </row>
    <row r="45" spans="2:13">
      <c r="B45" s="885" t="s">
        <v>1231</v>
      </c>
    </row>
    <row r="47" spans="2:13">
      <c r="B47" s="886" t="s">
        <v>989</v>
      </c>
    </row>
    <row r="48" spans="2:13">
      <c r="B48" s="885" t="s">
        <v>1230</v>
      </c>
    </row>
    <row r="49" spans="2:2">
      <c r="B49" s="885" t="s">
        <v>1229</v>
      </c>
    </row>
    <row r="50" spans="2:2">
      <c r="B50" s="885" t="s">
        <v>1228</v>
      </c>
    </row>
    <row r="51" spans="2:2">
      <c r="B51" s="885" t="s">
        <v>1227</v>
      </c>
    </row>
    <row r="52" spans="2:2">
      <c r="B52" s="885" t="s">
        <v>1226</v>
      </c>
    </row>
    <row r="53" spans="2:2">
      <c r="B53" s="885" t="s">
        <v>1225</v>
      </c>
    </row>
    <row r="54" spans="2:2">
      <c r="B54" s="885" t="s">
        <v>1224</v>
      </c>
    </row>
    <row r="55" spans="2:2">
      <c r="B55" s="885" t="s">
        <v>1223</v>
      </c>
    </row>
  </sheetData>
  <mergeCells count="3">
    <mergeCell ref="C2:M2"/>
    <mergeCell ref="H3:I3"/>
    <mergeCell ref="J3:K3"/>
  </mergeCells>
  <hyperlinks>
    <hyperlink ref="B48" r:id="rId1" display="https://doi.org/10.1016/j.renene.2015.07.066" xr:uid="{004BD7D0-B809-4326-A829-58F6BA4F13CB}"/>
    <hyperlink ref="B49" r:id="rId2" display="https://www.aramis.admin.ch/Default.aspx?DocumentID=45656&amp;Load=true" xr:uid="{0CA7C066-4DA2-4093-9666-DF89EC263213}"/>
    <hyperlink ref="B50" r:id="rId3" display="https://www.di-verlag.de/media/content/gwf-GE/gwf_Gas_5_14/gwf-GE_05_2014_FB_Kurt.pdf?xaf26a=7841c984ef837209544e" xr:uid="{6ADE6D7C-825A-4472-A003-4EA339A41CFB}"/>
    <hyperlink ref="B51" r:id="rId4" display="https://doi.org/10.1002/wene.97" xr:uid="{84E0A462-62C3-403E-9040-7A57DAF042F2}"/>
    <hyperlink ref="B52" r:id="rId5" display="https://www.tuwien.ac.at/fileadmin/t/tuwien/fotos/pa/download/2015/HM2015/Flyer_Power_to_Bio--Gas_EN.pdf" xr:uid="{77903C16-DA46-4043-B1DB-59E6F5A76449}"/>
    <hyperlink ref="B53" r:id="rId6" display="http://www.hz-inova.com/cms/en/home?p=6276" xr:uid="{22C4EE11-5507-4ED7-9287-D4BBF9D51F0F}"/>
    <hyperlink ref="H1" location="Index" display="Back to Index" xr:uid="{A2DB69D1-DB53-404C-9CBA-573D55116A87}"/>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807C4-7827-40D3-BF4B-41A07DBB2A98}">
  <sheetPr>
    <tabColor theme="4" tint="0.39997558519241921"/>
  </sheetPr>
  <dimension ref="B1:S58"/>
  <sheetViews>
    <sheetView workbookViewId="0">
      <selection activeCell="B24" sqref="B24"/>
    </sheetView>
  </sheetViews>
  <sheetFormatPr defaultColWidth="9.109375" defaultRowHeight="14.4"/>
  <cols>
    <col min="2" max="2" width="35.88671875" bestFit="1" customWidth="1"/>
    <col min="3" max="3" width="25.44140625" customWidth="1"/>
    <col min="4" max="13" width="7.109375" customWidth="1"/>
  </cols>
  <sheetData>
    <row r="1" spans="2:14">
      <c r="I1" s="884" t="s">
        <v>966</v>
      </c>
    </row>
    <row r="2" spans="2:14">
      <c r="C2" s="260" t="s">
        <v>296</v>
      </c>
      <c r="D2" s="260" t="s">
        <v>1262</v>
      </c>
      <c r="E2" s="260"/>
      <c r="F2" s="260"/>
      <c r="G2" s="260"/>
      <c r="H2" s="260"/>
      <c r="I2" s="260"/>
      <c r="J2" s="260"/>
      <c r="K2" s="260"/>
      <c r="L2" s="260"/>
      <c r="M2" s="260"/>
      <c r="N2" s="260"/>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62"/>
      <c r="D4" s="162"/>
      <c r="E4" s="162"/>
      <c r="F4" s="162"/>
      <c r="G4" s="162"/>
      <c r="H4" s="162"/>
      <c r="I4" s="161" t="s">
        <v>284</v>
      </c>
      <c r="J4" s="161" t="s">
        <v>283</v>
      </c>
      <c r="K4" s="161" t="s">
        <v>284</v>
      </c>
      <c r="L4" s="161" t="s">
        <v>283</v>
      </c>
      <c r="M4" s="161"/>
      <c r="N4" s="161"/>
    </row>
    <row r="5" spans="2:14">
      <c r="C5" s="260" t="s">
        <v>282</v>
      </c>
      <c r="D5" s="162"/>
      <c r="E5" s="162"/>
      <c r="F5" s="162"/>
      <c r="G5" s="162"/>
      <c r="H5" s="162"/>
      <c r="I5" s="162"/>
      <c r="J5" s="162"/>
      <c r="K5" s="162"/>
      <c r="L5" s="162"/>
      <c r="M5" s="161"/>
      <c r="N5" s="161"/>
    </row>
    <row r="6" spans="2:14">
      <c r="B6" t="str">
        <f>IF(IF(OR(LEFT(C6,27)=SUP_Biofuels!$N$8,LEFT(C6,20)=SUP_Biofuels!$O$8,LEFT(C6,20)=SUP_Biofuels!$P$8),LEFT(C6,20),C6)="Specific investment ","Specific investment (M€ /MW",IF(OR(LEFT(C6,27)=SUP_Biofuels!$N$8,LEFT(C6,20)=SUP_Biofuels!$O$8,LEFT(C6,20)=SUP_Biofuels!$P$8),LEFT(C6,20),C6))</f>
        <v>Typical total plant size 1,000 t Bio Oil/year</v>
      </c>
      <c r="C6" s="162" t="s">
        <v>1152</v>
      </c>
      <c r="D6" s="956" t="s">
        <v>1136</v>
      </c>
      <c r="E6" s="956">
        <v>120</v>
      </c>
      <c r="F6" s="956">
        <v>180</v>
      </c>
      <c r="G6" s="956">
        <v>250</v>
      </c>
      <c r="H6" s="956">
        <v>300</v>
      </c>
      <c r="I6" s="941">
        <v>0.5</v>
      </c>
      <c r="J6" s="941">
        <v>1.25</v>
      </c>
      <c r="K6" s="941">
        <v>0.75</v>
      </c>
      <c r="L6" s="941">
        <v>1.25</v>
      </c>
      <c r="M6" s="161" t="s">
        <v>280</v>
      </c>
      <c r="N6" s="161" t="s">
        <v>1150</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62" t="s">
        <v>1151</v>
      </c>
      <c r="D7" s="956" t="s">
        <v>1136</v>
      </c>
      <c r="E7" s="956">
        <v>145</v>
      </c>
      <c r="F7" s="956">
        <v>220</v>
      </c>
      <c r="G7" s="956">
        <v>300</v>
      </c>
      <c r="H7" s="956">
        <v>360</v>
      </c>
      <c r="I7" s="941">
        <v>0.5</v>
      </c>
      <c r="J7" s="941">
        <v>1.25</v>
      </c>
      <c r="K7" s="941">
        <v>0.75</v>
      </c>
      <c r="L7" s="941">
        <v>1.25</v>
      </c>
      <c r="M7" s="161" t="s">
        <v>277</v>
      </c>
      <c r="N7" s="161" t="s">
        <v>1150</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260" t="s">
        <v>384</v>
      </c>
      <c r="D8" s="956"/>
      <c r="E8" s="956"/>
      <c r="F8" s="956"/>
      <c r="G8" s="956"/>
      <c r="H8" s="956"/>
      <c r="I8" s="941"/>
      <c r="J8" s="163"/>
      <c r="K8" s="163"/>
      <c r="L8" s="163"/>
      <c r="M8" s="161"/>
      <c r="N8" s="161"/>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62" t="s">
        <v>112</v>
      </c>
      <c r="D9" s="956" t="s">
        <v>1136</v>
      </c>
      <c r="E9" s="956">
        <v>0.95</v>
      </c>
      <c r="F9" s="956">
        <v>0.95</v>
      </c>
      <c r="G9" s="956">
        <v>0.95</v>
      </c>
      <c r="H9" s="956">
        <v>0.95</v>
      </c>
      <c r="I9" s="941">
        <v>0.9</v>
      </c>
      <c r="J9" s="949">
        <v>1.5</v>
      </c>
      <c r="K9" s="949">
        <v>0.9</v>
      </c>
      <c r="L9" s="949">
        <v>1.25</v>
      </c>
      <c r="M9" s="161" t="s">
        <v>266</v>
      </c>
      <c r="N9" s="161">
        <v>4</v>
      </c>
    </row>
    <row r="10" spans="2:14">
      <c r="B10" t="str">
        <f>IF(IF(OR(LEFT(C10,27)=SUP_Biofuels!$N$8,LEFT(C10,20)=SUP_Biofuels!$O$8,LEFT(C10,20)=SUP_Biofuels!$P$8),LEFT(C10,20),C10)="Specific investment ","Specific investment (M€ /MW",IF(OR(LEFT(C10,27)=SUP_Biofuels!$N$8,LEFT(C10,20)=SUP_Biofuels!$O$8,LEFT(C10,20)=SUP_Biofuels!$P$8),LEFT(C10,20),C10))</f>
        <v>Electricity Consumption, MWh/MWh Total Input</v>
      </c>
      <c r="C10" s="162" t="s">
        <v>96</v>
      </c>
      <c r="D10" s="956" t="s">
        <v>1136</v>
      </c>
      <c r="E10" s="956">
        <v>0.05</v>
      </c>
      <c r="F10" s="956">
        <v>0.05</v>
      </c>
      <c r="G10" s="956">
        <v>0.05</v>
      </c>
      <c r="H10" s="956">
        <v>0.05</v>
      </c>
      <c r="I10" s="941">
        <v>0.75</v>
      </c>
      <c r="J10" s="949">
        <v>1.25</v>
      </c>
      <c r="K10" s="949">
        <v>0.75</v>
      </c>
      <c r="L10" s="949">
        <v>1.25</v>
      </c>
      <c r="M10" s="161" t="s">
        <v>266</v>
      </c>
      <c r="N10" s="161">
        <v>4</v>
      </c>
    </row>
    <row r="11" spans="2:14">
      <c r="B11" t="str">
        <f>IF(IF(OR(LEFT(C11,27)=SUP_Biofuels!$N$8,LEFT(C11,20)=SUP_Biofuels!$O$8,LEFT(C11,20)=SUP_Biofuels!$P$8),LEFT(C11,20),C11)="Specific investment ","Specific investment (M€ /MW",IF(OR(LEFT(C11,27)=SUP_Biofuels!$N$8,LEFT(C11,20)=SUP_Biofuels!$O$8,LEFT(C11,20)=SUP_Biofuels!$P$8),LEFT(C11,20),C11))</f>
        <v>Outputs</v>
      </c>
      <c r="C11" s="260" t="s">
        <v>271</v>
      </c>
      <c r="D11" s="956"/>
      <c r="E11" s="956"/>
      <c r="F11" s="956"/>
      <c r="G11" s="956"/>
      <c r="H11" s="956"/>
      <c r="I11" s="941"/>
      <c r="J11" s="949"/>
      <c r="K11" s="949"/>
      <c r="L11" s="949"/>
      <c r="M11" s="161"/>
      <c r="N11" s="161"/>
    </row>
    <row r="12" spans="2:14">
      <c r="B12" t="str">
        <f>IF(IF(OR(LEFT(C12,27)=SUP_Biofuels!$N$8,LEFT(C12,20)=SUP_Biofuels!$O$8,LEFT(C12,20)=SUP_Biofuels!$P$8),LEFT(C12,20),C12)="Specific investment ","Specific investment (M€ /MW",IF(OR(LEFT(C12,27)=SUP_Biofuels!$N$8,LEFT(C12,20)=SUP_Biofuels!$O$8,LEFT(C12,20)=SUP_Biofuels!$P$8),LEFT(C12,20),C12))</f>
        <v>Bio Oil Output, MWh/MWh Total Input</v>
      </c>
      <c r="C12" s="162" t="s">
        <v>115</v>
      </c>
      <c r="D12" s="956" t="s">
        <v>1136</v>
      </c>
      <c r="E12" s="956">
        <v>0.82</v>
      </c>
      <c r="F12" s="956">
        <v>0.82</v>
      </c>
      <c r="G12" s="956">
        <v>0.82</v>
      </c>
      <c r="H12" s="956">
        <v>0.82</v>
      </c>
      <c r="I12" s="941">
        <v>0.9</v>
      </c>
      <c r="J12" s="949">
        <v>1.1000000000000001</v>
      </c>
      <c r="K12" s="949">
        <v>0.9</v>
      </c>
      <c r="L12" s="949">
        <v>1.1000000000000001</v>
      </c>
      <c r="M12" s="161" t="s">
        <v>266</v>
      </c>
      <c r="N12" s="161">
        <v>4</v>
      </c>
    </row>
    <row r="13" spans="2:14">
      <c r="B13" t="str">
        <f>IF(IF(OR(LEFT(C13,27)=SUP_Biofuels!$N$8,LEFT(C13,20)=SUP_Biofuels!$O$8,LEFT(C13,20)=SUP_Biofuels!$P$8),LEFT(C13,20),C13)="Specific investment ","Specific investment (M€ /MW",IF(OR(LEFT(C13,27)=SUP_Biofuels!$N$8,LEFT(C13,20)=SUP_Biofuels!$O$8,LEFT(C13,20)=SUP_Biofuels!$P$8),LEFT(C13,20),C13))</f>
        <v>Co-products  Output MWh/MWh Total Input</v>
      </c>
      <c r="C13" s="162" t="s">
        <v>1261</v>
      </c>
      <c r="D13" s="956" t="s">
        <v>1136</v>
      </c>
      <c r="E13" s="956">
        <v>0</v>
      </c>
      <c r="F13" s="956">
        <v>0</v>
      </c>
      <c r="G13" s="956">
        <v>0</v>
      </c>
      <c r="H13" s="956">
        <v>0</v>
      </c>
      <c r="I13" s="941">
        <v>0.9</v>
      </c>
      <c r="J13" s="941">
        <v>1.1000000000000001</v>
      </c>
      <c r="K13" s="941">
        <v>0.9</v>
      </c>
      <c r="L13" s="941">
        <v>1.1000000000000001</v>
      </c>
      <c r="M13" s="161" t="s">
        <v>266</v>
      </c>
      <c r="N13" s="161">
        <v>4</v>
      </c>
    </row>
    <row r="14" spans="2:14">
      <c r="B14">
        <f>IF(IF(OR(LEFT(C14,27)=SUP_Biofuels!$N$8,LEFT(C14,20)=SUP_Biofuels!$O$8,LEFT(C14,20)=SUP_Biofuels!$P$8),LEFT(C14,20),C14)="Specific investment ","Specific investment (M€ /MW",IF(OR(LEFT(C14,27)=SUP_Biofuels!$N$8,LEFT(C14,20)=SUP_Biofuels!$O$8,LEFT(C14,20)=SUP_Biofuels!$P$8),LEFT(C14,20),C14))</f>
        <v>0</v>
      </c>
      <c r="C14" s="162"/>
      <c r="D14" s="956"/>
      <c r="E14" s="956"/>
      <c r="F14" s="956"/>
      <c r="G14" s="956"/>
      <c r="H14" s="956"/>
      <c r="I14" s="941"/>
      <c r="J14" s="941"/>
      <c r="K14" s="941"/>
      <c r="L14" s="941"/>
      <c r="M14" s="161"/>
      <c r="N14" s="161"/>
    </row>
    <row r="15" spans="2:14">
      <c r="B15" t="str">
        <f>IF(IF(OR(LEFT(C15,27)=SUP_Biofuels!$N$8,LEFT(C15,20)=SUP_Biofuels!$O$8,LEFT(C15,20)=SUP_Biofuels!$P$8),LEFT(C15,20),C15)="Specific investment ","Specific investment (M€ /MW",IF(OR(LEFT(C15,27)=SUP_Biofuels!$N$8,LEFT(C15,20)=SUP_Biofuels!$O$8,LEFT(C15,20)=SUP_Biofuels!$P$8),LEFT(C15,20),C15))</f>
        <v>Forced outage (%)</v>
      </c>
      <c r="C15" s="162" t="s">
        <v>59</v>
      </c>
      <c r="D15" s="956" t="s">
        <v>1136</v>
      </c>
      <c r="E15" s="956">
        <v>4</v>
      </c>
      <c r="F15" s="956">
        <v>0</v>
      </c>
      <c r="G15" s="956">
        <v>0</v>
      </c>
      <c r="H15" s="956">
        <v>0</v>
      </c>
      <c r="I15" s="941"/>
      <c r="J15" s="941"/>
      <c r="K15" s="941"/>
      <c r="L15" s="941"/>
      <c r="M15" s="161"/>
      <c r="N15" s="161"/>
    </row>
    <row r="16" spans="2:14">
      <c r="B16" t="str">
        <f>IF(IF(OR(LEFT(C16,27)=SUP_Biofuels!$N$8,LEFT(C16,20)=SUP_Biofuels!$O$8,LEFT(C16,20)=SUP_Biofuels!$P$8),LEFT(C16,20),C16)="Specific investment ","Specific investment (M€ /MW",IF(OR(LEFT(C16,27)=SUP_Biofuels!$N$8,LEFT(C16,20)=SUP_Biofuels!$O$8,LEFT(C16,20)=SUP_Biofuels!$P$8),LEFT(C16,20),C16))</f>
        <v>Planned outage (weeks per year)</v>
      </c>
      <c r="C16" s="162" t="s">
        <v>92</v>
      </c>
      <c r="D16" s="956">
        <v>4</v>
      </c>
      <c r="E16" s="956">
        <v>4</v>
      </c>
      <c r="F16" s="956">
        <v>4</v>
      </c>
      <c r="G16" s="956">
        <v>4</v>
      </c>
      <c r="H16" s="956">
        <v>4</v>
      </c>
      <c r="I16" s="167"/>
      <c r="J16" s="167"/>
      <c r="K16" s="167"/>
      <c r="L16" s="167"/>
      <c r="M16" s="161" t="s">
        <v>272</v>
      </c>
      <c r="N16" s="161">
        <v>8</v>
      </c>
    </row>
    <row r="17" spans="2:19">
      <c r="B17" t="str">
        <f>IF(IF(OR(LEFT(C17,27)=SUP_Biofuels!$N$8,LEFT(C17,20)=SUP_Biofuels!$O$8,LEFT(C17,20)=SUP_Biofuels!$P$8),LEFT(C17,20),C17)="Specific investment ","Specific investment (M€ /MW",IF(OR(LEFT(C17,27)=SUP_Biofuels!$N$8,LEFT(C17,20)=SUP_Biofuels!$O$8,LEFT(C17,20)=SUP_Biofuels!$P$8),LEFT(C17,20),C17))</f>
        <v>Technical lifetime (years)</v>
      </c>
      <c r="C17" s="162" t="s">
        <v>58</v>
      </c>
      <c r="D17" s="956" t="s">
        <v>1260</v>
      </c>
      <c r="E17" s="956" t="s">
        <v>1260</v>
      </c>
      <c r="F17" s="956" t="s">
        <v>1260</v>
      </c>
      <c r="G17" s="956" t="s">
        <v>1260</v>
      </c>
      <c r="H17" s="956" t="s">
        <v>1260</v>
      </c>
      <c r="I17" s="167"/>
      <c r="J17" s="167"/>
      <c r="K17" s="167"/>
      <c r="L17" s="167"/>
      <c r="M17" s="161"/>
      <c r="N17" s="161"/>
    </row>
    <row r="18" spans="2:19">
      <c r="B18" t="str">
        <f>IF(IF(OR(LEFT(C18,27)=SUP_Biofuels!$N$8,LEFT(C18,20)=SUP_Biofuels!$O$8,LEFT(C18,20)=SUP_Biofuels!$P$8),LEFT(C18,20),C18)="Specific investment ","Specific investment (M€ /MW",IF(OR(LEFT(C18,27)=SUP_Biofuels!$N$8,LEFT(C18,20)=SUP_Biofuels!$O$8,LEFT(C18,20)=SUP_Biofuels!$P$8),LEFT(C18,20),C18))</f>
        <v>Construction time (years)</v>
      </c>
      <c r="C18" s="162" t="s">
        <v>60</v>
      </c>
      <c r="D18" s="956">
        <v>2</v>
      </c>
      <c r="E18" s="956">
        <v>2</v>
      </c>
      <c r="F18" s="956">
        <v>2</v>
      </c>
      <c r="G18" s="956">
        <v>2</v>
      </c>
      <c r="H18" s="956">
        <v>2</v>
      </c>
      <c r="I18" s="167"/>
      <c r="J18" s="167"/>
      <c r="K18" s="167"/>
      <c r="L18" s="167"/>
      <c r="M18" s="161"/>
      <c r="N18" s="161"/>
    </row>
    <row r="19" spans="2:19">
      <c r="B19" t="str">
        <f>IF(IF(OR(LEFT(C19,27)=SUP_Biofuels!$N$8,LEFT(C19,20)=SUP_Biofuels!$O$8,LEFT(C19,20)=SUP_Biofuels!$P$8),LEFT(C19,20),C19)="Specific investment ","Specific investment (M€ /MW",IF(OR(LEFT(C19,27)=SUP_Biofuels!$N$8,LEFT(C19,20)=SUP_Biofuels!$O$8,LEFT(C19,20)=SUP_Biofuels!$P$8),LEFT(C19,20),C19))</f>
        <v xml:space="preserve">Financial data                                 </v>
      </c>
      <c r="C19" s="260" t="s">
        <v>264</v>
      </c>
      <c r="D19" s="956"/>
      <c r="E19" s="956"/>
      <c r="F19" s="956"/>
      <c r="G19" s="956"/>
      <c r="H19" s="956"/>
      <c r="I19" s="167"/>
      <c r="J19" s="167"/>
      <c r="K19" s="167"/>
      <c r="L19" s="167"/>
      <c r="M19" s="161"/>
      <c r="N19" s="161"/>
    </row>
    <row r="20" spans="2:19">
      <c r="B20" t="str">
        <f>IF(IF(OR(LEFT(C20,27)=SUP_Biofuels!$N$8,LEFT(C20,20)=SUP_Biofuels!$O$8,LEFT(C20,20)=SUP_Biofuels!$P$8),LEFT(C20,20),C20)="Specific investment ","Specific investment (M€ /MW",IF(OR(LEFT(C20,27)=SUP_Biofuels!$N$8,LEFT(C20,20)=SUP_Biofuels!$O$8,LEFT(C20,20)=SUP_Biofuels!$P$8),LEFT(C20,20),C20))</f>
        <v>Specific investment (M€ /MW</v>
      </c>
      <c r="C20" s="162" t="s">
        <v>1147</v>
      </c>
      <c r="D20" s="956" t="s">
        <v>1136</v>
      </c>
      <c r="E20" s="958">
        <v>2.1972752043596731</v>
      </c>
      <c r="F20" s="958">
        <v>1.6479564032697545</v>
      </c>
      <c r="G20" s="958">
        <v>1.2359673024523161</v>
      </c>
      <c r="H20" s="958">
        <v>1.0986376021798363</v>
      </c>
      <c r="I20" s="167">
        <v>0.75</v>
      </c>
      <c r="J20" s="167">
        <v>1.25</v>
      </c>
      <c r="K20" s="167">
        <v>0.75</v>
      </c>
      <c r="L20" s="167">
        <v>1.25</v>
      </c>
      <c r="M20" s="161" t="s">
        <v>1142</v>
      </c>
      <c r="N20" s="161" t="s">
        <v>1141</v>
      </c>
      <c r="P20" t="str">
        <f>LEFT(C20,27)</f>
        <v>Specific investment (M€ /MW</v>
      </c>
      <c r="S20" t="str">
        <f>SUP_Biofuels!$N$8</f>
        <v>Specific investment (M€ /MW</v>
      </c>
    </row>
    <row r="21" spans="2:19">
      <c r="B21" t="str">
        <f>IF(IF(OR(LEFT(C21,27)=SUP_Biofuels!$N$8,LEFT(C21,20)=SUP_Biofuels!$O$8,LEFT(C21,20)=SUP_Biofuels!$P$8),LEFT(C21,20),C21)="Specific investment ","Specific investment (M€ /MW",IF(OR(LEFT(C21,27)=SUP_Biofuels!$N$8,LEFT(C21,20)=SUP_Biofuels!$O$8,LEFT(C21,20)=SUP_Biofuels!$P$8),LEFT(C21,20),C21))</f>
        <v xml:space="preserve"> - equipment (%)</v>
      </c>
      <c r="C21" s="162" t="s">
        <v>394</v>
      </c>
      <c r="D21" s="956" t="s">
        <v>1136</v>
      </c>
      <c r="E21" s="956">
        <v>75</v>
      </c>
      <c r="F21" s="956">
        <v>75</v>
      </c>
      <c r="G21" s="956">
        <v>75</v>
      </c>
      <c r="H21" s="956">
        <v>75</v>
      </c>
      <c r="I21" s="167"/>
      <c r="J21" s="167"/>
      <c r="K21" s="167"/>
      <c r="L21" s="167"/>
      <c r="M21" s="161"/>
      <c r="N21" s="161"/>
    </row>
    <row r="22" spans="2:19">
      <c r="B22" t="str">
        <f>IF(IF(OR(LEFT(C22,27)=SUP_Biofuels!$N$8,LEFT(C22,20)=SUP_Biofuels!$O$8,LEFT(C22,20)=SUP_Biofuels!$P$8),LEFT(C22,20),C22)="Specific investment ","Specific investment (M€ /MW",IF(OR(LEFT(C22,27)=SUP_Biofuels!$N$8,LEFT(C22,20)=SUP_Biofuels!$O$8,LEFT(C22,20)=SUP_Biofuels!$P$8),LEFT(C22,20),C22))</f>
        <v xml:space="preserve"> -installation (%)</v>
      </c>
      <c r="C22" s="162" t="s">
        <v>251</v>
      </c>
      <c r="D22" s="956" t="s">
        <v>1136</v>
      </c>
      <c r="E22" s="956">
        <v>25</v>
      </c>
      <c r="F22" s="956">
        <v>25</v>
      </c>
      <c r="G22" s="956">
        <v>25</v>
      </c>
      <c r="H22" s="956">
        <v>25</v>
      </c>
      <c r="I22" s="167"/>
      <c r="J22" s="167"/>
      <c r="K22" s="167"/>
      <c r="L22" s="167"/>
      <c r="M22" s="161"/>
      <c r="N22" s="161"/>
    </row>
    <row r="23" spans="2:19">
      <c r="B23" t="str">
        <f>LEFT(C23,17)</f>
        <v>Fixed O&amp;M (M€ /MW</v>
      </c>
      <c r="C23" s="162" t="s">
        <v>1259</v>
      </c>
      <c r="D23" s="956" t="s">
        <v>1136</v>
      </c>
      <c r="E23" s="957">
        <v>6.2779291553133512E-2</v>
      </c>
      <c r="F23" s="957">
        <v>6.2779291553133498E-2</v>
      </c>
      <c r="G23" s="957">
        <v>6.2779291553133498E-2</v>
      </c>
      <c r="H23" s="957">
        <v>6.2779291553133498E-2</v>
      </c>
      <c r="I23" s="167">
        <v>0.75</v>
      </c>
      <c r="J23" s="167">
        <v>1.25</v>
      </c>
      <c r="K23" s="167">
        <v>0.75</v>
      </c>
      <c r="L23" s="167">
        <v>1.25</v>
      </c>
      <c r="M23" s="161" t="s">
        <v>1138</v>
      </c>
      <c r="N23" s="161">
        <v>6</v>
      </c>
    </row>
    <row r="24" spans="2:19">
      <c r="B24" t="str">
        <f>LEFT(C24,19)</f>
        <v>Variable O&amp;M (€ /MW</v>
      </c>
      <c r="C24" s="162" t="s">
        <v>247</v>
      </c>
      <c r="D24" s="956" t="s">
        <v>1136</v>
      </c>
      <c r="E24" s="957">
        <v>14.013234721681588</v>
      </c>
      <c r="F24" s="957">
        <v>14.013234721681586</v>
      </c>
      <c r="G24" s="957">
        <v>14.013234721681586</v>
      </c>
      <c r="H24" s="957">
        <v>14.013234721681588</v>
      </c>
      <c r="I24" s="167">
        <v>0.75</v>
      </c>
      <c r="J24" s="167">
        <v>1.25</v>
      </c>
      <c r="K24" s="167">
        <v>0.75</v>
      </c>
      <c r="L24" s="167">
        <v>1.25</v>
      </c>
      <c r="M24" s="161" t="s">
        <v>1138</v>
      </c>
      <c r="N24" s="161">
        <v>6</v>
      </c>
    </row>
    <row r="25" spans="2:19">
      <c r="B25" t="str">
        <f>IF(IF(OR(LEFT(C25,27)=SUP_Biofuels!$N$8,LEFT(C25,20)=SUP_Biofuels!$O$8,LEFT(C25,20)=SUP_Biofuels!$P$8),LEFT(C25,20),C25)="Specific investment ","Specific investment (M€ /MW",IF(OR(LEFT(C25,27)=SUP_Biofuels!$N$8,LEFT(C25,20)=SUP_Biofuels!$O$8,LEFT(C25,20)=SUP_Biofuels!$P$8),LEFT(C25,20),C25))</f>
        <v>Start up (€ /MW  Bio Oil)</v>
      </c>
      <c r="C25" s="162" t="s">
        <v>1258</v>
      </c>
      <c r="D25" s="956" t="s">
        <v>1136</v>
      </c>
      <c r="E25" s="956">
        <v>0</v>
      </c>
      <c r="F25" s="956">
        <v>0</v>
      </c>
      <c r="G25" s="956">
        <v>0</v>
      </c>
      <c r="H25" s="956">
        <v>0</v>
      </c>
      <c r="I25" s="167"/>
      <c r="J25" s="205"/>
      <c r="K25" s="205"/>
      <c r="L25" s="205"/>
      <c r="M25" s="161"/>
      <c r="N25" s="161"/>
    </row>
    <row r="26" spans="2:19">
      <c r="B26" t="str">
        <f>IF(IF(OR(LEFT(C26,27)=SUP_Biofuels!$N$8,LEFT(C26,20)=SUP_Biofuels!$O$8,LEFT(C26,20)=SUP_Biofuels!$P$8),LEFT(C26,20),C26)="Specific investment ","Specific investment (M€ /MW",IF(OR(LEFT(C26,27)=SUP_Biofuels!$N$8,LEFT(C26,20)=SUP_Biofuels!$O$8,LEFT(C26,20)=SUP_Biofuels!$P$8),LEFT(C26,20),C26))</f>
        <v xml:space="preserve">Technology specific data                                 </v>
      </c>
      <c r="C26" s="260" t="s">
        <v>260</v>
      </c>
      <c r="D26" s="956"/>
      <c r="E26" s="956"/>
      <c r="F26" s="956"/>
      <c r="G26" s="956"/>
      <c r="H26" s="956"/>
      <c r="I26" s="167"/>
      <c r="J26" s="205"/>
      <c r="K26" s="205"/>
      <c r="L26" s="205"/>
      <c r="M26" s="161"/>
      <c r="N26" s="161"/>
    </row>
    <row r="27" spans="2:19">
      <c r="B27" t="str">
        <f>IF(IF(OR(LEFT(C27,27)=SUP_Biofuels!$N$8,LEFT(C27,20)=SUP_Biofuels!$O$8,LEFT(C27,20)=SUP_Biofuels!$P$8),LEFT(C27,20),C27)="Specific investment ","Specific investment (M€ /MW",IF(OR(LEFT(C27,27)=SUP_Biofuels!$N$8,LEFT(C27,20)=SUP_Biofuels!$O$8,LEFT(C27,20)=SUP_Biofuels!$P$8),LEFT(C27,20),C27))</f>
        <v>Specific energy content (GJ/ton) HTL)</v>
      </c>
      <c r="C27" s="162" t="s">
        <v>1257</v>
      </c>
      <c r="D27" s="956">
        <v>36.700000000000003</v>
      </c>
      <c r="E27" s="956">
        <v>36.700000000000003</v>
      </c>
      <c r="F27" s="956">
        <v>36.700000000000003</v>
      </c>
      <c r="G27" s="956">
        <v>36.700000000000003</v>
      </c>
      <c r="H27" s="956">
        <v>36.700000000000003</v>
      </c>
      <c r="I27" s="167"/>
      <c r="J27" s="205"/>
      <c r="K27" s="205"/>
      <c r="L27" s="205"/>
      <c r="M27" s="161"/>
      <c r="N27" s="161"/>
    </row>
    <row r="28" spans="2:19">
      <c r="B28" t="str">
        <f>IF(IF(OR(LEFT(C28,27)=SUP_Biofuels!$N$8,LEFT(C28,20)=SUP_Biofuels!$O$8,LEFT(C28,20)=SUP_Biofuels!$P$8),LEFT(C28,20),C28)="Specific investment ","Specific investment (M€ /MW",IF(OR(LEFT(C28,27)=SUP_Biofuels!$N$8,LEFT(C28,20)=SUP_Biofuels!$O$8,LEFT(C28,20)=SUP_Biofuels!$P$8),LEFT(C28,20),C28))</f>
        <v>Specific density  (kg/l) or (ton/m3)</v>
      </c>
      <c r="C28" s="162" t="s">
        <v>257</v>
      </c>
      <c r="D28" s="956">
        <v>1.05</v>
      </c>
      <c r="E28" s="956">
        <v>1.05</v>
      </c>
      <c r="F28" s="956">
        <v>1.05</v>
      </c>
      <c r="G28" s="956">
        <v>1.05</v>
      </c>
      <c r="H28" s="956">
        <v>1.05</v>
      </c>
      <c r="I28" s="167"/>
      <c r="J28" s="162"/>
      <c r="K28" s="162"/>
      <c r="L28" s="162"/>
      <c r="M28" s="161"/>
      <c r="N28" s="161"/>
    </row>
    <row r="29" spans="2:19">
      <c r="B29" t="str">
        <f>IF(IF(OR(LEFT(C29,27)=SUP_Biofuels!$N$8,LEFT(C29,20)=SUP_Biofuels!$O$8,LEFT(C29,20)=SUP_Biofuels!$P$8),LEFT(C29,20),C29)="Specific investment ","Specific investment (M€ /MW",IF(OR(LEFT(C29,27)=SUP_Biofuels!$N$8,LEFT(C29,20)=SUP_Biofuels!$O$8,LEFT(C29,20)=SUP_Biofuels!$P$8),LEFT(C29,20),C29))</f>
        <v>Specific investment (M€ /1000 t Bio Oil)</v>
      </c>
      <c r="C29" s="162" t="s">
        <v>1256</v>
      </c>
      <c r="D29" s="956" t="s">
        <v>1136</v>
      </c>
      <c r="E29" s="958">
        <v>2.6666666666666665</v>
      </c>
      <c r="F29" s="958">
        <v>2</v>
      </c>
      <c r="G29" s="958">
        <v>1.5</v>
      </c>
      <c r="H29" s="958">
        <v>1.3333333333333333</v>
      </c>
      <c r="I29" s="167">
        <v>0.75</v>
      </c>
      <c r="J29" s="167">
        <v>1.25</v>
      </c>
      <c r="K29" s="167">
        <v>0.75</v>
      </c>
      <c r="L29" s="167">
        <v>1.25</v>
      </c>
      <c r="M29" s="161" t="s">
        <v>1142</v>
      </c>
      <c r="N29" s="161" t="s">
        <v>1141</v>
      </c>
    </row>
    <row r="30" spans="2:19">
      <c r="B30" t="str">
        <f>IF(IF(OR(LEFT(C30,27)=SUP_Biofuels!$N$8,LEFT(C30,20)=SUP_Biofuels!$O$8,LEFT(C30,20)=SUP_Biofuels!$P$8),LEFT(C30,20),C30)="Specific investment ","Specific investment (M€ /MW",IF(OR(LEFT(C30,27)=SUP_Biofuels!$N$8,LEFT(C30,20)=SUP_Biofuels!$O$8,LEFT(C30,20)=SUP_Biofuels!$P$8),LEFT(C30,20),C30))</f>
        <v xml:space="preserve"> - equipment (%)</v>
      </c>
      <c r="C30" s="162" t="s">
        <v>394</v>
      </c>
      <c r="D30" s="956" t="s">
        <v>1136</v>
      </c>
      <c r="E30" s="956">
        <v>75</v>
      </c>
      <c r="F30" s="956">
        <v>75</v>
      </c>
      <c r="G30" s="956">
        <v>75</v>
      </c>
      <c r="H30" s="956">
        <v>75</v>
      </c>
      <c r="I30" s="167"/>
      <c r="J30" s="167"/>
      <c r="K30" s="167"/>
      <c r="L30" s="167"/>
      <c r="M30" s="161"/>
      <c r="N30" s="161"/>
    </row>
    <row r="31" spans="2:19">
      <c r="B31" t="str">
        <f>IF(IF(OR(LEFT(C31,27)=SUP_Biofuels!$N$8,LEFT(C31,20)=SUP_Biofuels!$O$8,LEFT(C31,20)=SUP_Biofuels!$P$8),LEFT(C31,20),C31)="Specific investment ","Specific investment (M€ /MW",IF(OR(LEFT(C31,27)=SUP_Biofuels!$N$8,LEFT(C31,20)=SUP_Biofuels!$O$8,LEFT(C31,20)=SUP_Biofuels!$P$8),LEFT(C31,20),C31))</f>
        <v xml:space="preserve"> -installation (%)</v>
      </c>
      <c r="C31" s="162" t="s">
        <v>251</v>
      </c>
      <c r="D31" s="956" t="s">
        <v>1136</v>
      </c>
      <c r="E31" s="956">
        <v>25</v>
      </c>
      <c r="F31" s="956">
        <v>25</v>
      </c>
      <c r="G31" s="956">
        <v>25</v>
      </c>
      <c r="H31" s="956">
        <v>25</v>
      </c>
      <c r="I31" s="167"/>
      <c r="J31" s="167"/>
      <c r="K31" s="167"/>
      <c r="L31" s="167"/>
      <c r="M31" s="161"/>
      <c r="N31" s="161"/>
    </row>
    <row r="32" spans="2:19">
      <c r="B32" t="str">
        <f>IF(IF(OR(LEFT(C32,27)=SUP_Biofuels!$N$8,LEFT(C32,20)=SUP_Biofuels!$O$8,LEFT(C32,20)=SUP_Biofuels!$P$8),LEFT(C32,20),C32)="Specific investment ","Specific investment (M€ /MW",IF(OR(LEFT(C32,27)=SUP_Biofuels!$N$8,LEFT(C32,20)=SUP_Biofuels!$O$8,LEFT(C32,20)=SUP_Biofuels!$P$8),LEFT(C32,20),C32))</f>
        <v>Fixed O&amp;M (M€ /1,000 t Bio Oil)</v>
      </c>
      <c r="C32" s="162" t="s">
        <v>1140</v>
      </c>
      <c r="D32" s="956" t="s">
        <v>1136</v>
      </c>
      <c r="E32" s="957">
        <v>7.6190476190476183E-2</v>
      </c>
      <c r="F32" s="957">
        <v>7.6190476190476183E-2</v>
      </c>
      <c r="G32" s="957">
        <v>7.6190476190476183E-2</v>
      </c>
      <c r="H32" s="957">
        <v>7.6190476190476183E-2</v>
      </c>
      <c r="I32" s="167">
        <v>0.75</v>
      </c>
      <c r="J32" s="167">
        <v>1.25</v>
      </c>
      <c r="K32" s="167">
        <v>0.75</v>
      </c>
      <c r="L32" s="167">
        <v>1.25</v>
      </c>
      <c r="M32" s="161" t="s">
        <v>1138</v>
      </c>
      <c r="N32" s="161">
        <v>6</v>
      </c>
    </row>
    <row r="33" spans="2:14">
      <c r="B33" t="str">
        <f>IF(IF(OR(LEFT(C33,27)=SUP_Biofuels!$N$8,LEFT(C33,20)=SUP_Biofuels!$O$8,LEFT(C33,20)=SUP_Biofuels!$P$8),LEFT(C33,20),C33)="Specific investment ","Specific investment (M€ /MW",IF(OR(LEFT(C33,27)=SUP_Biofuels!$N$8,LEFT(C33,20)=SUP_Biofuels!$O$8,LEFT(C33,20)=SUP_Biofuels!$P$8),LEFT(C33,20),C33))</f>
        <v>Variable O&amp;M (M€ /1,000 t Bio Oil)</v>
      </c>
      <c r="C33" s="162" t="s">
        <v>1139</v>
      </c>
      <c r="D33" s="956" t="s">
        <v>1136</v>
      </c>
      <c r="E33" s="957">
        <v>0.14285714285714285</v>
      </c>
      <c r="F33" s="957">
        <v>0.14285714285714285</v>
      </c>
      <c r="G33" s="957">
        <v>0.14285714285714285</v>
      </c>
      <c r="H33" s="957">
        <v>0.14285714285714285</v>
      </c>
      <c r="I33" s="167">
        <v>0.75</v>
      </c>
      <c r="J33" s="167">
        <v>1.25</v>
      </c>
      <c r="K33" s="167">
        <v>0.75</v>
      </c>
      <c r="L33" s="167">
        <v>1.25</v>
      </c>
      <c r="M33" s="161" t="s">
        <v>1138</v>
      </c>
      <c r="N33" s="161">
        <v>6</v>
      </c>
    </row>
    <row r="34" spans="2:14">
      <c r="C34" s="162" t="s">
        <v>1255</v>
      </c>
      <c r="D34" s="956" t="s">
        <v>1136</v>
      </c>
      <c r="E34" s="956">
        <v>0</v>
      </c>
      <c r="F34" s="956">
        <v>0</v>
      </c>
      <c r="G34" s="956"/>
      <c r="H34" s="956">
        <v>0</v>
      </c>
      <c r="I34" s="205"/>
      <c r="J34" s="205"/>
      <c r="K34" s="205"/>
      <c r="L34" s="205"/>
      <c r="M34" s="161"/>
      <c r="N34" s="161"/>
    </row>
    <row r="36" spans="2:14">
      <c r="C36" s="886" t="s">
        <v>695</v>
      </c>
    </row>
    <row r="37" spans="2:14">
      <c r="C37" s="885" t="s">
        <v>1135</v>
      </c>
    </row>
    <row r="38" spans="2:14">
      <c r="C38" s="885" t="s">
        <v>1192</v>
      </c>
    </row>
    <row r="39" spans="2:14">
      <c r="C39" s="885" t="s">
        <v>1254</v>
      </c>
    </row>
    <row r="40" spans="2:14">
      <c r="C40" s="885" t="s">
        <v>1133</v>
      </c>
    </row>
    <row r="41" spans="2:14">
      <c r="C41" s="885" t="s">
        <v>1132</v>
      </c>
    </row>
    <row r="42" spans="2:14">
      <c r="C42" s="885" t="s">
        <v>1253</v>
      </c>
    </row>
    <row r="43" spans="2:14">
      <c r="C43" s="885" t="s">
        <v>1252</v>
      </c>
    </row>
    <row r="44" spans="2:14">
      <c r="C44" s="885" t="s">
        <v>1129</v>
      </c>
    </row>
    <row r="46" spans="2:14">
      <c r="C46" s="886" t="s">
        <v>989</v>
      </c>
    </row>
    <row r="47" spans="2:14">
      <c r="C47" s="885" t="s">
        <v>1251</v>
      </c>
    </row>
    <row r="48" spans="2:14">
      <c r="C48" s="885" t="s">
        <v>1250</v>
      </c>
    </row>
    <row r="49" spans="3:3">
      <c r="C49" s="885" t="s">
        <v>1249</v>
      </c>
    </row>
    <row r="50" spans="3:3">
      <c r="C50" s="885" t="s">
        <v>1248</v>
      </c>
    </row>
    <row r="51" spans="3:3">
      <c r="C51" s="885" t="s">
        <v>1247</v>
      </c>
    </row>
    <row r="52" spans="3:3">
      <c r="C52" s="885" t="s">
        <v>1246</v>
      </c>
    </row>
    <row r="53" spans="3:3">
      <c r="C53" s="885" t="s">
        <v>1245</v>
      </c>
    </row>
    <row r="54" spans="3:3">
      <c r="C54" s="885" t="s">
        <v>1244</v>
      </c>
    </row>
    <row r="55" spans="3:3">
      <c r="C55" s="885" t="s">
        <v>1243</v>
      </c>
    </row>
    <row r="56" spans="3:3">
      <c r="C56" s="885" t="s">
        <v>1242</v>
      </c>
    </row>
    <row r="57" spans="3:3">
      <c r="C57" s="885" t="s">
        <v>1241</v>
      </c>
    </row>
    <row r="58" spans="3:3">
      <c r="C58" s="885" t="s">
        <v>1240</v>
      </c>
    </row>
  </sheetData>
  <mergeCells count="2">
    <mergeCell ref="I3:J3"/>
    <mergeCell ref="K3:L3"/>
  </mergeCells>
  <hyperlinks>
    <hyperlink ref="C47" r:id="rId1" display="http://steeperenergy.com/2017/12/15/steeper-energy-announces-eur-50-6-m-dkk-377-m-advanced-biofuel-project-with-norwegian-swedish-joint-venture-silva-green-fuel-in-licensing-deal/" xr:uid="{CA6AABB8-1BA6-4789-A059-7493F33E2286}"/>
    <hyperlink ref="C48" r:id="rId2" display="https://doi.org/10.1007/s13399-017-0248-8" xr:uid="{E5BFBF16-809E-4689-8D12-262F10662603}"/>
    <hyperlink ref="C49" r:id="rId3" display="http://www.etc-cte.ec.gc.ca/databases/oilproperties/pdf/web_bunker_c_fuel_oil.pdf" xr:uid="{0941B76A-6420-4E84-831A-80C99BD55707}"/>
    <hyperlink ref="C50" r:id="rId4" display="http://www.biofuelsdigest.com/bdigest/2017/02/02/fracking-biomass-steeper-energy-and-the-pursuit-of-renewable-hydrocarbons/" xr:uid="{FF9641C4-BF9B-41D0-92F3-01AFCAC2CC9A}"/>
    <hyperlink ref="C51" r:id="rId5" display="https://doi.org/10.1007/s13399-017-0248-8" xr:uid="{F56106CB-CBC6-4D7B-B20E-5F666B353B6A}"/>
    <hyperlink ref="C52" r:id="rId6" display="https://www.bio.org/sites/default/files/0830AM-Perry Toms.pdf" xr:uid="{87DCBF34-6DB5-48D8-AE33-F6975F13AB30}"/>
    <hyperlink ref="C53" r:id="rId7" display="https://doi.org/10.1016/j.apenergy.2014.03.053" xr:uid="{6A3A1933-1AB3-49E6-AF29-D37C3B8650B4}"/>
    <hyperlink ref="C54" r:id="rId8" display="http://www.licella.com.au/news/licella-canfor-joint-venture-at-the-forefront-of-global-bioenergy/" xr:uid="{53F54C18-C8CC-41D1-A924-04C933FE5A64}"/>
    <hyperlink ref="C55" r:id="rId9" display="https://doi.org/10.1016/B978-0-08-101029-7.00009-6" xr:uid="{917BE405-0F46-4017-AB4D-103798A91C8F}"/>
    <hyperlink ref="C56" r:id="rId10" display="http://www.ourenergypolicy.org/wp-content/uploads/2015/08/60462.pdf" xr:uid="{6EBEA6C0-6368-411F-98D0-54BCA9B4031C}"/>
    <hyperlink ref="C57" r:id="rId11" display="https://doi.org/10.13044/j.sdewes.d5.0177" xr:uid="{B7FA2B5D-2846-43DC-A41F-595C7AF790A5}"/>
    <hyperlink ref="C58" r:id="rId12" display="https://doi.org/10.1002/bbb.1831" xr:uid="{C776E879-732E-458E-B15B-3486A4658A8C}"/>
    <hyperlink ref="I1" location="Index" display="Back to Index" xr:uid="{D57208B1-11F9-472A-A11E-9539C44CE451}"/>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AA5A7-19D2-4A8B-BFF2-CF22DDDADFAE}">
  <sheetPr>
    <tabColor theme="4" tint="0.39997558519241921"/>
  </sheetPr>
  <dimension ref="B1:N80"/>
  <sheetViews>
    <sheetView workbookViewId="0">
      <selection activeCell="E21" sqref="E21"/>
    </sheetView>
  </sheetViews>
  <sheetFormatPr defaultColWidth="9.109375" defaultRowHeight="14.4"/>
  <cols>
    <col min="1" max="1" width="3.88671875" customWidth="1"/>
    <col min="2" max="2" width="35.88671875" bestFit="1" customWidth="1"/>
    <col min="3" max="3" width="31" customWidth="1"/>
    <col min="4" max="4" width="13.109375" customWidth="1"/>
    <col min="5" max="5" width="13.77734375" bestFit="1" customWidth="1"/>
    <col min="6" max="6" width="17" bestFit="1" customWidth="1"/>
    <col min="7" max="7" width="11" customWidth="1"/>
    <col min="8" max="8" width="7.109375" customWidth="1"/>
    <col min="9" max="9" width="11" customWidth="1"/>
    <col min="10" max="10" width="10" customWidth="1"/>
    <col min="11" max="12" width="7.6640625" customWidth="1"/>
    <col min="13" max="13" width="5.88671875" bestFit="1" customWidth="1"/>
    <col min="14" max="14" width="4.33203125" bestFit="1" customWidth="1"/>
  </cols>
  <sheetData>
    <row r="1" spans="2:14">
      <c r="I1" s="884" t="s">
        <v>966</v>
      </c>
    </row>
    <row r="2" spans="2:14">
      <c r="C2" s="260" t="s">
        <v>296</v>
      </c>
      <c r="D2" s="260" t="s">
        <v>1275</v>
      </c>
      <c r="E2" s="260"/>
      <c r="F2" s="260"/>
      <c r="G2" s="260"/>
      <c r="H2" s="260"/>
      <c r="I2" s="260"/>
      <c r="J2" s="260"/>
      <c r="K2" s="260"/>
      <c r="L2" s="260"/>
      <c r="M2" s="260"/>
      <c r="N2" s="260"/>
    </row>
    <row r="3" spans="2:14">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Bio Oil/year</v>
      </c>
      <c r="C6" s="180" t="s">
        <v>1152</v>
      </c>
      <c r="D6" s="178" t="s">
        <v>1136</v>
      </c>
      <c r="E6" s="178">
        <v>40</v>
      </c>
      <c r="F6" s="178">
        <v>80</v>
      </c>
      <c r="G6" s="178">
        <v>120</v>
      </c>
      <c r="H6" s="178">
        <v>160</v>
      </c>
      <c r="I6" s="218">
        <v>0.5</v>
      </c>
      <c r="J6" s="218">
        <v>1.25</v>
      </c>
      <c r="K6" s="218">
        <v>0.75</v>
      </c>
      <c r="L6" s="218">
        <v>1.25</v>
      </c>
      <c r="M6" s="178" t="s">
        <v>280</v>
      </c>
      <c r="N6" s="178" t="s">
        <v>1274</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1151</v>
      </c>
      <c r="D7" s="188" t="s">
        <v>1136</v>
      </c>
      <c r="E7" s="968">
        <v>56.878761904761902</v>
      </c>
      <c r="F7" s="968">
        <v>113.7575238095238</v>
      </c>
      <c r="G7" s="968">
        <v>170.63628571428572</v>
      </c>
      <c r="H7" s="968">
        <v>227.51504761904761</v>
      </c>
      <c r="I7" s="217">
        <v>0.5</v>
      </c>
      <c r="J7" s="217">
        <v>1.25</v>
      </c>
      <c r="K7" s="217">
        <v>0.75</v>
      </c>
      <c r="L7" s="217">
        <v>1.25</v>
      </c>
      <c r="M7" s="188" t="s">
        <v>277</v>
      </c>
      <c r="N7" s="188" t="s">
        <v>1274</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934"/>
      <c r="E8" s="934"/>
      <c r="F8" s="934"/>
      <c r="G8" s="934" t="s">
        <v>285</v>
      </c>
      <c r="H8" s="934"/>
      <c r="I8" s="944"/>
      <c r="J8" s="944"/>
      <c r="K8" s="944"/>
      <c r="L8" s="944"/>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80" t="s">
        <v>112</v>
      </c>
      <c r="D9" s="178" t="s">
        <v>1136</v>
      </c>
      <c r="E9" s="178">
        <v>0.99</v>
      </c>
      <c r="F9" s="178">
        <v>0.99</v>
      </c>
      <c r="G9" s="178">
        <v>0.99</v>
      </c>
      <c r="H9" s="178">
        <v>0.99</v>
      </c>
      <c r="I9" s="218">
        <v>0.9</v>
      </c>
      <c r="J9" s="218">
        <v>1.5</v>
      </c>
      <c r="K9" s="218">
        <v>0.9</v>
      </c>
      <c r="L9" s="218">
        <v>1.25</v>
      </c>
      <c r="M9" s="178" t="s">
        <v>269</v>
      </c>
      <c r="N9" s="178">
        <v>5</v>
      </c>
    </row>
    <row r="10" spans="2:14">
      <c r="B10" t="str">
        <f>IF(IF(OR(LEFT(C10,27)=SUP_Biofuels!$N$8,LEFT(C10,20)=SUP_Biofuels!$O$8,LEFT(C10,20)=SUP_Biofuels!$P$8),LEFT(C10,20),C10)="Specific investment ","Specific investment (M€ /MW",IF(OR(LEFT(C10,27)=SUP_Biofuels!$N$8,LEFT(C10,20)=SUP_Biofuels!$O$8,LEFT(C10,20)=SUP_Biofuels!$P$8),LEFT(C10,20),C10))</f>
        <v>Electricity Consumption, MWh/MWh Total Input</v>
      </c>
      <c r="C10" s="190" t="s">
        <v>96</v>
      </c>
      <c r="D10" s="188" t="s">
        <v>1136</v>
      </c>
      <c r="E10" s="188">
        <v>0.01</v>
      </c>
      <c r="F10" s="188">
        <v>0.01</v>
      </c>
      <c r="G10" s="188">
        <v>0.01</v>
      </c>
      <c r="H10" s="188">
        <v>0.01</v>
      </c>
      <c r="I10" s="217">
        <v>0.75</v>
      </c>
      <c r="J10" s="217">
        <v>1.25</v>
      </c>
      <c r="K10" s="217">
        <v>0.75</v>
      </c>
      <c r="L10" s="217">
        <v>1.25</v>
      </c>
      <c r="M10" s="188" t="s">
        <v>269</v>
      </c>
      <c r="N10" s="188">
        <v>5</v>
      </c>
    </row>
    <row r="11" spans="2:14">
      <c r="B11" t="str">
        <f>IF(IF(OR(LEFT(C11,27)=SUP_Biofuels!$N$8,LEFT(C11,20)=SUP_Biofuels!$O$8,LEFT(C11,20)=SUP_Biofuels!$P$8),LEFT(C11,20),C11)="Specific investment ","Specific investment (M€ /MW",IF(OR(LEFT(C11,27)=SUP_Biofuels!$N$8,LEFT(C11,20)=SUP_Biofuels!$O$8,LEFT(C11,20)=SUP_Biofuels!$P$8),LEFT(C11,20),C11))</f>
        <v>Outputs</v>
      </c>
      <c r="C11" s="186" t="s">
        <v>271</v>
      </c>
      <c r="D11" s="934"/>
      <c r="E11" s="934"/>
      <c r="F11" s="934"/>
      <c r="G11" s="934"/>
      <c r="H11" s="934"/>
      <c r="I11" s="944"/>
      <c r="J11" s="944"/>
      <c r="K11" s="944"/>
      <c r="L11" s="944"/>
      <c r="M11" s="183"/>
      <c r="N11" s="225"/>
    </row>
    <row r="12" spans="2:14">
      <c r="B12" t="str">
        <f>IF(IF(OR(LEFT(C12,27)=SUP_Biofuels!$N$8,LEFT(C12,20)=SUP_Biofuels!$O$8,LEFT(C12,20)=SUP_Biofuels!$P$8),LEFT(C12,20),C12)="Specific investment ","Specific investment (M€ /MW",IF(OR(LEFT(C12,27)=SUP_Biofuels!$N$8,LEFT(C12,20)=SUP_Biofuels!$O$8,LEFT(C12,20)=SUP_Biofuels!$P$8),LEFT(C12,20),C12))</f>
        <v>Gasoline fraction, MWh/MWh Total Input</v>
      </c>
      <c r="C12" s="180" t="s">
        <v>116</v>
      </c>
      <c r="D12" s="178" t="s">
        <v>1136</v>
      </c>
      <c r="E12" s="178">
        <v>0.38</v>
      </c>
      <c r="F12" s="178">
        <v>0.39</v>
      </c>
      <c r="G12" s="178">
        <v>0.4</v>
      </c>
      <c r="H12" s="178">
        <v>0.41</v>
      </c>
      <c r="I12" s="218">
        <v>0.9</v>
      </c>
      <c r="J12" s="218">
        <v>1.1000000000000001</v>
      </c>
      <c r="K12" s="218">
        <v>0.9</v>
      </c>
      <c r="L12" s="218">
        <v>1.1000000000000001</v>
      </c>
      <c r="M12" s="178" t="s">
        <v>269</v>
      </c>
      <c r="N12" s="178">
        <v>5</v>
      </c>
    </row>
    <row r="13" spans="2:14">
      <c r="B13" t="str">
        <f>IF(IF(OR(LEFT(C13,27)=SUP_Biofuels!$N$8,LEFT(C13,20)=SUP_Biofuels!$O$8,LEFT(C13,20)=SUP_Biofuels!$P$8),LEFT(C13,20),C13)="Specific investment ","Specific investment (M€ /MW",IF(OR(LEFT(C13,27)=SUP_Biofuels!$N$8,LEFT(C13,20)=SUP_Biofuels!$O$8,LEFT(C13,20)=SUP_Biofuels!$P$8),LEFT(C13,20),C13))</f>
        <v>Diesel fraction, MWh/MWh Total Input</v>
      </c>
      <c r="C13" s="268" t="s">
        <v>117</v>
      </c>
      <c r="D13" s="270" t="s">
        <v>1136</v>
      </c>
      <c r="E13" s="270">
        <v>0.17</v>
      </c>
      <c r="F13" s="270">
        <v>0.18</v>
      </c>
      <c r="G13" s="270">
        <v>0.18</v>
      </c>
      <c r="H13" s="270">
        <v>0.19</v>
      </c>
      <c r="I13" s="218">
        <v>0.9</v>
      </c>
      <c r="J13" s="218">
        <v>1.1000000000000001</v>
      </c>
      <c r="K13" s="218">
        <v>0.9</v>
      </c>
      <c r="L13" s="218">
        <v>1.1000000000000001</v>
      </c>
      <c r="M13" s="178" t="s">
        <v>269</v>
      </c>
      <c r="N13" s="178">
        <v>5</v>
      </c>
    </row>
    <row r="14" spans="2:14">
      <c r="B14" t="str">
        <f>IF(IF(OR(LEFT(C14,27)=SUP_Biofuels!$N$8,LEFT(C14,20)=SUP_Biofuels!$O$8,LEFT(C14,20)=SUP_Biofuels!$P$8),LEFT(C14,20),C14)="Specific investment ","Specific investment (M€ /MW",IF(OR(LEFT(C14,27)=SUP_Biofuels!$N$8,LEFT(C14,20)=SUP_Biofuels!$O$8,LEFT(C14,20)=SUP_Biofuels!$P$8),LEFT(C14,20),C14))</f>
        <v>Co-products  Output MWh/MWh Total Input</v>
      </c>
      <c r="C14" s="190" t="s">
        <v>1261</v>
      </c>
      <c r="D14" s="188" t="s">
        <v>1136</v>
      </c>
      <c r="E14" s="188">
        <v>0</v>
      </c>
      <c r="F14" s="188">
        <v>0</v>
      </c>
      <c r="G14" s="188">
        <v>0</v>
      </c>
      <c r="H14" s="188">
        <v>0</v>
      </c>
      <c r="I14" s="217">
        <v>0.9</v>
      </c>
      <c r="J14" s="217">
        <v>1.1000000000000001</v>
      </c>
      <c r="K14" s="217">
        <v>0.9</v>
      </c>
      <c r="L14" s="217">
        <v>1.1000000000000001</v>
      </c>
      <c r="M14" s="188" t="s">
        <v>269</v>
      </c>
      <c r="N14" s="188">
        <v>5</v>
      </c>
    </row>
    <row r="15" spans="2:14">
      <c r="B15">
        <f>IF(IF(OR(LEFT(C15,27)=SUP_Biofuels!$N$8,LEFT(C15,20)=SUP_Biofuels!$O$8,LEFT(C15,20)=SUP_Biofuels!$P$8),LEFT(C15,20),C15)="Specific investment ","Specific investment (M€ /MW",IF(OR(LEFT(C15,27)=SUP_Biofuels!$N$8,LEFT(C15,20)=SUP_Biofuels!$O$8,LEFT(C15,20)=SUP_Biofuels!$P$8),LEFT(C15,20),C15))</f>
        <v>0</v>
      </c>
      <c r="C15" s="207"/>
      <c r="D15" s="934"/>
      <c r="E15" s="934"/>
      <c r="F15" s="934"/>
      <c r="G15" s="934"/>
      <c r="H15" s="934"/>
      <c r="I15" s="944"/>
      <c r="J15" s="944"/>
      <c r="K15" s="944"/>
      <c r="L15" s="944"/>
      <c r="M15" s="183"/>
      <c r="N15" s="225"/>
    </row>
    <row r="16" spans="2:14">
      <c r="B16" t="str">
        <f>IF(IF(OR(LEFT(C16,27)=SUP_Biofuels!$N$8,LEFT(C16,20)=SUP_Biofuels!$O$8,LEFT(C16,20)=SUP_Biofuels!$P$8),LEFT(C16,20),C16)="Specific investment ","Specific investment (M€ /MW",IF(OR(LEFT(C16,27)=SUP_Biofuels!$N$8,LEFT(C16,20)=SUP_Biofuels!$O$8,LEFT(C16,20)=SUP_Biofuels!$P$8),LEFT(C16,20),C16))</f>
        <v>Forced outage (%)</v>
      </c>
      <c r="C16" s="180" t="s">
        <v>59</v>
      </c>
      <c r="D16" s="178" t="s">
        <v>1136</v>
      </c>
      <c r="E16" s="178">
        <v>4</v>
      </c>
      <c r="F16" s="178">
        <v>4</v>
      </c>
      <c r="G16" s="178">
        <v>0</v>
      </c>
      <c r="H16" s="178">
        <v>0</v>
      </c>
      <c r="I16" s="942"/>
      <c r="J16" s="942"/>
      <c r="K16" s="942"/>
      <c r="L16" s="942"/>
      <c r="M16" s="178"/>
      <c r="N16" s="178"/>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62" t="s">
        <v>92</v>
      </c>
      <c r="D17" s="161" t="s">
        <v>1136</v>
      </c>
      <c r="E17" s="161">
        <v>2</v>
      </c>
      <c r="F17" s="161">
        <v>3</v>
      </c>
      <c r="G17" s="161">
        <v>4</v>
      </c>
      <c r="H17" s="161">
        <v>5</v>
      </c>
      <c r="I17" s="167"/>
      <c r="J17" s="167"/>
      <c r="K17" s="167"/>
      <c r="L17" s="962"/>
      <c r="M17" s="161"/>
      <c r="N17" s="161">
        <v>5</v>
      </c>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62" t="s">
        <v>58</v>
      </c>
      <c r="D18" s="161" t="s">
        <v>1136</v>
      </c>
      <c r="E18" s="161" t="s">
        <v>1260</v>
      </c>
      <c r="F18" s="161" t="s">
        <v>1260</v>
      </c>
      <c r="G18" s="161" t="s">
        <v>1260</v>
      </c>
      <c r="H18" s="161" t="s">
        <v>1260</v>
      </c>
      <c r="I18" s="167"/>
      <c r="J18" s="167"/>
      <c r="K18" s="167"/>
      <c r="L18" s="962"/>
      <c r="M18" s="161"/>
      <c r="N18" s="162"/>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90" t="s">
        <v>60</v>
      </c>
      <c r="D19" s="188" t="s">
        <v>1136</v>
      </c>
      <c r="E19" s="188">
        <v>2</v>
      </c>
      <c r="F19" s="188">
        <v>2</v>
      </c>
      <c r="G19" s="188">
        <v>2</v>
      </c>
      <c r="H19" s="188">
        <v>2</v>
      </c>
      <c r="I19" s="189"/>
      <c r="J19" s="189"/>
      <c r="K19" s="189"/>
      <c r="L19" s="217"/>
      <c r="M19" s="188"/>
      <c r="N19" s="188">
        <v>5</v>
      </c>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86" t="s">
        <v>264</v>
      </c>
      <c r="D20" s="934"/>
      <c r="E20" s="934"/>
      <c r="F20" s="934"/>
      <c r="G20" s="934"/>
      <c r="H20" s="934"/>
      <c r="I20" s="184"/>
      <c r="J20" s="184"/>
      <c r="K20" s="184"/>
      <c r="L20" s="967"/>
      <c r="M20" s="183"/>
      <c r="N20" s="966"/>
    </row>
    <row r="21" spans="2:14">
      <c r="B21" t="str">
        <f>IF(IF(OR(LEFT(C21,27)=SUP_Biofuels!$N$8,LEFT(C21,20)=SUP_Biofuels!$O$8,LEFT(C21,20)=SUP_Biofuels!$P$8),LEFT(C21,20),C21)="Specific investment ","Specific investment (M€ /MW",IF(OR(LEFT(C21,27)=SUP_Biofuels!$N$8,LEFT(C21,20)=SUP_Biofuels!$O$8,LEFT(C21,20)=SUP_Biofuels!$P$8),LEFT(C21,20),C21))</f>
        <v>Specific investment (M€ /MW</v>
      </c>
      <c r="C21" s="180" t="s">
        <v>1147</v>
      </c>
      <c r="D21" s="178" t="s">
        <v>1136</v>
      </c>
      <c r="E21" s="1124">
        <f>SUM(E36:E37)</f>
        <v>2.7822558139534888</v>
      </c>
      <c r="F21" s="1124">
        <f>SUM(F36:F37)</f>
        <v>2.1191515116279076</v>
      </c>
      <c r="G21" s="1124">
        <f>SUM(G36:G37)</f>
        <v>1.887065005813954</v>
      </c>
      <c r="H21" s="1124">
        <f>SUM(H36:H37)</f>
        <v>1.7620953488372098</v>
      </c>
      <c r="I21" s="218">
        <v>0.75</v>
      </c>
      <c r="J21" s="218">
        <v>1.25</v>
      </c>
      <c r="K21" s="218">
        <v>0.75</v>
      </c>
      <c r="L21" s="218">
        <v>1.25</v>
      </c>
      <c r="M21" s="178" t="s">
        <v>1272</v>
      </c>
      <c r="N21" s="178" t="s">
        <v>1271</v>
      </c>
    </row>
    <row r="22" spans="2:14">
      <c r="B22" t="str">
        <f>IF(IF(OR(LEFT(C22,27)=SUP_Biofuels!$N$8,LEFT(C22,20)=SUP_Biofuels!$O$8,LEFT(C22,20)=SUP_Biofuels!$P$8),LEFT(C22,20),C22)="Specific investment ","Specific investment (M€ /MW",IF(OR(LEFT(C22,27)=SUP_Biofuels!$N$8,LEFT(C22,20)=SUP_Biofuels!$O$8,LEFT(C22,20)=SUP_Biofuels!$P$8),LEFT(C22,20),C22))</f>
        <v xml:space="preserve"> - equipment (%)</v>
      </c>
      <c r="C22" s="162" t="s">
        <v>394</v>
      </c>
      <c r="D22" s="161" t="s">
        <v>1136</v>
      </c>
      <c r="E22" s="161">
        <v>75</v>
      </c>
      <c r="F22" s="161">
        <v>75</v>
      </c>
      <c r="G22" s="161">
        <v>75</v>
      </c>
      <c r="H22" s="161">
        <v>75</v>
      </c>
      <c r="I22" s="962"/>
      <c r="J22" s="962"/>
      <c r="K22" s="962"/>
      <c r="L22" s="962"/>
      <c r="M22" s="161"/>
      <c r="N22" s="161"/>
    </row>
    <row r="23" spans="2:14">
      <c r="B23" t="str">
        <f>LEFT(C23,17)</f>
        <v xml:space="preserve"> -installation (%</v>
      </c>
      <c r="C23" s="162" t="s">
        <v>251</v>
      </c>
      <c r="D23" s="161" t="s">
        <v>1136</v>
      </c>
      <c r="E23" s="161">
        <v>25</v>
      </c>
      <c r="F23" s="161">
        <v>25</v>
      </c>
      <c r="G23" s="161">
        <v>25</v>
      </c>
      <c r="H23" s="161">
        <v>25</v>
      </c>
      <c r="I23" s="962"/>
      <c r="J23" s="962"/>
      <c r="K23" s="962"/>
      <c r="L23" s="962"/>
      <c r="M23" s="161"/>
      <c r="N23" s="161"/>
    </row>
    <row r="24" spans="2:14">
      <c r="B24" t="str">
        <f>LEFT(C24,17)</f>
        <v>Fixed O&amp;M (M€ /MW</v>
      </c>
      <c r="C24" s="162" t="s">
        <v>1146</v>
      </c>
      <c r="D24" s="161" t="s">
        <v>1136</v>
      </c>
      <c r="E24" s="1065">
        <f>E76/1.2</f>
        <v>0.11554578175185083</v>
      </c>
      <c r="F24" s="1065">
        <f t="shared" ref="F24:H25" si="0">E24</f>
        <v>0.11554578175185083</v>
      </c>
      <c r="G24" s="1065">
        <f t="shared" si="0"/>
        <v>0.11554578175185083</v>
      </c>
      <c r="H24" s="1065">
        <f t="shared" si="0"/>
        <v>0.11554578175185083</v>
      </c>
      <c r="I24" s="962">
        <v>0.75</v>
      </c>
      <c r="J24" s="962">
        <v>1.25</v>
      </c>
      <c r="K24" s="962">
        <v>0.75</v>
      </c>
      <c r="L24" s="962">
        <v>1.25</v>
      </c>
      <c r="M24" s="161" t="s">
        <v>243</v>
      </c>
      <c r="N24" s="161">
        <v>5</v>
      </c>
    </row>
    <row r="25" spans="2:14">
      <c r="B25" t="str">
        <f>LEFT(C25,19)</f>
        <v>Variable O&amp;M (€ /MW</v>
      </c>
      <c r="C25" s="162" t="s">
        <v>1145</v>
      </c>
      <c r="D25" s="161" t="s">
        <v>1136</v>
      </c>
      <c r="E25" s="1065">
        <f>E79/1.2</f>
        <v>6.0180094662422299</v>
      </c>
      <c r="F25" s="1065">
        <f t="shared" si="0"/>
        <v>6.0180094662422299</v>
      </c>
      <c r="G25" s="1065">
        <f t="shared" si="0"/>
        <v>6.0180094662422299</v>
      </c>
      <c r="H25" s="1065">
        <f t="shared" si="0"/>
        <v>6.0180094662422299</v>
      </c>
      <c r="I25" s="962">
        <v>0.75</v>
      </c>
      <c r="J25" s="962">
        <v>1.25</v>
      </c>
      <c r="K25" s="962">
        <v>0.75</v>
      </c>
      <c r="L25" s="962">
        <v>1.25</v>
      </c>
      <c r="M25" s="161" t="s">
        <v>243</v>
      </c>
      <c r="N25" s="161">
        <v>5</v>
      </c>
    </row>
    <row r="26" spans="2:14">
      <c r="B26" t="str">
        <f>IF(IF(OR(LEFT(C26,27)=SUP_Biofuels!$N$8,LEFT(C26,20)=SUP_Biofuels!$O$8,LEFT(C26,20)=SUP_Biofuels!$P$8),LEFT(C26,20),C26)="Specific investment ","Specific investment (M€ /MW",IF(OR(LEFT(C26,27)=SUP_Biofuels!$N$8,LEFT(C26,20)=SUP_Biofuels!$O$8,LEFT(C26,20)=SUP_Biofuels!$P$8),LEFT(C26,20),C26))</f>
        <v>Start up (€ /l Bio Oil)</v>
      </c>
      <c r="C26" s="190" t="s">
        <v>1269</v>
      </c>
      <c r="D26" s="188" t="s">
        <v>1136</v>
      </c>
      <c r="E26" s="188">
        <v>0</v>
      </c>
      <c r="F26" s="188">
        <v>0</v>
      </c>
      <c r="G26" s="188">
        <v>0</v>
      </c>
      <c r="H26" s="188">
        <v>0</v>
      </c>
      <c r="I26" s="217"/>
      <c r="J26" s="217"/>
      <c r="K26" s="217"/>
      <c r="L26" s="217"/>
      <c r="M26" s="188"/>
      <c r="N26" s="188"/>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86" t="s">
        <v>260</v>
      </c>
      <c r="D27" s="934"/>
      <c r="E27" s="934"/>
      <c r="F27" s="934"/>
      <c r="G27" s="934"/>
      <c r="H27" s="934"/>
      <c r="I27" s="184"/>
      <c r="J27" s="184"/>
      <c r="K27" s="184"/>
      <c r="L27" s="184"/>
      <c r="M27" s="183"/>
      <c r="N27" s="225"/>
    </row>
    <row r="28" spans="2:14">
      <c r="B28" t="str">
        <f>IF(IF(OR(LEFT(C28,27)=SUP_Biofuels!$N$8,LEFT(C28,20)=SUP_Biofuels!$O$8,LEFT(C28,20)=SUP_Biofuels!$P$8),LEFT(C28,20),C28)="Specific investment ","Specific investment (M€ /MW",IF(OR(LEFT(C28,27)=SUP_Biofuels!$N$8,LEFT(C28,20)=SUP_Biofuels!$O$8,LEFT(C28,20)=SUP_Biofuels!$P$8),LEFT(C28,20),C28))</f>
        <v xml:space="preserve">Specific energy content (GJ/ton) </v>
      </c>
      <c r="C28" s="180" t="s">
        <v>1057</v>
      </c>
      <c r="D28" s="178">
        <v>43</v>
      </c>
      <c r="E28" s="178">
        <v>43</v>
      </c>
      <c r="F28" s="178">
        <v>43</v>
      </c>
      <c r="G28" s="178">
        <v>43</v>
      </c>
      <c r="H28" s="178">
        <v>43</v>
      </c>
      <c r="I28" s="218"/>
      <c r="J28" s="218"/>
      <c r="K28" s="218"/>
      <c r="L28" s="218"/>
      <c r="M28" s="178"/>
      <c r="N28" s="180"/>
    </row>
    <row r="29" spans="2:14">
      <c r="B29" t="str">
        <f>IF(IF(OR(LEFT(C29,27)=SUP_Biofuels!$N$8,LEFT(C29,20)=SUP_Biofuels!$O$8,LEFT(C29,20)=SUP_Biofuels!$P$8),LEFT(C29,20),C29)="Specific investment ","Specific investment (M€ /MW",IF(OR(LEFT(C29,27)=SUP_Biofuels!$N$8,LEFT(C29,20)=SUP_Biofuels!$O$8,LEFT(C29,20)=SUP_Biofuels!$P$8),LEFT(C29,20),C29))</f>
        <v>Specific density  (kg/l) or (ton/m3)</v>
      </c>
      <c r="C29" s="162" t="s">
        <v>257</v>
      </c>
      <c r="D29" s="161">
        <v>0.78</v>
      </c>
      <c r="E29" s="161">
        <v>0.78</v>
      </c>
      <c r="F29" s="161">
        <v>0.78</v>
      </c>
      <c r="G29" s="161">
        <v>0.78</v>
      </c>
      <c r="H29" s="161">
        <v>0.78</v>
      </c>
      <c r="I29" s="962"/>
      <c r="J29" s="962"/>
      <c r="K29" s="962"/>
      <c r="L29" s="962"/>
      <c r="M29" s="161"/>
      <c r="N29" s="162"/>
    </row>
    <row r="30" spans="2:14">
      <c r="B30" t="str">
        <f>IF(IF(OR(LEFT(C30,27)=SUP_Biofuels!$N$8,LEFT(C30,20)=SUP_Biofuels!$O$8,LEFT(C30,20)=SUP_Biofuels!$P$8),LEFT(C30,20),C30)="Specific investment ","Specific investment (M€ /MW",IF(OR(LEFT(C30,27)=SUP_Biofuels!$N$8,LEFT(C30,20)=SUP_Biofuels!$O$8,LEFT(C30,20)=SUP_Biofuels!$P$8),LEFT(C30,20),C30))</f>
        <v>Specific investment (M€ /l1000 t Bio Oil)</v>
      </c>
      <c r="C30" s="162" t="s">
        <v>1273</v>
      </c>
      <c r="D30" s="161" t="s">
        <v>1136</v>
      </c>
      <c r="E30" s="964">
        <v>3.9562500000000003</v>
      </c>
      <c r="F30" s="964">
        <v>2.2418750000000003</v>
      </c>
      <c r="G30" s="964">
        <v>1.64184375</v>
      </c>
      <c r="H30" s="964">
        <v>1.3187500000000001</v>
      </c>
      <c r="I30" s="962">
        <v>0.75</v>
      </c>
      <c r="J30" s="962">
        <v>1.25</v>
      </c>
      <c r="K30" s="962">
        <v>0.75</v>
      </c>
      <c r="L30" s="962">
        <v>1.25</v>
      </c>
      <c r="M30" s="161" t="s">
        <v>1272</v>
      </c>
      <c r="N30" s="161" t="s">
        <v>1271</v>
      </c>
    </row>
    <row r="31" spans="2:14">
      <c r="B31" t="str">
        <f>IF(IF(OR(LEFT(C31,27)=SUP_Biofuels!$N$8,LEFT(C31,20)=SUP_Biofuels!$O$8,LEFT(C31,20)=SUP_Biofuels!$P$8),LEFT(C31,20),C31)="Specific investment ","Specific investment (M€ /MW",IF(OR(LEFT(C31,27)=SUP_Biofuels!$N$8,LEFT(C31,20)=SUP_Biofuels!$O$8,LEFT(C31,20)=SUP_Biofuels!$P$8),LEFT(C31,20),C31))</f>
        <v xml:space="preserve"> - equipment (%)</v>
      </c>
      <c r="C31" s="162" t="s">
        <v>394</v>
      </c>
      <c r="D31" s="161" t="s">
        <v>1136</v>
      </c>
      <c r="E31" s="161">
        <v>75</v>
      </c>
      <c r="F31" s="161">
        <v>75</v>
      </c>
      <c r="G31" s="161">
        <v>75</v>
      </c>
      <c r="H31" s="161">
        <v>75</v>
      </c>
      <c r="I31" s="962"/>
      <c r="J31" s="962"/>
      <c r="K31" s="962"/>
      <c r="L31" s="962"/>
      <c r="M31" s="161"/>
      <c r="N31" s="161"/>
    </row>
    <row r="32" spans="2:14">
      <c r="B32" t="str">
        <f>IF(IF(OR(LEFT(C32,27)=SUP_Biofuels!$N$8,LEFT(C32,20)=SUP_Biofuels!$O$8,LEFT(C32,20)=SUP_Biofuels!$P$8),LEFT(C32,20),C32)="Specific investment ","Specific investment (M€ /MW",IF(OR(LEFT(C32,27)=SUP_Biofuels!$N$8,LEFT(C32,20)=SUP_Biofuels!$O$8,LEFT(C32,20)=SUP_Biofuels!$P$8),LEFT(C32,20),C32))</f>
        <v xml:space="preserve"> -installation (%)</v>
      </c>
      <c r="C32" s="162" t="s">
        <v>251</v>
      </c>
      <c r="D32" s="161" t="s">
        <v>1136</v>
      </c>
      <c r="E32" s="161">
        <v>25</v>
      </c>
      <c r="F32" s="161">
        <v>25</v>
      </c>
      <c r="G32" s="161">
        <v>25</v>
      </c>
      <c r="H32" s="161">
        <v>25</v>
      </c>
      <c r="I32" s="962"/>
      <c r="J32" s="962"/>
      <c r="K32" s="962"/>
      <c r="L32" s="962"/>
      <c r="M32" s="161"/>
      <c r="N32" s="161"/>
    </row>
    <row r="33" spans="2:14">
      <c r="B33" t="str">
        <f>IF(IF(OR(LEFT(C33,27)=SUP_Biofuels!$N$8,LEFT(C33,20)=SUP_Biofuels!$O$8,LEFT(C33,20)=SUP_Biofuels!$P$8),LEFT(C33,20),C33)="Specific investment ","Specific investment (M€ /MW",IF(OR(LEFT(C33,27)=SUP_Biofuels!$N$8,LEFT(C33,20)=SUP_Biofuels!$O$8,LEFT(C33,20)=SUP_Biofuels!$P$8),LEFT(C33,20),C33))</f>
        <v>Fixed O&amp;M (M€ /1,000 t Bio Oil)</v>
      </c>
      <c r="C33" s="162" t="s">
        <v>1140</v>
      </c>
      <c r="D33" s="161" t="s">
        <v>1136</v>
      </c>
      <c r="E33" s="963">
        <v>3.9E-2</v>
      </c>
      <c r="F33" s="963">
        <v>3.9E-2</v>
      </c>
      <c r="G33" s="963">
        <v>3.9E-2</v>
      </c>
      <c r="H33" s="963">
        <v>3.9E-2</v>
      </c>
      <c r="I33" s="962">
        <v>0.75</v>
      </c>
      <c r="J33" s="962">
        <v>1.25</v>
      </c>
      <c r="K33" s="962">
        <v>0.75</v>
      </c>
      <c r="L33" s="962">
        <v>1.25</v>
      </c>
      <c r="M33" s="161" t="s">
        <v>243</v>
      </c>
      <c r="N33" s="161">
        <v>5</v>
      </c>
    </row>
    <row r="34" spans="2:14">
      <c r="C34" s="162" t="s">
        <v>1270</v>
      </c>
      <c r="D34" s="161" t="s">
        <v>1136</v>
      </c>
      <c r="E34" s="963">
        <v>1.5600000000000001E-2</v>
      </c>
      <c r="F34" s="963">
        <v>1.5600000000000001E-2</v>
      </c>
      <c r="G34" s="963">
        <v>1.5600000000000001E-2</v>
      </c>
      <c r="H34" s="963">
        <v>1.5600000000000001E-2</v>
      </c>
      <c r="I34" s="962">
        <v>0.75</v>
      </c>
      <c r="J34" s="962">
        <v>1.25</v>
      </c>
      <c r="K34" s="962">
        <v>0.75</v>
      </c>
      <c r="L34" s="962">
        <v>1.25</v>
      </c>
      <c r="M34" s="161" t="s">
        <v>243</v>
      </c>
      <c r="N34" s="161">
        <v>5</v>
      </c>
    </row>
    <row r="35" spans="2:14">
      <c r="C35" s="162" t="s">
        <v>1269</v>
      </c>
      <c r="D35" s="161" t="s">
        <v>1136</v>
      </c>
      <c r="E35" s="161">
        <v>0</v>
      </c>
      <c r="F35" s="161">
        <v>0</v>
      </c>
      <c r="G35" s="161">
        <v>0</v>
      </c>
      <c r="H35" s="161">
        <v>0</v>
      </c>
      <c r="I35" s="961"/>
      <c r="J35" s="961"/>
      <c r="K35" s="961"/>
      <c r="L35" s="961"/>
      <c r="M35" s="161"/>
      <c r="N35" s="161"/>
    </row>
    <row r="36" spans="2:14">
      <c r="C36" s="1121" t="s">
        <v>1498</v>
      </c>
      <c r="D36" s="1121"/>
      <c r="E36" s="1121">
        <f>E38*0.45</f>
        <v>1.25201511627907</v>
      </c>
      <c r="F36" s="1121">
        <f>E36</f>
        <v>1.25201511627907</v>
      </c>
      <c r="G36" s="1121">
        <f>F36</f>
        <v>1.25201511627907</v>
      </c>
      <c r="H36" s="1121">
        <f>G36</f>
        <v>1.25201511627907</v>
      </c>
      <c r="I36" s="959"/>
      <c r="J36" s="959"/>
      <c r="K36" s="959"/>
      <c r="L36" s="959"/>
      <c r="M36" s="224"/>
      <c r="N36" s="224"/>
    </row>
    <row r="37" spans="2:14">
      <c r="B37" s="1120"/>
      <c r="C37" s="1121" t="s">
        <v>1496</v>
      </c>
      <c r="D37" s="1122"/>
      <c r="E37" s="1122">
        <f>E38*0.55</f>
        <v>1.5302406976744189</v>
      </c>
      <c r="F37" s="1122">
        <f>$E$37*F38/$E$38</f>
        <v>0.86713639534883757</v>
      </c>
      <c r="G37" s="1122">
        <f>$E$37*G38/$E$38</f>
        <v>0.63504988953488384</v>
      </c>
      <c r="H37" s="1122">
        <f>$E$37*H38/$E$38</f>
        <v>0.51008023255813961</v>
      </c>
      <c r="I37" s="959"/>
      <c r="J37" s="959"/>
      <c r="K37" s="959"/>
      <c r="L37" s="959"/>
      <c r="M37" s="1118"/>
      <c r="N37" s="1118"/>
    </row>
    <row r="38" spans="2:14">
      <c r="B38" s="1120" t="s">
        <v>1497</v>
      </c>
      <c r="C38" s="1123" t="s">
        <v>1147</v>
      </c>
      <c r="D38" s="1122"/>
      <c r="E38" s="1124">
        <v>2.7822558139534888</v>
      </c>
      <c r="F38" s="1124">
        <v>1.5766116279069771</v>
      </c>
      <c r="G38" s="1124">
        <v>1.1546361627906978</v>
      </c>
      <c r="H38" s="1124">
        <v>0.92741860465116288</v>
      </c>
      <c r="I38" s="959"/>
      <c r="J38" s="959"/>
      <c r="K38" s="959"/>
      <c r="L38" s="959"/>
      <c r="M38" s="1118"/>
      <c r="N38" s="1118"/>
    </row>
    <row r="39" spans="2:14">
      <c r="C39" t="s">
        <v>695</v>
      </c>
    </row>
    <row r="40" spans="2:14">
      <c r="C40" t="s">
        <v>1268</v>
      </c>
    </row>
    <row r="41" spans="2:14">
      <c r="C41" t="s">
        <v>1048</v>
      </c>
      <c r="L41" s="224"/>
      <c r="M41" s="224"/>
    </row>
    <row r="42" spans="2:14">
      <c r="C42" t="s">
        <v>1267</v>
      </c>
    </row>
    <row r="43" spans="2:14">
      <c r="C43" t="s">
        <v>1266</v>
      </c>
    </row>
    <row r="44" spans="2:14">
      <c r="C44" t="s">
        <v>1265</v>
      </c>
    </row>
    <row r="45" spans="2:14">
      <c r="C45" t="s">
        <v>1264</v>
      </c>
    </row>
    <row r="46" spans="2:14">
      <c r="C46" t="s">
        <v>1263</v>
      </c>
    </row>
    <row r="48" spans="2:14" ht="25.8">
      <c r="B48" s="1059" t="s">
        <v>1392</v>
      </c>
    </row>
    <row r="57" spans="2:9">
      <c r="B57" t="s">
        <v>1393</v>
      </c>
      <c r="E57" s="1061" t="s">
        <v>1396</v>
      </c>
      <c r="F57" s="1061" t="s">
        <v>1397</v>
      </c>
      <c r="G57" s="1061" t="s">
        <v>1398</v>
      </c>
      <c r="I57" s="1061"/>
    </row>
    <row r="58" spans="2:9">
      <c r="E58" t="s">
        <v>1395</v>
      </c>
      <c r="F58" t="s">
        <v>1395</v>
      </c>
      <c r="G58" t="s">
        <v>1395</v>
      </c>
    </row>
    <row r="59" spans="2:9">
      <c r="C59" t="s">
        <v>1394</v>
      </c>
      <c r="E59">
        <v>211</v>
      </c>
      <c r="F59">
        <v>612</v>
      </c>
      <c r="G59">
        <v>199</v>
      </c>
    </row>
    <row r="60" spans="2:9">
      <c r="C60" t="s">
        <v>1403</v>
      </c>
      <c r="E60">
        <v>2000</v>
      </c>
      <c r="F60">
        <v>3425</v>
      </c>
      <c r="G60">
        <v>2000</v>
      </c>
    </row>
    <row r="61" spans="2:9">
      <c r="C61" t="s">
        <v>1402</v>
      </c>
      <c r="E61">
        <f>E60*6.118/1000000*8000</f>
        <v>97.888000000000005</v>
      </c>
      <c r="F61">
        <f>F60*6.118/1000000*8000</f>
        <v>167.63320000000002</v>
      </c>
      <c r="G61">
        <f>G60*6.118/1000000*8000</f>
        <v>97.888000000000005</v>
      </c>
    </row>
    <row r="62" spans="2:9">
      <c r="C62" t="s">
        <v>1401</v>
      </c>
      <c r="E62">
        <f>E60*1.69944444/24</f>
        <v>141.62037000000001</v>
      </c>
      <c r="F62">
        <f>F60*1.69944444/24</f>
        <v>242.524883625</v>
      </c>
      <c r="G62">
        <f>G60*1.69944444/24</f>
        <v>141.62037000000001</v>
      </c>
    </row>
    <row r="64" spans="2:9">
      <c r="C64" t="s">
        <v>1399</v>
      </c>
      <c r="D64" s="1062">
        <v>2020</v>
      </c>
      <c r="E64">
        <f>E12+E13</f>
        <v>0.55000000000000004</v>
      </c>
      <c r="F64">
        <f>E64</f>
        <v>0.55000000000000004</v>
      </c>
      <c r="G64">
        <f>F64</f>
        <v>0.55000000000000004</v>
      </c>
    </row>
    <row r="65" spans="3:7">
      <c r="C65" t="s">
        <v>1400</v>
      </c>
      <c r="D65" s="1062">
        <v>2020</v>
      </c>
      <c r="E65">
        <f>E12</f>
        <v>0.38</v>
      </c>
      <c r="F65">
        <f>E65</f>
        <v>0.38</v>
      </c>
      <c r="G65">
        <f>F65</f>
        <v>0.38</v>
      </c>
    </row>
    <row r="66" spans="3:7">
      <c r="C66" s="1062" t="s">
        <v>144</v>
      </c>
      <c r="D66" s="1062">
        <v>2020</v>
      </c>
      <c r="E66">
        <f t="shared" ref="E66:G67" si="1">E$62*E64</f>
        <v>77.891203500000017</v>
      </c>
      <c r="F66">
        <f t="shared" si="1"/>
        <v>133.38868599375002</v>
      </c>
      <c r="G66">
        <f t="shared" si="1"/>
        <v>77.891203500000017</v>
      </c>
    </row>
    <row r="67" spans="3:7">
      <c r="C67" s="1062" t="s">
        <v>1409</v>
      </c>
      <c r="D67" s="1062">
        <v>2020</v>
      </c>
      <c r="E67">
        <f t="shared" si="1"/>
        <v>53.815740600000005</v>
      </c>
      <c r="F67">
        <f t="shared" si="1"/>
        <v>92.1594557775</v>
      </c>
      <c r="G67">
        <f t="shared" si="1"/>
        <v>53.815740600000005</v>
      </c>
    </row>
    <row r="68" spans="3:7">
      <c r="C68" t="s">
        <v>1404</v>
      </c>
      <c r="D68" s="1062">
        <v>2020</v>
      </c>
      <c r="E68">
        <f t="shared" ref="E68:G69" si="2">E$59/(E$62*E64)</f>
        <v>2.7089066610711692</v>
      </c>
      <c r="F68">
        <f t="shared" si="2"/>
        <v>4.5880952754019599</v>
      </c>
      <c r="G68">
        <f t="shared" si="2"/>
        <v>2.5548456187353681</v>
      </c>
    </row>
    <row r="69" spans="3:7">
      <c r="C69" t="s">
        <v>1405</v>
      </c>
      <c r="D69" s="1062">
        <v>2020</v>
      </c>
      <c r="E69">
        <f t="shared" si="2"/>
        <v>3.9207859568135346</v>
      </c>
      <c r="F69">
        <f t="shared" si="2"/>
        <v>6.6406642143975736</v>
      </c>
      <c r="G69">
        <f t="shared" si="2"/>
        <v>3.6978028692222433</v>
      </c>
    </row>
    <row r="70" spans="3:7">
      <c r="C70" s="1060" t="s">
        <v>1406</v>
      </c>
      <c r="D70" t="s">
        <v>1404</v>
      </c>
      <c r="E70">
        <f t="shared" ref="E70:G71" si="3">E68*6.5</f>
        <v>17.607893296962601</v>
      </c>
      <c r="F70">
        <f t="shared" si="3"/>
        <v>29.82261929011274</v>
      </c>
      <c r="G70">
        <f t="shared" si="3"/>
        <v>16.606496521779892</v>
      </c>
    </row>
    <row r="71" spans="3:7">
      <c r="C71" s="1060" t="s">
        <v>1406</v>
      </c>
      <c r="D71" t="s">
        <v>1405</v>
      </c>
      <c r="E71">
        <f>E69*6.5</f>
        <v>25.485108719287975</v>
      </c>
      <c r="F71">
        <f t="shared" si="3"/>
        <v>43.164317393584227</v>
      </c>
      <c r="G71">
        <f t="shared" si="3"/>
        <v>24.035718649944581</v>
      </c>
    </row>
    <row r="75" spans="3:7">
      <c r="C75" t="s">
        <v>1407</v>
      </c>
      <c r="D75" t="s">
        <v>1408</v>
      </c>
      <c r="E75">
        <v>10.8</v>
      </c>
      <c r="G75">
        <v>10.8</v>
      </c>
    </row>
    <row r="76" spans="3:7">
      <c r="C76" t="s">
        <v>1407</v>
      </c>
      <c r="D76" t="s">
        <v>1415</v>
      </c>
      <c r="E76">
        <f>E75/(E62*E64)</f>
        <v>0.13865493810222099</v>
      </c>
      <c r="G76">
        <f>G75/(G62*G64)</f>
        <v>0.13865493810222099</v>
      </c>
    </row>
    <row r="77" spans="3:7">
      <c r="C77" t="s">
        <v>1407</v>
      </c>
      <c r="D77" t="s">
        <v>1414</v>
      </c>
      <c r="E77" s="1">
        <f>E76*6.5</f>
        <v>0.9012570976644364</v>
      </c>
      <c r="F77" s="1"/>
      <c r="G77" s="1">
        <f>G76*6.5</f>
        <v>0.9012570976644364</v>
      </c>
    </row>
    <row r="78" spans="3:7">
      <c r="C78" t="s">
        <v>1410</v>
      </c>
      <c r="D78" t="s">
        <v>1411</v>
      </c>
      <c r="E78">
        <v>4.5</v>
      </c>
      <c r="G78">
        <v>4.5</v>
      </c>
    </row>
    <row r="79" spans="3:7">
      <c r="C79" t="s">
        <v>1410</v>
      </c>
      <c r="D79" t="s">
        <v>1412</v>
      </c>
      <c r="E79" s="1">
        <f>E78*1000000/(8000*E66)</f>
        <v>7.2216113594906757</v>
      </c>
      <c r="F79" s="1"/>
      <c r="G79" s="1">
        <f>G78*1000000/(8000*G66)</f>
        <v>7.2216113594906757</v>
      </c>
    </row>
    <row r="80" spans="3:7">
      <c r="C80" t="s">
        <v>1410</v>
      </c>
      <c r="D80" t="s">
        <v>1413</v>
      </c>
      <c r="E80" s="1">
        <f>E79*6.5</f>
        <v>46.940473836689392</v>
      </c>
      <c r="F80" s="1"/>
      <c r="G80" s="1">
        <f>G79*6.5</f>
        <v>46.940473836689392</v>
      </c>
    </row>
  </sheetData>
  <mergeCells count="2">
    <mergeCell ref="I3:J3"/>
    <mergeCell ref="K3:L3"/>
  </mergeCells>
  <hyperlinks>
    <hyperlink ref="I1" location="Index" display="Back to Index" xr:uid="{54342D1C-57E9-4BAB-9982-FA92C2F0BD73}"/>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551BC-20F2-4951-8FC4-3663B51468A2}">
  <sheetPr>
    <tabColor theme="4" tint="0.39997558519241921"/>
  </sheetPr>
  <dimension ref="B1:Q68"/>
  <sheetViews>
    <sheetView workbookViewId="0">
      <selection activeCell="D28" sqref="D28"/>
    </sheetView>
  </sheetViews>
  <sheetFormatPr defaultColWidth="9.109375" defaultRowHeight="14.4"/>
  <cols>
    <col min="1" max="1" width="2.44140625" customWidth="1"/>
    <col min="2" max="2" width="35.88671875" bestFit="1" customWidth="1"/>
    <col min="3" max="3" width="27.109375" customWidth="1"/>
    <col min="4" max="4" width="10" customWidth="1"/>
    <col min="5" max="15" width="5.6640625" customWidth="1"/>
    <col min="17" max="17" width="6.5546875" bestFit="1" customWidth="1"/>
  </cols>
  <sheetData>
    <row r="1" spans="2:17">
      <c r="I1" s="884" t="s">
        <v>966</v>
      </c>
    </row>
    <row r="2" spans="2:17" ht="15" customHeight="1">
      <c r="C2" s="983" t="s">
        <v>296</v>
      </c>
      <c r="D2" s="984" t="s">
        <v>1290</v>
      </c>
      <c r="E2" s="984" t="s">
        <v>1290</v>
      </c>
      <c r="F2" s="984"/>
      <c r="G2" s="984"/>
      <c r="H2" s="984"/>
      <c r="I2" s="984"/>
      <c r="J2" s="984"/>
      <c r="K2" s="984"/>
      <c r="L2" s="984"/>
      <c r="M2" s="984"/>
      <c r="N2" s="984"/>
      <c r="O2" s="984"/>
    </row>
    <row r="3" spans="2:17" ht="22.5" customHeight="1">
      <c r="C3" s="982"/>
      <c r="D3" s="983">
        <v>2015</v>
      </c>
      <c r="E3" s="983">
        <v>2020</v>
      </c>
      <c r="F3" s="983">
        <v>2030</v>
      </c>
      <c r="G3" s="983">
        <v>2040</v>
      </c>
      <c r="H3" s="983">
        <v>2050</v>
      </c>
      <c r="I3" s="1401" t="s">
        <v>290</v>
      </c>
      <c r="J3" s="1401"/>
      <c r="K3" s="1401"/>
      <c r="L3" s="1401" t="s">
        <v>289</v>
      </c>
      <c r="M3" s="1401"/>
      <c r="N3" s="983" t="s">
        <v>288</v>
      </c>
      <c r="O3" s="983" t="s">
        <v>287</v>
      </c>
    </row>
    <row r="4" spans="2:17">
      <c r="C4" s="983"/>
      <c r="D4" s="982"/>
      <c r="E4" s="982"/>
      <c r="F4" s="982"/>
      <c r="G4" s="983"/>
      <c r="H4" s="982"/>
      <c r="I4" s="1401" t="s">
        <v>284</v>
      </c>
      <c r="J4" s="1401"/>
      <c r="K4" s="983" t="s">
        <v>283</v>
      </c>
      <c r="L4" s="983" t="s">
        <v>284</v>
      </c>
      <c r="M4" s="983" t="s">
        <v>283</v>
      </c>
      <c r="N4" s="982"/>
      <c r="O4" s="982"/>
    </row>
    <row r="5" spans="2:17">
      <c r="C5" s="1402" t="s">
        <v>282</v>
      </c>
      <c r="D5" s="1402"/>
      <c r="E5" s="1402"/>
      <c r="F5" s="1402"/>
      <c r="G5" s="1402"/>
      <c r="H5" s="1402"/>
      <c r="I5" s="1402"/>
      <c r="J5" s="1402"/>
      <c r="K5" s="1402"/>
      <c r="L5" s="1402"/>
      <c r="M5" s="1402"/>
      <c r="N5" s="1402"/>
      <c r="O5" s="1402"/>
    </row>
    <row r="6" spans="2:17" ht="20.399999999999999">
      <c r="B6" t="str">
        <f>IF(IF(OR(LEFT(C6,27)=SUP_Biofuels!$N$8,LEFT(C6,20)=SUP_Biofuels!$O$8,LEFT(C6,20)=SUP_Biofuels!$P$8),LEFT(C6,20),C6)="Specific investment ","Specific investment (M€ /MW",IF(OR(LEFT(C6,27)=SUP_Biofuels!$N$8,LEFT(C6,20)=SUP_Biofuels!$O$8,LEFT(C6,20)=SUP_Biofuels!$P$8),LEFT(C6,20),C6))</f>
        <v>Typical total plant size 1,000 t liquid fuels/year</v>
      </c>
      <c r="C6" s="981" t="s">
        <v>1289</v>
      </c>
      <c r="D6" s="972" t="s">
        <v>1136</v>
      </c>
      <c r="E6" s="972">
        <v>40</v>
      </c>
      <c r="F6" s="972">
        <v>80</v>
      </c>
      <c r="G6" s="972">
        <v>120</v>
      </c>
      <c r="H6" s="972">
        <v>160</v>
      </c>
      <c r="I6" s="1400">
        <v>0.5</v>
      </c>
      <c r="J6" s="1400"/>
      <c r="K6" s="980">
        <v>1.25</v>
      </c>
      <c r="L6" s="980">
        <v>0.75</v>
      </c>
      <c r="M6" s="980">
        <v>1.25</v>
      </c>
      <c r="N6" s="972" t="s">
        <v>280</v>
      </c>
      <c r="O6" s="972" t="s">
        <v>1274</v>
      </c>
    </row>
    <row r="7" spans="2:17">
      <c r="B7" t="str">
        <f>IF(IF(OR(LEFT(C7,27)=SUP_Biofuels!$N$8,LEFT(C7,20)=SUP_Biofuels!$O$8,LEFT(C7,20)=SUP_Biofuels!$P$8),LEFT(C7,20),C7)="Specific investment ","Specific investment (M€ /MW",IF(OR(LEFT(C7,27)=SUP_Biofuels!$N$8,LEFT(C7,20)=SUP_Biofuels!$O$8,LEFT(C7,20)=SUP_Biofuels!$P$8),LEFT(C7,20),C7))</f>
        <v>Typical total plant size. MW</v>
      </c>
      <c r="C7" s="981" t="s">
        <v>1151</v>
      </c>
      <c r="D7" s="972" t="s">
        <v>1136</v>
      </c>
      <c r="E7" s="972">
        <v>57</v>
      </c>
      <c r="F7" s="972">
        <v>114</v>
      </c>
      <c r="G7" s="972">
        <v>171</v>
      </c>
      <c r="H7" s="972">
        <v>228</v>
      </c>
      <c r="I7" s="1400">
        <v>0.5</v>
      </c>
      <c r="J7" s="1400"/>
      <c r="K7" s="980">
        <v>1.25</v>
      </c>
      <c r="L7" s="980">
        <v>0.75</v>
      </c>
      <c r="M7" s="980">
        <v>1.25</v>
      </c>
      <c r="N7" s="972" t="s">
        <v>277</v>
      </c>
      <c r="O7" s="972" t="s">
        <v>1274</v>
      </c>
    </row>
    <row r="8" spans="2:17">
      <c r="B8" t="str">
        <f>IF(IF(OR(LEFT(C8,27)=SUP_Biofuels!$N$8,LEFT(C8,20)=SUP_Biofuels!$O$8,LEFT(C8,20)=SUP_Biofuels!$P$8),LEFT(C8,20),C8)="Specific investment ","Specific investment (M€ /MW",IF(OR(LEFT(C8,27)=SUP_Biofuels!$N$8,LEFT(C8,20)=SUP_Biofuels!$O$8,LEFT(C8,20)=SUP_Biofuels!$P$8),LEFT(C8,20),C8))</f>
        <v xml:space="preserve"> Inputs</v>
      </c>
      <c r="C8" s="1399" t="s">
        <v>384</v>
      </c>
      <c r="D8" s="1399"/>
      <c r="E8" s="1399"/>
      <c r="F8" s="1399"/>
      <c r="G8" s="1399"/>
      <c r="H8" s="1399"/>
      <c r="I8" s="1399"/>
      <c r="J8" s="1399"/>
      <c r="K8" s="1399"/>
      <c r="L8" s="1399"/>
      <c r="M8" s="1399"/>
      <c r="N8" s="1399"/>
      <c r="O8" s="1399"/>
    </row>
    <row r="9" spans="2:17" ht="20.399999999999999">
      <c r="B9" t="str">
        <f>IF(IF(OR(LEFT(C9,27)=SUP_Biofuels!$N$8,LEFT(C9,20)=SUP_Biofuels!$O$8,LEFT(C9,20)=SUP_Biofuels!$P$8),LEFT(C9,20),C9)="Specific investment ","Specific investment (M€ /MW",IF(OR(LEFT(C9,27)=SUP_Biofuels!$N$8,LEFT(C9,20)=SUP_Biofuels!$O$8,LEFT(C9,20)=SUP_Biofuels!$P$8),LEFT(C9,20),C9))</f>
        <v>Feedstock Consumption, MWh/MWh Total Input</v>
      </c>
      <c r="C9" s="981" t="s">
        <v>112</v>
      </c>
      <c r="D9" s="972" t="s">
        <v>1136</v>
      </c>
      <c r="E9" s="972">
        <v>0.77</v>
      </c>
      <c r="F9" s="972">
        <v>0.77</v>
      </c>
      <c r="G9" s="972">
        <v>0.77</v>
      </c>
      <c r="H9" s="972">
        <v>0.77</v>
      </c>
      <c r="I9" s="1400">
        <v>0.9</v>
      </c>
      <c r="J9" s="1400"/>
      <c r="K9" s="980">
        <v>1.5</v>
      </c>
      <c r="L9" s="980">
        <v>0.9</v>
      </c>
      <c r="M9" s="980">
        <v>1.25</v>
      </c>
      <c r="N9" s="972" t="s">
        <v>272</v>
      </c>
      <c r="O9" s="972">
        <v>1</v>
      </c>
    </row>
    <row r="10" spans="2:17" ht="20.399999999999999">
      <c r="B10" t="str">
        <f>IF(IF(OR(LEFT(C10,27)=SUP_Biofuels!$N$8,LEFT(C10,20)=SUP_Biofuels!$O$8,LEFT(C10,20)=SUP_Biofuels!$P$8),LEFT(C10,20),C10)="Specific investment ","Specific investment (M€ /MW",IF(OR(LEFT(C10,27)=SUP_Biofuels!$N$8,LEFT(C10,20)=SUP_Biofuels!$O$8,LEFT(C10,20)=SUP_Biofuels!$P$8),LEFT(C10,20),C10))</f>
        <v>Hydrogen Consumption, MWh/MWh Total Input</v>
      </c>
      <c r="C10" s="981" t="s">
        <v>119</v>
      </c>
      <c r="D10" s="972" t="s">
        <v>1136</v>
      </c>
      <c r="E10" s="972">
        <v>0.23</v>
      </c>
      <c r="F10" s="972">
        <v>0.23</v>
      </c>
      <c r="G10" s="972">
        <v>0.23</v>
      </c>
      <c r="H10" s="972">
        <v>0.23</v>
      </c>
      <c r="I10" s="1400">
        <v>0.75</v>
      </c>
      <c r="J10" s="1400"/>
      <c r="K10" s="980">
        <v>1.25</v>
      </c>
      <c r="L10" s="980">
        <v>0.75</v>
      </c>
      <c r="M10" s="980">
        <v>1.25</v>
      </c>
      <c r="N10" s="972" t="s">
        <v>272</v>
      </c>
      <c r="O10" s="972">
        <v>1</v>
      </c>
    </row>
    <row r="11" spans="2:17">
      <c r="B11" t="str">
        <f>IF(IF(OR(LEFT(C11,27)=SUP_Biofuels!$N$8,LEFT(C11,20)=SUP_Biofuels!$O$8,LEFT(C11,20)=SUP_Biofuels!$P$8),LEFT(C11,20),C11)="Specific investment ","Specific investment (M€ /MW",IF(OR(LEFT(C11,27)=SUP_Biofuels!$N$8,LEFT(C11,20)=SUP_Biofuels!$O$8,LEFT(C11,20)=SUP_Biofuels!$P$8),LEFT(C11,20),C11))</f>
        <v>Outputs</v>
      </c>
      <c r="C11" s="1399" t="s">
        <v>271</v>
      </c>
      <c r="D11" s="1399"/>
      <c r="E11" s="1399"/>
      <c r="F11" s="1399"/>
      <c r="G11" s="1399"/>
      <c r="H11" s="1399"/>
      <c r="I11" s="1399"/>
      <c r="J11" s="1399"/>
      <c r="K11" s="1399"/>
      <c r="L11" s="1399"/>
      <c r="M11" s="1399"/>
      <c r="N11" s="1399"/>
      <c r="O11" s="1399"/>
    </row>
    <row r="12" spans="2:17" ht="20.399999999999999">
      <c r="B12" t="str">
        <f>IF(IF(OR(LEFT(C12,27)=SUP_Biofuels!$N$8,LEFT(C12,20)=SUP_Biofuels!$O$8,LEFT(C12,20)=SUP_Biofuels!$P$8),LEFT(C12,20),C12)="Specific investment ","Specific investment (M€ /MW",IF(OR(LEFT(C12,27)=SUP_Biofuels!$N$8,LEFT(C12,20)=SUP_Biofuels!$O$8,LEFT(C12,20)=SUP_Biofuels!$P$8),LEFT(C12,20),C12))</f>
        <v>Liquid Fuel Output, MWh/MWh Total Input</v>
      </c>
      <c r="C12" s="981" t="s">
        <v>118</v>
      </c>
      <c r="D12" s="972" t="s">
        <v>1136</v>
      </c>
      <c r="E12" s="972">
        <v>0.38</v>
      </c>
      <c r="F12" s="972">
        <v>0.38</v>
      </c>
      <c r="G12" s="972">
        <v>0.38</v>
      </c>
      <c r="H12" s="972">
        <v>0.38</v>
      </c>
      <c r="I12" s="980">
        <v>0.9</v>
      </c>
      <c r="J12" s="1400">
        <v>1.1000000000000001</v>
      </c>
      <c r="K12" s="1400"/>
      <c r="L12" s="980">
        <v>0.9</v>
      </c>
      <c r="M12" s="980">
        <v>1.1000000000000001</v>
      </c>
      <c r="N12" s="972" t="s">
        <v>272</v>
      </c>
      <c r="O12" s="972">
        <v>1</v>
      </c>
    </row>
    <row r="13" spans="2:17">
      <c r="B13" t="str">
        <f>IF(IF(OR(LEFT(C13,27)=SUP_Biofuels!$N$8,LEFT(C13,20)=SUP_Biofuels!$O$8,LEFT(C13,20)=SUP_Biofuels!$P$8),LEFT(C13,20),C13)="Specific investment ","Specific investment (M€ /MW",IF(OR(LEFT(C13,27)=SUP_Biofuels!$N$8,LEFT(C13,20)=SUP_Biofuels!$O$8,LEFT(C13,20)=SUP_Biofuels!$P$8),LEFT(C13,20),C13))</f>
        <v>Biochar, Output, MWh/MWh Total Input</v>
      </c>
      <c r="C13" s="981" t="s">
        <v>120</v>
      </c>
      <c r="D13" s="972" t="s">
        <v>1136</v>
      </c>
      <c r="E13" s="972">
        <v>0.13</v>
      </c>
      <c r="F13" s="972">
        <v>0.13</v>
      </c>
      <c r="G13" s="972">
        <v>0.13</v>
      </c>
      <c r="H13" s="972">
        <v>0.13</v>
      </c>
      <c r="I13" s="980">
        <v>0.9</v>
      </c>
      <c r="J13" s="1400">
        <v>1.1000000000000001</v>
      </c>
      <c r="K13" s="1400"/>
      <c r="L13" s="980">
        <v>0.9</v>
      </c>
      <c r="M13" s="980">
        <v>1.1000000000000001</v>
      </c>
      <c r="N13" s="972" t="s">
        <v>272</v>
      </c>
      <c r="O13" s="972">
        <v>1</v>
      </c>
    </row>
    <row r="14" spans="2:17">
      <c r="B14" t="str">
        <f>IF(IF(OR(LEFT(C14,27)=SUP_Biofuels!$N$8,LEFT(C14,20)=SUP_Biofuels!$O$8,LEFT(C14,20)=SUP_Biofuels!$P$8),LEFT(C14,20),C14)="Specific investment ","Specific investment (M€ /MW",IF(OR(LEFT(C14,27)=SUP_Biofuels!$N$8,LEFT(C14,20)=SUP_Biofuels!$O$8,LEFT(C14,20)=SUP_Biofuels!$P$8),LEFT(C14,20),C14))</f>
        <v>Gas Output, MWh/MWh Total Input</v>
      </c>
      <c r="C14" s="981" t="s">
        <v>121</v>
      </c>
      <c r="D14" s="972" t="s">
        <v>1136</v>
      </c>
      <c r="E14" s="972">
        <v>0.31</v>
      </c>
      <c r="F14" s="972">
        <v>0.31</v>
      </c>
      <c r="G14" s="972">
        <v>0.31</v>
      </c>
      <c r="H14" s="972">
        <v>0.31</v>
      </c>
      <c r="I14" s="980">
        <v>0.9</v>
      </c>
      <c r="J14" s="1400">
        <v>1.1000000000000001</v>
      </c>
      <c r="K14" s="1400"/>
      <c r="L14" s="980">
        <v>0.9</v>
      </c>
      <c r="M14" s="980">
        <v>1.1000000000000001</v>
      </c>
      <c r="N14" s="972" t="s">
        <v>272</v>
      </c>
      <c r="O14" s="972">
        <v>1</v>
      </c>
      <c r="Q14" s="75"/>
    </row>
    <row r="15" spans="2:17">
      <c r="B15" t="str">
        <f>IF(IF(OR(LEFT(C15,27)=SUP_Biofuels!$N$8,LEFT(C15,20)=SUP_Biofuels!$O$8,LEFT(C15,20)=SUP_Biofuels!$P$8),LEFT(C15,20),C15)="Specific investment ","Specific investment (M€ /MW",IF(OR(LEFT(C15,27)=SUP_Biofuels!$N$8,LEFT(C15,20)=SUP_Biofuels!$O$8,LEFT(C15,20)=SUP_Biofuels!$P$8),LEFT(C15,20),C15))</f>
        <v>District Heat MWh/MWh Total Input</v>
      </c>
      <c r="C15" s="981" t="s">
        <v>122</v>
      </c>
      <c r="D15" s="972" t="s">
        <v>1136</v>
      </c>
      <c r="E15" s="972">
        <v>0.18</v>
      </c>
      <c r="F15" s="972">
        <v>0.18</v>
      </c>
      <c r="G15" s="972">
        <v>0.18</v>
      </c>
      <c r="H15" s="972">
        <v>0.18</v>
      </c>
      <c r="I15" s="980">
        <v>0.9</v>
      </c>
      <c r="J15" s="1400">
        <v>1.1000000000000001</v>
      </c>
      <c r="K15" s="1400"/>
      <c r="L15" s="980">
        <v>0.9</v>
      </c>
      <c r="M15" s="980">
        <v>1.1000000000000001</v>
      </c>
      <c r="N15" s="972" t="s">
        <v>272</v>
      </c>
      <c r="O15" s="972">
        <v>1</v>
      </c>
    </row>
    <row r="16" spans="2:17">
      <c r="B16" t="str">
        <f>IF(IF(OR(LEFT(C16,27)=SUP_Biofuels!$N$8,LEFT(C16,20)=SUP_Biofuels!$O$8,LEFT(C16,20)=SUP_Biofuels!$P$8),LEFT(C16,20),C16)="Specific investment ","Specific investment (M€ /MW",IF(OR(LEFT(C16,27)=SUP_Biofuels!$N$8,LEFT(C16,20)=SUP_Biofuels!$O$8,LEFT(C16,20)=SUP_Biofuels!$P$8),LEFT(C16,20),C16))</f>
        <v xml:space="preserve">Financial data                                 </v>
      </c>
      <c r="C16" s="1402" t="s">
        <v>264</v>
      </c>
      <c r="D16" s="1402"/>
      <c r="E16" s="1402"/>
      <c r="F16" s="1402"/>
      <c r="G16" s="1402"/>
      <c r="H16" s="1402"/>
      <c r="I16" s="1402"/>
      <c r="J16" s="1402"/>
      <c r="K16" s="1402"/>
      <c r="L16" s="1402"/>
      <c r="M16" s="1402"/>
      <c r="N16" s="1402"/>
      <c r="O16" s="1402"/>
    </row>
    <row r="17" spans="2:15" ht="20.399999999999999">
      <c r="B17" t="str">
        <f>IF(IF(OR(LEFT(C17,27)=SUP_Biofuels!$N$8,LEFT(C17,20)=SUP_Biofuels!$O$8,LEFT(C17,20)=SUP_Biofuels!$P$8),LEFT(C17,20),C17)="Specific investment ","Specific investment (M€ /MW",IF(OR(LEFT(C17,27)=SUP_Biofuels!$N$8,LEFT(C17,20)=SUP_Biofuels!$O$8,LEFT(C17,20)=SUP_Biofuels!$P$8),LEFT(C17,20),C17))</f>
        <v>Specific investment (M€ /l1000 t Liquid Fuels)</v>
      </c>
      <c r="C17" s="976" t="s">
        <v>1288</v>
      </c>
      <c r="D17" s="975" t="s">
        <v>1136</v>
      </c>
      <c r="E17" s="972">
        <v>2.1800000000000002</v>
      </c>
      <c r="F17" s="972">
        <v>1.23</v>
      </c>
      <c r="G17" s="975">
        <v>0.9</v>
      </c>
      <c r="H17" s="972">
        <v>0.73</v>
      </c>
      <c r="I17" s="1400">
        <v>0.75</v>
      </c>
      <c r="J17" s="1400"/>
      <c r="K17" s="979">
        <v>1.25</v>
      </c>
      <c r="L17" s="979">
        <v>0.75</v>
      </c>
      <c r="M17" s="979">
        <v>1.25</v>
      </c>
      <c r="N17" s="975" t="s">
        <v>1287</v>
      </c>
      <c r="O17" s="975" t="s">
        <v>1271</v>
      </c>
    </row>
    <row r="18" spans="2:15">
      <c r="B18" t="str">
        <f>IF(IF(OR(LEFT(C18,27)=SUP_Biofuels!$N$8,LEFT(C18,20)=SUP_Biofuels!$O$8,LEFT(C18,20)=SUP_Biofuels!$P$8),LEFT(C18,20),C18)="Specific investment ","Specific investment (M€ /MW",IF(OR(LEFT(C18,27)=SUP_Biofuels!$N$8,LEFT(C18,20)=SUP_Biofuels!$O$8,LEFT(C18,20)=SUP_Biofuels!$P$8),LEFT(C18,20),C18))</f>
        <v xml:space="preserve"> - equipment (%)</v>
      </c>
      <c r="C18" s="976" t="s">
        <v>394</v>
      </c>
      <c r="D18" s="975" t="s">
        <v>1136</v>
      </c>
      <c r="E18" s="975">
        <v>75</v>
      </c>
      <c r="F18" s="975">
        <v>75</v>
      </c>
      <c r="G18" s="975">
        <v>75</v>
      </c>
      <c r="H18" s="975">
        <v>75</v>
      </c>
      <c r="I18" s="1403"/>
      <c r="J18" s="1403"/>
      <c r="K18" s="972"/>
      <c r="L18" s="972"/>
      <c r="M18" s="972"/>
      <c r="N18" s="972"/>
      <c r="O18" s="972"/>
    </row>
    <row r="19" spans="2:15">
      <c r="B19" t="str">
        <f>IF(IF(OR(LEFT(C19,27)=SUP_Biofuels!$N$8,LEFT(C19,20)=SUP_Biofuels!$O$8,LEFT(C19,20)=SUP_Biofuels!$P$8),LEFT(C19,20),C19)="Specific investment ","Specific investment (M€ /MW",IF(OR(LEFT(C19,27)=SUP_Biofuels!$N$8,LEFT(C19,20)=SUP_Biofuels!$O$8,LEFT(C19,20)=SUP_Biofuels!$P$8),LEFT(C19,20),C19))</f>
        <v xml:space="preserve"> -installation (%)</v>
      </c>
      <c r="C19" s="976" t="s">
        <v>251</v>
      </c>
      <c r="D19" s="975" t="s">
        <v>1136</v>
      </c>
      <c r="E19" s="975">
        <v>25</v>
      </c>
      <c r="F19" s="975">
        <v>25</v>
      </c>
      <c r="G19" s="975">
        <v>25</v>
      </c>
      <c r="H19" s="975">
        <v>25</v>
      </c>
      <c r="I19" s="1403"/>
      <c r="J19" s="1403"/>
      <c r="K19" s="972"/>
      <c r="L19" s="972"/>
      <c r="M19" s="972"/>
      <c r="N19" s="972"/>
      <c r="O19" s="972"/>
    </row>
    <row r="20" spans="2:15">
      <c r="B20" t="str">
        <f>LEFT(C20,17)</f>
        <v xml:space="preserve">Fixed O&amp;M (1,000 </v>
      </c>
      <c r="C20" s="976" t="s">
        <v>1286</v>
      </c>
      <c r="D20" s="975" t="s">
        <v>1136</v>
      </c>
      <c r="E20" s="972">
        <v>44</v>
      </c>
      <c r="F20" s="972">
        <v>44</v>
      </c>
      <c r="G20" s="972">
        <v>44</v>
      </c>
      <c r="H20" s="972">
        <v>44</v>
      </c>
      <c r="I20" s="1404">
        <v>0.75</v>
      </c>
      <c r="J20" s="1404"/>
      <c r="K20" s="975">
        <v>1.25</v>
      </c>
      <c r="L20" s="975">
        <v>0.75</v>
      </c>
      <c r="M20" s="975">
        <v>1.25</v>
      </c>
      <c r="N20" s="975" t="s">
        <v>243</v>
      </c>
      <c r="O20" s="975">
        <v>5</v>
      </c>
    </row>
    <row r="21" spans="2:15">
      <c r="B21" t="str">
        <f>LEFT(C21,27)</f>
        <v>Specific investment (M€ /MW</v>
      </c>
      <c r="C21" s="978" t="s">
        <v>1147</v>
      </c>
      <c r="D21" s="975" t="str">
        <f>D19</f>
        <v>n.a.</v>
      </c>
      <c r="E21" s="972">
        <f>E6/E7*E17</f>
        <v>1.5298245614035089</v>
      </c>
      <c r="F21" s="972">
        <f>F6/F7*F17</f>
        <v>0.86315789473684201</v>
      </c>
      <c r="G21" s="972">
        <f>G6/G7*G17</f>
        <v>0.63157894736842102</v>
      </c>
      <c r="H21" s="972">
        <f>H6/H7*H17</f>
        <v>0.51228070175438589</v>
      </c>
      <c r="I21" s="975"/>
      <c r="J21" s="975"/>
      <c r="K21" s="975"/>
      <c r="L21" s="975"/>
      <c r="M21" s="975"/>
      <c r="N21" s="975"/>
      <c r="O21" s="975"/>
    </row>
    <row r="22" spans="2:15">
      <c r="B22" t="str">
        <f>LEFT(C22,17)</f>
        <v>Fixed O&amp;M (M€ /MW</v>
      </c>
      <c r="C22" s="977" t="s">
        <v>1146</v>
      </c>
      <c r="D22" s="975" t="str">
        <f>D20</f>
        <v>n.a.</v>
      </c>
      <c r="E22" s="975">
        <f>E64/1.2</f>
        <v>0.16723731569346834</v>
      </c>
      <c r="F22" s="1056">
        <f t="shared" ref="F22:H23" si="0">E22</f>
        <v>0.16723731569346834</v>
      </c>
      <c r="G22" s="1056">
        <f t="shared" si="0"/>
        <v>0.16723731569346834</v>
      </c>
      <c r="H22" s="1056">
        <f t="shared" si="0"/>
        <v>0.16723731569346834</v>
      </c>
      <c r="I22" s="975"/>
      <c r="J22" s="975"/>
      <c r="K22" s="975"/>
      <c r="L22" s="975"/>
      <c r="M22" s="975"/>
      <c r="N22" s="975"/>
      <c r="O22" s="975"/>
    </row>
    <row r="23" spans="2:15">
      <c r="B23" t="str">
        <f>LEFT(C23,19)</f>
        <v>Variable O&amp;M (€ /MW</v>
      </c>
      <c r="C23" s="976" t="s">
        <v>1285</v>
      </c>
      <c r="D23" s="975" t="s">
        <v>1136</v>
      </c>
      <c r="E23" s="1063">
        <f>E67/1.2</f>
        <v>8.7102768590348081</v>
      </c>
      <c r="F23" s="975">
        <f t="shared" si="0"/>
        <v>8.7102768590348081</v>
      </c>
      <c r="G23" s="1056">
        <f t="shared" si="0"/>
        <v>8.7102768590348081</v>
      </c>
      <c r="H23" s="1056">
        <f t="shared" si="0"/>
        <v>8.7102768590348081</v>
      </c>
      <c r="I23" s="1404">
        <v>0.75</v>
      </c>
      <c r="J23" s="1404"/>
      <c r="K23" s="975">
        <v>1.25</v>
      </c>
      <c r="L23" s="975">
        <v>0.75</v>
      </c>
      <c r="M23" s="975">
        <v>1.25</v>
      </c>
      <c r="N23" s="975" t="s">
        <v>243</v>
      </c>
      <c r="O23" s="975">
        <v>5</v>
      </c>
    </row>
    <row r="24" spans="2:15">
      <c r="B24" t="str">
        <f>IF(IF(OR(LEFT(C24,27)=SUP_Biofuels!$N$8,LEFT(C24,20)=SUP_Biofuels!$O$8,LEFT(C24,20)=SUP_Biofuels!$P$8),LEFT(C24,20),C24)="Specific investment ","Specific investment (M€ /MW",IF(OR(LEFT(C24,27)=SUP_Biofuels!$N$8,LEFT(C24,20)=SUP_Biofuels!$O$8,LEFT(C24,20)=SUP_Biofuels!$P$8),LEFT(C24,20),C24))</f>
        <v>Start up (€ /l Liquid Fuel)</v>
      </c>
      <c r="C24" s="976" t="s">
        <v>1284</v>
      </c>
      <c r="D24" s="975" t="s">
        <v>1136</v>
      </c>
      <c r="E24" s="975">
        <v>0</v>
      </c>
      <c r="F24" s="975">
        <v>0</v>
      </c>
      <c r="G24" s="975">
        <v>0</v>
      </c>
      <c r="H24" s="975">
        <v>0</v>
      </c>
      <c r="I24" s="1403"/>
      <c r="J24" s="1403"/>
      <c r="K24" s="972"/>
      <c r="L24" s="972"/>
      <c r="M24" s="972"/>
      <c r="N24" s="972"/>
      <c r="O24" s="972"/>
    </row>
    <row r="25" spans="2:15">
      <c r="B25" t="str">
        <f>IF(IF(OR(LEFT(C25,27)=SUP_Biofuels!$N$8,LEFT(C25,20)=SUP_Biofuels!$O$8,LEFT(C25,20)=SUP_Biofuels!$P$8),LEFT(C25,20),C25)="Specific investment ","Specific investment (M€ /MW",IF(OR(LEFT(C25,27)=SUP_Biofuels!$N$8,LEFT(C25,20)=SUP_Biofuels!$O$8,LEFT(C25,20)=SUP_Biofuels!$P$8),LEFT(C25,20),C25))</f>
        <v xml:space="preserve">Technology specific data                                 </v>
      </c>
      <c r="C25" s="974" t="s">
        <v>260</v>
      </c>
      <c r="D25" s="1403"/>
      <c r="E25" s="1403"/>
      <c r="F25" s="1403"/>
      <c r="G25" s="1403"/>
      <c r="H25" s="1403"/>
      <c r="I25" s="1403"/>
      <c r="J25" s="1403"/>
      <c r="K25" s="1403"/>
      <c r="L25" s="1403"/>
      <c r="M25" s="1403"/>
      <c r="N25" s="1403"/>
      <c r="O25" s="1403"/>
    </row>
    <row r="26" spans="2:15">
      <c r="B26" t="str">
        <f>IF(IF(OR(LEFT(C26,27)=SUP_Biofuels!$N$8,LEFT(C26,20)=SUP_Biofuels!$O$8,LEFT(C26,20)=SUP_Biofuels!$P$8),LEFT(C26,20),C26)="Specific investment ","Specific investment (M€ /MW",IF(OR(LEFT(C26,27)=SUP_Biofuels!$N$8,LEFT(C26,20)=SUP_Biofuels!$O$8,LEFT(C26,20)=SUP_Biofuels!$P$8),LEFT(C26,20),C26))</f>
        <v xml:space="preserve">Specific energy content (GJ/ton) </v>
      </c>
      <c r="C26" s="973" t="s">
        <v>1057</v>
      </c>
      <c r="D26" s="972"/>
      <c r="E26" s="1403">
        <v>43</v>
      </c>
      <c r="F26" s="1403"/>
      <c r="G26" s="1403"/>
      <c r="H26" s="1403"/>
      <c r="I26" s="1403"/>
      <c r="J26" s="1403"/>
      <c r="K26" s="972"/>
      <c r="L26" s="972"/>
      <c r="M26" s="972"/>
      <c r="N26" s="972"/>
      <c r="O26" s="972"/>
    </row>
    <row r="27" spans="2:15">
      <c r="B27" t="str">
        <f>IF(IF(OR(LEFT(C27,27)=SUP_Biofuels!$N$8,LEFT(C27,20)=SUP_Biofuels!$O$8,LEFT(C27,20)=SUP_Biofuels!$P$8),LEFT(C27,20),C27)="Specific investment ","Specific investment (M€ /MW",IF(OR(LEFT(C27,27)=SUP_Biofuels!$N$8,LEFT(C27,20)=SUP_Biofuels!$O$8,LEFT(C27,20)=SUP_Biofuels!$P$8),LEFT(C27,20),C27))</f>
        <v>Specific density  (kg/l) or (ton/m3)</v>
      </c>
      <c r="C27" s="973" t="s">
        <v>1283</v>
      </c>
      <c r="D27" s="972"/>
      <c r="E27" s="1403">
        <v>0.83</v>
      </c>
      <c r="F27" s="1403"/>
      <c r="G27" s="1403"/>
      <c r="H27" s="1403"/>
      <c r="I27" s="1403"/>
      <c r="J27" s="1403"/>
      <c r="K27" s="972"/>
      <c r="L27" s="972"/>
      <c r="M27" s="972"/>
      <c r="N27" s="972"/>
      <c r="O27" s="972"/>
    </row>
    <row r="28" spans="2:15">
      <c r="B28">
        <f>IF(IF(OR(LEFT(C28,27)=SUP_Biofuels!$N$8,LEFT(C28,20)=SUP_Biofuels!$O$8,LEFT(C28,20)=SUP_Biofuels!$P$8),LEFT(C28,20),C28)="Specific investment ","Specific investment (M€ /MW",IF(OR(LEFT(C28,27)=SUP_Biofuels!$N$8,LEFT(C28,20)=SUP_Biofuels!$O$8,LEFT(C28,20)=SUP_Biofuels!$P$8),LEFT(C28,20),C28))</f>
        <v>0</v>
      </c>
      <c r="C28" s="971"/>
      <c r="D28" s="971"/>
      <c r="E28" s="971"/>
      <c r="F28" s="971"/>
      <c r="G28" s="971"/>
      <c r="H28" s="971"/>
      <c r="I28" s="971"/>
      <c r="J28" s="971"/>
      <c r="K28" s="971"/>
      <c r="L28" s="971"/>
      <c r="M28" s="971"/>
      <c r="N28" s="971"/>
      <c r="O28" s="971"/>
    </row>
    <row r="29" spans="2:15">
      <c r="C29" s="1121" t="s">
        <v>1498</v>
      </c>
      <c r="D29" s="1121"/>
      <c r="E29" s="1121">
        <f>'101 Catalytic Hydropyrolysis 2'!E36</f>
        <v>1.25201511627907</v>
      </c>
      <c r="F29" s="1121">
        <f>'101 Catalytic Hydropyrolysis 2'!F36</f>
        <v>1.25201511627907</v>
      </c>
      <c r="G29" s="1121">
        <f>'101 Catalytic Hydropyrolysis 2'!G36</f>
        <v>1.25201511627907</v>
      </c>
      <c r="H29" s="1121">
        <f>'101 Catalytic Hydropyrolysis 2'!H36</f>
        <v>1.25201511627907</v>
      </c>
      <c r="I29" s="959"/>
      <c r="J29" s="959"/>
      <c r="K29" s="959"/>
      <c r="L29" s="959"/>
      <c r="M29" s="1118"/>
      <c r="N29" s="1118"/>
    </row>
    <row r="30" spans="2:15">
      <c r="B30" s="1120"/>
      <c r="C30" s="1121" t="s">
        <v>1496</v>
      </c>
      <c r="D30" s="1122"/>
      <c r="E30" s="1121">
        <f>'101 Catalytic Hydropyrolysis 2'!E37</f>
        <v>1.5302406976744189</v>
      </c>
      <c r="F30" s="1121">
        <f>'101 Catalytic Hydropyrolysis 2'!F37</f>
        <v>0.86713639534883757</v>
      </c>
      <c r="G30" s="1121">
        <f>'101 Catalytic Hydropyrolysis 2'!G37</f>
        <v>0.63504988953488384</v>
      </c>
      <c r="H30" s="1121">
        <f>'101 Catalytic Hydropyrolysis 2'!H37</f>
        <v>0.51008023255813961</v>
      </c>
      <c r="I30" s="959"/>
      <c r="J30" s="959"/>
      <c r="K30" s="959"/>
      <c r="L30" s="959"/>
      <c r="M30" s="1118"/>
      <c r="N30" s="1118"/>
    </row>
    <row r="31" spans="2:15">
      <c r="B31" s="1120" t="s">
        <v>1500</v>
      </c>
      <c r="C31" s="1123" t="s">
        <v>1147</v>
      </c>
      <c r="D31" s="1122"/>
      <c r="E31" s="1121">
        <f>'101 Catalytic Hydropyrolysis 2'!E38</f>
        <v>2.7822558139534888</v>
      </c>
      <c r="F31" s="1121">
        <f>'101 Catalytic Hydropyrolysis 2'!F38</f>
        <v>1.5766116279069771</v>
      </c>
      <c r="G31" s="1121">
        <f>'101 Catalytic Hydropyrolysis 2'!G38</f>
        <v>1.1546361627906978</v>
      </c>
      <c r="H31" s="1125">
        <f>'101 Catalytic Hydropyrolysis 2'!H38</f>
        <v>0.92741860465116288</v>
      </c>
      <c r="I31" s="959"/>
      <c r="J31" s="959"/>
      <c r="K31" s="959"/>
      <c r="L31" s="959"/>
      <c r="M31" s="1118"/>
      <c r="N31" s="1118"/>
    </row>
    <row r="32" spans="2:15">
      <c r="B32" t="s">
        <v>1499</v>
      </c>
      <c r="C32" s="970"/>
      <c r="E32" s="1119">
        <v>1.5298245614035089</v>
      </c>
      <c r="F32" s="1119">
        <v>0.86315789473684201</v>
      </c>
      <c r="G32" s="1119">
        <v>0.63157894736842102</v>
      </c>
      <c r="H32" s="1119">
        <v>0.51228070175438589</v>
      </c>
    </row>
    <row r="33" spans="2:3">
      <c r="B33" t="str">
        <f>IF(IF(OR(LEFT(C33,27)=SUP_Biofuels!$N$8,LEFT(C33,20)=SUP_Biofuels!$O$8,LEFT(C33,20)=SUP_Biofuels!$P$8),LEFT(C33,20),C33)="Specific investment ","Specific investment (M€ /MW",IF(OR(LEFT(C33,27)=SUP_Biofuels!$N$8,LEFT(C33,20)=SUP_Biofuels!$O$8,LEFT(C33,20)=SUP_Biofuels!$P$8),LEFT(C33,20),C33))</f>
        <v>Notes:</v>
      </c>
      <c r="C33" s="969" t="s">
        <v>1282</v>
      </c>
    </row>
    <row r="34" spans="2:3">
      <c r="B34" t="str">
        <f>IF(IF(OR(LEFT(C34,27)=SUP_Biofuels!$N$8,LEFT(C34,20)=SUP_Biofuels!$O$8,LEFT(C34,20)=SUP_Biofuels!$P$8),LEFT(C34,20),C34)="Specific investment ","Specific investment (M€ /MW",IF(OR(LEFT(C34,27)=SUP_Biofuels!$N$8,LEFT(C34,20)=SUP_Biofuels!$O$8,LEFT(C34,20)=SUP_Biofuels!$P$8),LEFT(C34,20),C34))</f>
        <v>A. The plant size range is likely limited by the feedstock availability.</v>
      </c>
      <c r="C34" t="s">
        <v>1281</v>
      </c>
    </row>
    <row r="35" spans="2:3">
      <c r="B35" t="str">
        <f>IF(IF(OR(LEFT(C35,27)=SUP_Biofuels!$N$8,LEFT(C35,20)=SUP_Biofuels!$O$8,LEFT(C35,20)=SUP_Biofuels!$P$8),LEFT(C35,20),C35)="Specific investment ","Specific investment (M€ /MW",IF(OR(LEFT(C35,27)=SUP_Biofuels!$N$8,LEFT(C35,20)=SUP_Biofuels!$O$8,LEFT(C35,20)=SUP_Biofuels!$P$8),LEFT(C35,20),C35))</f>
        <v xml:space="preserve">A1. This value is the hourly rating and has been calculated as if the unit produces at capacity and was in operations 8,000 h/year. </v>
      </c>
      <c r="C35" t="s">
        <v>1192</v>
      </c>
    </row>
    <row r="36" spans="2:3">
      <c r="B36" t="str">
        <f>IF(IF(OR(LEFT(C36,27)=SUP_Biofuels!$N$8,LEFT(C36,20)=SUP_Biofuels!$O$8,LEFT(C36,20)=SUP_Biofuels!$P$8),LEFT(C36,20),C36)="Specific investment ","Specific investment (M€ /MW",IF(OR(LEFT(C36,27)=SUP_Biofuels!$N$8,LEFT(C36,20)=SUP_Biofuels!$O$8,LEFT(C36,20)=SUP_Biofuels!$P$8),LEFT(C36,20),C36))</f>
        <v>B. The plant size range is typical of the range found in the literature. It is highly uncertain given that there is no commercial demonstration plant in operation yet.</v>
      </c>
      <c r="C36" t="s">
        <v>1280</v>
      </c>
    </row>
    <row r="37" spans="2:3">
      <c r="B37" t="str">
        <f>IF(IF(OR(LEFT(C37,27)=SUP_Biofuels!$N$8,LEFT(C37,20)=SUP_Biofuels!$O$8,LEFT(C37,20)=SUP_Biofuels!$P$8),LEFT(C37,20),C37)="Specific investment ","Specific investment (M€ /MW",IF(OR(LEFT(C37,27)=SUP_Biofuels!$N$8,LEFT(C37,20)=SUP_Biofuels!$O$8,LEFT(C37,20)=SUP_Biofuels!$P$8),LEFT(C37,20),C37))</f>
        <v>C. These are based on extrapolated pilot plant results.</v>
      </c>
      <c r="C37" t="s">
        <v>1279</v>
      </c>
    </row>
    <row r="38" spans="2:3">
      <c r="B38" t="str">
        <f>IF(IF(OR(LEFT(C38,27)=SUP_Biofuels!$N$8,LEFT(C38,20)=SUP_Biofuels!$O$8,LEFT(C38,20)=SUP_Biofuels!$P$8),LEFT(C38,20),C38)="Specific investment ","Specific investment (M€ /MW",IF(OR(LEFT(C38,27)=SUP_Biofuels!$N$8,LEFT(C38,20)=SUP_Biofuels!$O$8,LEFT(C38,20)=SUP_Biofuels!$P$8),LEFT(C38,20),C38))</f>
        <v>D. Tan [5] reports that the hydrogen plant and distillation account for 45% of the total plant costs for configuration 2. The cost for this configuration are therefore 55% of Configuration 2.</v>
      </c>
      <c r="C38" t="s">
        <v>1278</v>
      </c>
    </row>
    <row r="39" spans="2:3" ht="16.5" customHeight="1">
      <c r="C39" t="s">
        <v>1277</v>
      </c>
    </row>
    <row r="40" spans="2:3">
      <c r="C40" t="s">
        <v>1276</v>
      </c>
    </row>
    <row r="42" spans="2:3" ht="25.8">
      <c r="B42" s="1059" t="s">
        <v>1392</v>
      </c>
    </row>
    <row r="49" spans="2:9">
      <c r="B49" t="s">
        <v>1393</v>
      </c>
      <c r="E49" s="1061" t="s">
        <v>1396</v>
      </c>
      <c r="F49" s="1061" t="s">
        <v>1397</v>
      </c>
      <c r="G49" s="1061" t="s">
        <v>1398</v>
      </c>
      <c r="I49" s="1061"/>
    </row>
    <row r="50" spans="2:9">
      <c r="E50" t="s">
        <v>1395</v>
      </c>
      <c r="F50" t="s">
        <v>1395</v>
      </c>
      <c r="G50" t="s">
        <v>1395</v>
      </c>
    </row>
    <row r="51" spans="2:9">
      <c r="C51" t="s">
        <v>1394</v>
      </c>
      <c r="E51">
        <v>211</v>
      </c>
      <c r="F51">
        <v>612</v>
      </c>
      <c r="G51">
        <v>199</v>
      </c>
    </row>
    <row r="52" spans="2:9">
      <c r="C52" t="s">
        <v>1403</v>
      </c>
      <c r="E52">
        <v>2000</v>
      </c>
      <c r="F52">
        <v>3425</v>
      </c>
      <c r="G52">
        <v>2000</v>
      </c>
    </row>
    <row r="53" spans="2:9">
      <c r="C53" t="s">
        <v>1402</v>
      </c>
      <c r="E53">
        <f>E52*6.118/1000000*8000</f>
        <v>97.888000000000005</v>
      </c>
      <c r="F53">
        <f>F52*6.118/1000000*8000</f>
        <v>167.63320000000002</v>
      </c>
      <c r="G53">
        <f>G52*6.118/1000000*8000</f>
        <v>97.888000000000005</v>
      </c>
    </row>
    <row r="54" spans="2:9">
      <c r="C54" t="s">
        <v>1401</v>
      </c>
      <c r="E54">
        <f>E52*1.69944444/24</f>
        <v>141.62037000000001</v>
      </c>
      <c r="F54">
        <f>F52*1.69944444/24</f>
        <v>242.524883625</v>
      </c>
      <c r="G54">
        <f>G52*1.69944444/24</f>
        <v>141.62037000000001</v>
      </c>
    </row>
    <row r="56" spans="2:9">
      <c r="C56" t="s">
        <v>1399</v>
      </c>
      <c r="D56" s="1062">
        <v>2020</v>
      </c>
      <c r="E56">
        <f>E12</f>
        <v>0.38</v>
      </c>
      <c r="F56">
        <f>F12</f>
        <v>0.38</v>
      </c>
      <c r="G56">
        <f>G12</f>
        <v>0.38</v>
      </c>
    </row>
    <row r="57" spans="2:9">
      <c r="C57" s="1062" t="s">
        <v>144</v>
      </c>
      <c r="D57" s="1062">
        <v>2020</v>
      </c>
      <c r="E57">
        <f>E$54*E56</f>
        <v>53.815740600000005</v>
      </c>
      <c r="F57">
        <f>F$54*F56</f>
        <v>92.1594557775</v>
      </c>
      <c r="G57">
        <f>G$54*G56</f>
        <v>53.815740600000005</v>
      </c>
    </row>
    <row r="58" spans="2:9">
      <c r="C58" t="s">
        <v>1404</v>
      </c>
      <c r="D58" s="1062">
        <v>2020</v>
      </c>
      <c r="E58">
        <f>E$51/E57</f>
        <v>3.9207859568135346</v>
      </c>
      <c r="F58">
        <f>F$51/F57</f>
        <v>6.6406642143975736</v>
      </c>
      <c r="G58">
        <f>G$51/G57</f>
        <v>3.6978028692222433</v>
      </c>
    </row>
    <row r="59" spans="2:9">
      <c r="C59" t="s">
        <v>1495</v>
      </c>
      <c r="D59" s="1062">
        <v>2020</v>
      </c>
      <c r="E59">
        <f>E58*6.5</f>
        <v>25.485108719287975</v>
      </c>
      <c r="F59">
        <f>F58*6.5</f>
        <v>43.164317393584227</v>
      </c>
      <c r="G59">
        <f>G58*6.5</f>
        <v>24.035718649944581</v>
      </c>
    </row>
    <row r="63" spans="2:9">
      <c r="C63" t="s">
        <v>1407</v>
      </c>
      <c r="D63" t="s">
        <v>1408</v>
      </c>
      <c r="E63">
        <v>10.8</v>
      </c>
      <c r="G63">
        <v>10.8</v>
      </c>
    </row>
    <row r="64" spans="2:9">
      <c r="C64" t="s">
        <v>1407</v>
      </c>
      <c r="D64" t="s">
        <v>1415</v>
      </c>
      <c r="E64">
        <f>E63/(E54*E56)</f>
        <v>0.20068477883216199</v>
      </c>
      <c r="G64">
        <f>G63/(G54*G56)</f>
        <v>0.20068477883216199</v>
      </c>
    </row>
    <row r="65" spans="3:7">
      <c r="C65" t="s">
        <v>1407</v>
      </c>
      <c r="D65" t="s">
        <v>1414</v>
      </c>
      <c r="E65" s="1">
        <f>E64*6.5</f>
        <v>1.3044510624090528</v>
      </c>
      <c r="F65" s="1"/>
      <c r="G65" s="1">
        <f>G64*6.5</f>
        <v>1.3044510624090528</v>
      </c>
    </row>
    <row r="66" spans="3:7">
      <c r="C66" t="s">
        <v>1410</v>
      </c>
      <c r="D66" t="s">
        <v>1411</v>
      </c>
      <c r="E66">
        <v>4.5</v>
      </c>
      <c r="G66">
        <v>4.5</v>
      </c>
    </row>
    <row r="67" spans="3:7">
      <c r="C67" t="s">
        <v>1410</v>
      </c>
      <c r="D67" t="s">
        <v>1412</v>
      </c>
      <c r="E67" s="1064">
        <f>E66*1000000/(8000*E57)</f>
        <v>10.452332230841769</v>
      </c>
      <c r="F67" s="1"/>
      <c r="G67" s="1064">
        <f>G66*1000000/(8000*G57)</f>
        <v>10.452332230841769</v>
      </c>
    </row>
    <row r="68" spans="3:7">
      <c r="C68" t="s">
        <v>1410</v>
      </c>
      <c r="D68" t="s">
        <v>1413</v>
      </c>
      <c r="E68" s="1">
        <f>E67*6.5</f>
        <v>67.940159500471495</v>
      </c>
      <c r="F68" s="1"/>
      <c r="G68" s="1">
        <f>G67*6.5</f>
        <v>67.940159500471495</v>
      </c>
    </row>
  </sheetData>
  <mergeCells count="26">
    <mergeCell ref="I7:J7"/>
    <mergeCell ref="J15:K15"/>
    <mergeCell ref="E26:H26"/>
    <mergeCell ref="I26:J26"/>
    <mergeCell ref="E27:H27"/>
    <mergeCell ref="I27:J27"/>
    <mergeCell ref="I19:J19"/>
    <mergeCell ref="I20:J20"/>
    <mergeCell ref="I23:J23"/>
    <mergeCell ref="I24:J24"/>
    <mergeCell ref="D25:O25"/>
    <mergeCell ref="J14:K14"/>
    <mergeCell ref="J13:K13"/>
    <mergeCell ref="I17:J17"/>
    <mergeCell ref="I18:J18"/>
    <mergeCell ref="C16:O16"/>
    <mergeCell ref="I3:K3"/>
    <mergeCell ref="L3:M3"/>
    <mergeCell ref="I4:J4"/>
    <mergeCell ref="C5:O5"/>
    <mergeCell ref="I6:J6"/>
    <mergeCell ref="C8:O8"/>
    <mergeCell ref="I9:J9"/>
    <mergeCell ref="I10:J10"/>
    <mergeCell ref="C11:O11"/>
    <mergeCell ref="J12:K12"/>
  </mergeCells>
  <hyperlinks>
    <hyperlink ref="I1" location="Index" display="Back to Index" xr:uid="{9E30C3BB-2BBC-4576-B714-EA181B689221}"/>
  </hyperlinks>
  <pageMargins left="0.7" right="0.7" top="0.75" bottom="0.75" header="0.3" footer="0.3"/>
  <pageSetup paperSize="9"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CCB90-4BB1-4959-A67A-A5288C0D3B6F}">
  <sheetPr>
    <tabColor theme="5" tint="0.59999389629810485"/>
  </sheetPr>
  <dimension ref="B2:M45"/>
  <sheetViews>
    <sheetView showGridLines="0" zoomScale="160" zoomScaleNormal="160" workbookViewId="0">
      <selection activeCell="I47" sqref="I47"/>
    </sheetView>
  </sheetViews>
  <sheetFormatPr defaultRowHeight="14.4"/>
  <cols>
    <col min="1" max="1" width="2.109375" customWidth="1"/>
    <col min="2" max="2" width="39.88671875" customWidth="1"/>
    <col min="3" max="3" width="4.44140625" bestFit="1" customWidth="1"/>
    <col min="4" max="7" width="4.88671875" bestFit="1" customWidth="1"/>
    <col min="8" max="11" width="7.6640625" customWidth="1"/>
    <col min="12" max="12" width="5.88671875" bestFit="1" customWidth="1"/>
    <col min="13" max="13" width="4.33203125" bestFit="1" customWidth="1"/>
  </cols>
  <sheetData>
    <row r="2" spans="2:13">
      <c r="H2" s="884"/>
    </row>
    <row r="3" spans="2:13">
      <c r="B3" s="260" t="s">
        <v>296</v>
      </c>
      <c r="C3" s="1386" t="s">
        <v>1275</v>
      </c>
      <c r="D3" s="1291"/>
      <c r="E3" s="1291"/>
      <c r="F3" s="1291"/>
      <c r="G3" s="1291"/>
      <c r="H3" s="1291"/>
      <c r="I3" s="1291"/>
      <c r="J3" s="1291"/>
      <c r="K3" s="1291"/>
      <c r="L3" s="1291"/>
      <c r="M3" s="1291"/>
    </row>
    <row r="4" spans="2:13">
      <c r="B4" s="162"/>
      <c r="C4" s="162">
        <v>2015</v>
      </c>
      <c r="D4" s="162">
        <v>2020</v>
      </c>
      <c r="E4" s="162">
        <v>2030</v>
      </c>
      <c r="F4" s="162">
        <v>2040</v>
      </c>
      <c r="G4" s="162">
        <v>2050</v>
      </c>
      <c r="H4" s="1292" t="s">
        <v>290</v>
      </c>
      <c r="I4" s="1292"/>
      <c r="J4" s="1292" t="s">
        <v>289</v>
      </c>
      <c r="K4" s="1292"/>
      <c r="L4" s="1050" t="s">
        <v>288</v>
      </c>
      <c r="M4" s="1050" t="s">
        <v>287</v>
      </c>
    </row>
    <row r="5" spans="2:13">
      <c r="B5" s="190"/>
      <c r="C5" s="190"/>
      <c r="D5" s="190"/>
      <c r="E5" s="190"/>
      <c r="F5" s="190"/>
      <c r="G5" s="190"/>
      <c r="H5" s="188" t="s">
        <v>284</v>
      </c>
      <c r="I5" s="188" t="s">
        <v>283</v>
      </c>
      <c r="J5" s="188" t="s">
        <v>284</v>
      </c>
      <c r="K5" s="188" t="s">
        <v>283</v>
      </c>
      <c r="L5" s="188"/>
      <c r="M5" s="188"/>
    </row>
    <row r="6" spans="2:13">
      <c r="B6" s="186" t="s">
        <v>282</v>
      </c>
      <c r="C6" s="185"/>
      <c r="D6" s="185"/>
      <c r="E6" s="185"/>
      <c r="F6" s="185"/>
      <c r="G6" s="185"/>
      <c r="H6" s="185"/>
      <c r="I6" s="185"/>
      <c r="J6" s="185"/>
      <c r="K6" s="185"/>
      <c r="L6" s="183"/>
      <c r="M6" s="1049"/>
    </row>
    <row r="7" spans="2:13">
      <c r="B7" s="180" t="s">
        <v>1152</v>
      </c>
      <c r="C7" s="178" t="s">
        <v>1136</v>
      </c>
      <c r="D7" s="178">
        <v>40</v>
      </c>
      <c r="E7" s="178">
        <v>80</v>
      </c>
      <c r="F7" s="178">
        <v>120</v>
      </c>
      <c r="G7" s="178">
        <v>160</v>
      </c>
      <c r="H7" s="218">
        <v>0.5</v>
      </c>
      <c r="I7" s="218">
        <v>1.25</v>
      </c>
      <c r="J7" s="218">
        <v>0.75</v>
      </c>
      <c r="K7" s="218">
        <v>1.25</v>
      </c>
      <c r="L7" s="178" t="s">
        <v>280</v>
      </c>
      <c r="M7" s="178" t="s">
        <v>1274</v>
      </c>
    </row>
    <row r="8" spans="2:13">
      <c r="B8" s="190" t="s">
        <v>1151</v>
      </c>
      <c r="C8" s="188" t="s">
        <v>1136</v>
      </c>
      <c r="D8" s="968">
        <v>56.878761904761902</v>
      </c>
      <c r="E8" s="968">
        <v>113.7575238095238</v>
      </c>
      <c r="F8" s="968">
        <v>170.63628571428572</v>
      </c>
      <c r="G8" s="968">
        <v>227.51504761904761</v>
      </c>
      <c r="H8" s="217">
        <v>0.5</v>
      </c>
      <c r="I8" s="217">
        <v>1.25</v>
      </c>
      <c r="J8" s="217">
        <v>0.75</v>
      </c>
      <c r="K8" s="217">
        <v>1.25</v>
      </c>
      <c r="L8" s="188" t="s">
        <v>277</v>
      </c>
      <c r="M8" s="188" t="s">
        <v>1274</v>
      </c>
    </row>
    <row r="9" spans="2:13">
      <c r="B9" s="186" t="s">
        <v>384</v>
      </c>
      <c r="C9" s="934"/>
      <c r="D9" s="934"/>
      <c r="E9" s="934"/>
      <c r="F9" s="934" t="s">
        <v>285</v>
      </c>
      <c r="G9" s="934"/>
      <c r="H9" s="944"/>
      <c r="I9" s="944"/>
      <c r="J9" s="944"/>
      <c r="K9" s="944"/>
      <c r="L9" s="183"/>
      <c r="M9" s="1049"/>
    </row>
    <row r="10" spans="2:13">
      <c r="B10" s="180" t="s">
        <v>112</v>
      </c>
      <c r="C10" s="178" t="s">
        <v>1136</v>
      </c>
      <c r="D10" s="178">
        <v>0.99</v>
      </c>
      <c r="E10" s="178">
        <v>0.99</v>
      </c>
      <c r="F10" s="178">
        <v>0.99</v>
      </c>
      <c r="G10" s="178">
        <v>0.99</v>
      </c>
      <c r="H10" s="218">
        <v>0.9</v>
      </c>
      <c r="I10" s="218">
        <v>1.5</v>
      </c>
      <c r="J10" s="218">
        <v>0.9</v>
      </c>
      <c r="K10" s="218">
        <v>1.25</v>
      </c>
      <c r="L10" s="178" t="s">
        <v>269</v>
      </c>
      <c r="M10" s="178">
        <v>5</v>
      </c>
    </row>
    <row r="11" spans="2:13">
      <c r="B11" s="190" t="s">
        <v>96</v>
      </c>
      <c r="C11" s="188" t="s">
        <v>1136</v>
      </c>
      <c r="D11" s="188">
        <v>0.01</v>
      </c>
      <c r="E11" s="188">
        <v>0.01</v>
      </c>
      <c r="F11" s="188">
        <v>0.01</v>
      </c>
      <c r="G11" s="188">
        <v>0.01</v>
      </c>
      <c r="H11" s="217">
        <v>0.75</v>
      </c>
      <c r="I11" s="217">
        <v>1.25</v>
      </c>
      <c r="J11" s="217">
        <v>0.75</v>
      </c>
      <c r="K11" s="217">
        <v>1.25</v>
      </c>
      <c r="L11" s="188" t="s">
        <v>269</v>
      </c>
      <c r="M11" s="188">
        <v>5</v>
      </c>
    </row>
    <row r="12" spans="2:13">
      <c r="B12" s="186" t="s">
        <v>271</v>
      </c>
      <c r="C12" s="934"/>
      <c r="D12" s="934"/>
      <c r="E12" s="934"/>
      <c r="F12" s="934"/>
      <c r="G12" s="934"/>
      <c r="H12" s="944"/>
      <c r="I12" s="944"/>
      <c r="J12" s="944"/>
      <c r="K12" s="944"/>
      <c r="L12" s="183"/>
      <c r="M12" s="1049"/>
    </row>
    <row r="13" spans="2:13">
      <c r="B13" s="180" t="s">
        <v>116</v>
      </c>
      <c r="C13" s="178" t="s">
        <v>1136</v>
      </c>
      <c r="D13" s="178">
        <v>0.38</v>
      </c>
      <c r="E13" s="178">
        <v>0.39</v>
      </c>
      <c r="F13" s="178">
        <v>0.4</v>
      </c>
      <c r="G13" s="178">
        <v>0.41</v>
      </c>
      <c r="H13" s="218">
        <v>0.9</v>
      </c>
      <c r="I13" s="218">
        <v>1.1000000000000001</v>
      </c>
      <c r="J13" s="218">
        <v>0.9</v>
      </c>
      <c r="K13" s="218">
        <v>1.1000000000000001</v>
      </c>
      <c r="L13" s="178" t="s">
        <v>269</v>
      </c>
      <c r="M13" s="178">
        <v>5</v>
      </c>
    </row>
    <row r="14" spans="2:13">
      <c r="B14" s="268" t="s">
        <v>117</v>
      </c>
      <c r="C14" s="270" t="s">
        <v>1136</v>
      </c>
      <c r="D14" s="270">
        <v>0.17</v>
      </c>
      <c r="E14" s="270">
        <v>0.18</v>
      </c>
      <c r="F14" s="270">
        <v>0.18</v>
      </c>
      <c r="G14" s="270">
        <v>0.19</v>
      </c>
      <c r="H14" s="218">
        <v>0.9</v>
      </c>
      <c r="I14" s="218">
        <v>1.1000000000000001</v>
      </c>
      <c r="J14" s="218">
        <v>0.9</v>
      </c>
      <c r="K14" s="218">
        <v>1.1000000000000001</v>
      </c>
      <c r="L14" s="178" t="s">
        <v>269</v>
      </c>
      <c r="M14" s="178">
        <v>5</v>
      </c>
    </row>
    <row r="15" spans="2:13">
      <c r="B15" s="190" t="s">
        <v>1261</v>
      </c>
      <c r="C15" s="188" t="s">
        <v>1136</v>
      </c>
      <c r="D15" s="188">
        <v>0</v>
      </c>
      <c r="E15" s="188">
        <v>0</v>
      </c>
      <c r="F15" s="188">
        <v>0</v>
      </c>
      <c r="G15" s="188">
        <v>0</v>
      </c>
      <c r="H15" s="217">
        <v>0.9</v>
      </c>
      <c r="I15" s="217">
        <v>1.1000000000000001</v>
      </c>
      <c r="J15" s="217">
        <v>0.9</v>
      </c>
      <c r="K15" s="217">
        <v>1.1000000000000001</v>
      </c>
      <c r="L15" s="188" t="s">
        <v>269</v>
      </c>
      <c r="M15" s="188">
        <v>5</v>
      </c>
    </row>
    <row r="16" spans="2:13">
      <c r="B16" s="207"/>
      <c r="C16" s="934"/>
      <c r="D16" s="934"/>
      <c r="E16" s="934"/>
      <c r="F16" s="934"/>
      <c r="G16" s="934"/>
      <c r="H16" s="944"/>
      <c r="I16" s="944"/>
      <c r="J16" s="944"/>
      <c r="K16" s="944"/>
      <c r="L16" s="183"/>
      <c r="M16" s="1049"/>
    </row>
    <row r="17" spans="2:13">
      <c r="B17" s="180" t="s">
        <v>59</v>
      </c>
      <c r="C17" s="178" t="s">
        <v>1136</v>
      </c>
      <c r="D17" s="178">
        <v>4</v>
      </c>
      <c r="E17" s="178">
        <v>4</v>
      </c>
      <c r="F17" s="178">
        <v>0</v>
      </c>
      <c r="G17" s="178">
        <v>0</v>
      </c>
      <c r="H17" s="942"/>
      <c r="I17" s="942"/>
      <c r="J17" s="942"/>
      <c r="K17" s="942"/>
      <c r="L17" s="178"/>
      <c r="M17" s="178"/>
    </row>
    <row r="18" spans="2:13">
      <c r="B18" s="162" t="s">
        <v>92</v>
      </c>
      <c r="C18" s="1050" t="s">
        <v>1136</v>
      </c>
      <c r="D18" s="1050">
        <v>2</v>
      </c>
      <c r="E18" s="1050">
        <v>3</v>
      </c>
      <c r="F18" s="1050">
        <v>4</v>
      </c>
      <c r="G18" s="1050">
        <v>5</v>
      </c>
      <c r="H18" s="167"/>
      <c r="I18" s="167"/>
      <c r="J18" s="167"/>
      <c r="K18" s="962"/>
      <c r="L18" s="1050"/>
      <c r="M18" s="1050">
        <v>5</v>
      </c>
    </row>
    <row r="19" spans="2:13">
      <c r="B19" s="162" t="s">
        <v>58</v>
      </c>
      <c r="C19" s="1050" t="s">
        <v>1136</v>
      </c>
      <c r="D19" s="1050" t="s">
        <v>1260</v>
      </c>
      <c r="E19" s="1050" t="s">
        <v>1260</v>
      </c>
      <c r="F19" s="1050" t="s">
        <v>1260</v>
      </c>
      <c r="G19" s="1050" t="s">
        <v>1260</v>
      </c>
      <c r="H19" s="167"/>
      <c r="I19" s="167"/>
      <c r="J19" s="167"/>
      <c r="K19" s="962"/>
      <c r="L19" s="1050"/>
      <c r="M19" s="162"/>
    </row>
    <row r="20" spans="2:13">
      <c r="B20" s="190" t="s">
        <v>60</v>
      </c>
      <c r="C20" s="188" t="s">
        <v>1136</v>
      </c>
      <c r="D20" s="188">
        <v>2</v>
      </c>
      <c r="E20" s="188">
        <v>2</v>
      </c>
      <c r="F20" s="188">
        <v>2</v>
      </c>
      <c r="G20" s="188">
        <v>2</v>
      </c>
      <c r="H20" s="189"/>
      <c r="I20" s="189"/>
      <c r="J20" s="189"/>
      <c r="K20" s="217"/>
      <c r="L20" s="188"/>
      <c r="M20" s="188">
        <v>5</v>
      </c>
    </row>
    <row r="21" spans="2:13">
      <c r="B21" s="186" t="s">
        <v>264</v>
      </c>
      <c r="C21" s="934"/>
      <c r="D21" s="934"/>
      <c r="E21" s="934"/>
      <c r="F21" s="934"/>
      <c r="G21" s="934"/>
      <c r="H21" s="184"/>
      <c r="I21" s="184"/>
      <c r="J21" s="184"/>
      <c r="K21" s="967"/>
      <c r="L21" s="183"/>
      <c r="M21" s="966"/>
    </row>
    <row r="22" spans="2:13">
      <c r="B22" s="180" t="s">
        <v>1147</v>
      </c>
      <c r="C22" s="178" t="s">
        <v>1136</v>
      </c>
      <c r="D22" s="965">
        <v>2.7822558139534888</v>
      </c>
      <c r="E22" s="965">
        <v>1.5766116279069771</v>
      </c>
      <c r="F22" s="965">
        <v>1.1546361627906978</v>
      </c>
      <c r="G22" s="965">
        <v>0.92741860465116288</v>
      </c>
      <c r="H22" s="218">
        <v>0.75</v>
      </c>
      <c r="I22" s="218">
        <v>1.25</v>
      </c>
      <c r="J22" s="218">
        <v>0.75</v>
      </c>
      <c r="K22" s="218">
        <v>1.25</v>
      </c>
      <c r="L22" s="178" t="s">
        <v>1272</v>
      </c>
      <c r="M22" s="178" t="s">
        <v>1271</v>
      </c>
    </row>
    <row r="23" spans="2:13">
      <c r="B23" s="162" t="s">
        <v>394</v>
      </c>
      <c r="C23" s="1050" t="s">
        <v>1136</v>
      </c>
      <c r="D23" s="1050">
        <v>75</v>
      </c>
      <c r="E23" s="1050">
        <v>75</v>
      </c>
      <c r="F23" s="1050">
        <v>75</v>
      </c>
      <c r="G23" s="1050">
        <v>75</v>
      </c>
      <c r="H23" s="962"/>
      <c r="I23" s="962"/>
      <c r="J23" s="962"/>
      <c r="K23" s="962"/>
      <c r="L23" s="1050"/>
      <c r="M23" s="1050"/>
    </row>
    <row r="24" spans="2:13">
      <c r="B24" s="162" t="s">
        <v>251</v>
      </c>
      <c r="C24" s="1050" t="s">
        <v>1136</v>
      </c>
      <c r="D24" s="1050">
        <v>25</v>
      </c>
      <c r="E24" s="1050">
        <v>25</v>
      </c>
      <c r="F24" s="1050">
        <v>25</v>
      </c>
      <c r="G24" s="1050">
        <v>25</v>
      </c>
      <c r="H24" s="962"/>
      <c r="I24" s="962"/>
      <c r="J24" s="962"/>
      <c r="K24" s="962"/>
      <c r="L24" s="1050"/>
      <c r="M24" s="1050"/>
    </row>
    <row r="25" spans="2:13">
      <c r="B25" s="162" t="s">
        <v>1146</v>
      </c>
      <c r="C25" s="1050" t="s">
        <v>1136</v>
      </c>
      <c r="D25" s="963">
        <v>2.7426976744186052E-2</v>
      </c>
      <c r="E25" s="963">
        <v>2.7426976744186052E-2</v>
      </c>
      <c r="F25" s="963">
        <v>2.7426976744186045E-2</v>
      </c>
      <c r="G25" s="963">
        <v>2.7426976744186052E-2</v>
      </c>
      <c r="H25" s="962">
        <v>0.75</v>
      </c>
      <c r="I25" s="962">
        <v>1.25</v>
      </c>
      <c r="J25" s="962">
        <v>0.75</v>
      </c>
      <c r="K25" s="962">
        <v>1.25</v>
      </c>
      <c r="L25" s="1050" t="s">
        <v>243</v>
      </c>
      <c r="M25" s="1050">
        <v>5</v>
      </c>
    </row>
    <row r="26" spans="2:13">
      <c r="B26" s="162" t="s">
        <v>1145</v>
      </c>
      <c r="C26" s="1050" t="s">
        <v>1136</v>
      </c>
      <c r="D26" s="964">
        <v>1.306046511627907</v>
      </c>
      <c r="E26" s="964">
        <v>1.306046511627907</v>
      </c>
      <c r="F26" s="964">
        <v>1.306046511627907</v>
      </c>
      <c r="G26" s="964">
        <v>1.306046511627907</v>
      </c>
      <c r="H26" s="962">
        <v>0.75</v>
      </c>
      <c r="I26" s="962">
        <v>1.25</v>
      </c>
      <c r="J26" s="962">
        <v>0.75</v>
      </c>
      <c r="K26" s="962">
        <v>1.25</v>
      </c>
      <c r="L26" s="1050" t="s">
        <v>243</v>
      </c>
      <c r="M26" s="1050">
        <v>5</v>
      </c>
    </row>
    <row r="27" spans="2:13">
      <c r="B27" s="190" t="s">
        <v>1269</v>
      </c>
      <c r="C27" s="188" t="s">
        <v>1136</v>
      </c>
      <c r="D27" s="188">
        <v>0</v>
      </c>
      <c r="E27" s="188">
        <v>0</v>
      </c>
      <c r="F27" s="188">
        <v>0</v>
      </c>
      <c r="G27" s="188">
        <v>0</v>
      </c>
      <c r="H27" s="217"/>
      <c r="I27" s="217"/>
      <c r="J27" s="217"/>
      <c r="K27" s="217"/>
      <c r="L27" s="188"/>
      <c r="M27" s="188"/>
    </row>
    <row r="28" spans="2:13">
      <c r="B28" s="186" t="s">
        <v>260</v>
      </c>
      <c r="C28" s="934"/>
      <c r="D28" s="934"/>
      <c r="E28" s="934"/>
      <c r="F28" s="934"/>
      <c r="G28" s="934"/>
      <c r="H28" s="184"/>
      <c r="I28" s="184"/>
      <c r="J28" s="184"/>
      <c r="K28" s="184"/>
      <c r="L28" s="183"/>
      <c r="M28" s="1049"/>
    </row>
    <row r="29" spans="2:13">
      <c r="B29" s="180" t="s">
        <v>1057</v>
      </c>
      <c r="C29" s="178">
        <v>43</v>
      </c>
      <c r="D29" s="178">
        <v>43</v>
      </c>
      <c r="E29" s="178">
        <v>43</v>
      </c>
      <c r="F29" s="178">
        <v>43</v>
      </c>
      <c r="G29" s="178">
        <v>43</v>
      </c>
      <c r="H29" s="218"/>
      <c r="I29" s="218"/>
      <c r="J29" s="218"/>
      <c r="K29" s="218"/>
      <c r="L29" s="178"/>
      <c r="M29" s="180"/>
    </row>
    <row r="30" spans="2:13">
      <c r="B30" s="162" t="s">
        <v>257</v>
      </c>
      <c r="C30" s="1050">
        <v>0.78</v>
      </c>
      <c r="D30" s="1050">
        <v>0.78</v>
      </c>
      <c r="E30" s="1050">
        <v>0.78</v>
      </c>
      <c r="F30" s="1050">
        <v>0.78</v>
      </c>
      <c r="G30" s="1050">
        <v>0.78</v>
      </c>
      <c r="H30" s="962"/>
      <c r="I30" s="962"/>
      <c r="J30" s="962"/>
      <c r="K30" s="962"/>
      <c r="L30" s="1050"/>
      <c r="M30" s="162"/>
    </row>
    <row r="31" spans="2:13">
      <c r="B31" s="162" t="s">
        <v>1273</v>
      </c>
      <c r="C31" s="1050" t="s">
        <v>1136</v>
      </c>
      <c r="D31" s="964">
        <v>3.9562500000000003</v>
      </c>
      <c r="E31" s="964">
        <v>2.2418750000000003</v>
      </c>
      <c r="F31" s="964">
        <v>1.64184375</v>
      </c>
      <c r="G31" s="964">
        <v>1.3187500000000001</v>
      </c>
      <c r="H31" s="962">
        <v>0.75</v>
      </c>
      <c r="I31" s="962">
        <v>1.25</v>
      </c>
      <c r="J31" s="962">
        <v>0.75</v>
      </c>
      <c r="K31" s="962">
        <v>1.25</v>
      </c>
      <c r="L31" s="1050" t="s">
        <v>1272</v>
      </c>
      <c r="M31" s="1050" t="s">
        <v>1271</v>
      </c>
    </row>
    <row r="32" spans="2:13">
      <c r="B32" s="162" t="s">
        <v>394</v>
      </c>
      <c r="C32" s="1050" t="s">
        <v>1136</v>
      </c>
      <c r="D32" s="1050">
        <v>75</v>
      </c>
      <c r="E32" s="1050">
        <v>75</v>
      </c>
      <c r="F32" s="1050">
        <v>75</v>
      </c>
      <c r="G32" s="1050">
        <v>75</v>
      </c>
      <c r="H32" s="962"/>
      <c r="I32" s="962"/>
      <c r="J32" s="962"/>
      <c r="K32" s="962"/>
      <c r="L32" s="1050"/>
      <c r="M32" s="1050"/>
    </row>
    <row r="33" spans="2:13">
      <c r="B33" s="162" t="s">
        <v>251</v>
      </c>
      <c r="C33" s="1050" t="s">
        <v>1136</v>
      </c>
      <c r="D33" s="1050">
        <v>25</v>
      </c>
      <c r="E33" s="1050">
        <v>25</v>
      </c>
      <c r="F33" s="1050">
        <v>25</v>
      </c>
      <c r="G33" s="1050">
        <v>25</v>
      </c>
      <c r="H33" s="962"/>
      <c r="I33" s="962"/>
      <c r="J33" s="962"/>
      <c r="K33" s="962"/>
      <c r="L33" s="1050"/>
      <c r="M33" s="1050"/>
    </row>
    <row r="34" spans="2:13">
      <c r="B34" s="162" t="s">
        <v>1140</v>
      </c>
      <c r="C34" s="1050" t="s">
        <v>1136</v>
      </c>
      <c r="D34" s="963">
        <v>3.9E-2</v>
      </c>
      <c r="E34" s="963">
        <v>3.9E-2</v>
      </c>
      <c r="F34" s="963">
        <v>3.9E-2</v>
      </c>
      <c r="G34" s="963">
        <v>3.9E-2</v>
      </c>
      <c r="H34" s="962">
        <v>0.75</v>
      </c>
      <c r="I34" s="962">
        <v>1.25</v>
      </c>
      <c r="J34" s="962">
        <v>0.75</v>
      </c>
      <c r="K34" s="962">
        <v>1.25</v>
      </c>
      <c r="L34" s="1050" t="s">
        <v>243</v>
      </c>
      <c r="M34" s="1050">
        <v>5</v>
      </c>
    </row>
    <row r="35" spans="2:13">
      <c r="B35" s="162" t="s">
        <v>1270</v>
      </c>
      <c r="C35" s="1050" t="s">
        <v>1136</v>
      </c>
      <c r="D35" s="963">
        <v>1.5600000000000001E-2</v>
      </c>
      <c r="E35" s="963">
        <v>1.5600000000000001E-2</v>
      </c>
      <c r="F35" s="963">
        <v>1.5600000000000001E-2</v>
      </c>
      <c r="G35" s="963">
        <v>1.5600000000000001E-2</v>
      </c>
      <c r="H35" s="962">
        <v>0.75</v>
      </c>
      <c r="I35" s="962">
        <v>1.25</v>
      </c>
      <c r="J35" s="962">
        <v>0.75</v>
      </c>
      <c r="K35" s="962">
        <v>1.25</v>
      </c>
      <c r="L35" s="1050" t="s">
        <v>243</v>
      </c>
      <c r="M35" s="1050">
        <v>5</v>
      </c>
    </row>
    <row r="36" spans="2:13">
      <c r="B36" s="162" t="s">
        <v>1269</v>
      </c>
      <c r="C36" s="1050" t="s">
        <v>1136</v>
      </c>
      <c r="D36" s="1050">
        <v>0</v>
      </c>
      <c r="E36" s="1050">
        <v>0</v>
      </c>
      <c r="F36" s="1050">
        <v>0</v>
      </c>
      <c r="G36" s="1050">
        <v>0</v>
      </c>
      <c r="H36" s="961"/>
      <c r="I36" s="961"/>
      <c r="J36" s="961"/>
      <c r="K36" s="961"/>
      <c r="L36" s="1050"/>
      <c r="M36" s="1050"/>
    </row>
    <row r="37" spans="2:13">
      <c r="C37" s="960"/>
      <c r="D37" s="960"/>
      <c r="E37" s="960"/>
      <c r="F37" s="960"/>
      <c r="G37" s="960"/>
      <c r="H37" s="959"/>
      <c r="I37" s="959"/>
      <c r="J37" s="959"/>
      <c r="K37" s="959"/>
      <c r="L37" s="1048"/>
      <c r="M37" s="1048"/>
    </row>
    <row r="38" spans="2:13">
      <c r="B38" t="s">
        <v>695</v>
      </c>
    </row>
    <row r="39" spans="2:13">
      <c r="B39" t="s">
        <v>1268</v>
      </c>
    </row>
    <row r="40" spans="2:13">
      <c r="B40" t="s">
        <v>1048</v>
      </c>
      <c r="K40" s="1048"/>
      <c r="L40" s="1048"/>
    </row>
    <row r="41" spans="2:13">
      <c r="B41" t="s">
        <v>1267</v>
      </c>
    </row>
    <row r="42" spans="2:13">
      <c r="B42" t="s">
        <v>1266</v>
      </c>
    </row>
    <row r="43" spans="2:13">
      <c r="B43" t="s">
        <v>1265</v>
      </c>
    </row>
    <row r="44" spans="2:13">
      <c r="B44" t="s">
        <v>1264</v>
      </c>
    </row>
    <row r="45" spans="2:13">
      <c r="B45" t="s">
        <v>1263</v>
      </c>
    </row>
  </sheetData>
  <mergeCells count="3">
    <mergeCell ref="C3:M3"/>
    <mergeCell ref="H4:I4"/>
    <mergeCell ref="J4:K4"/>
  </mergeCells>
  <hyperlinks>
    <hyperlink ref="C3" location="INDEX" display="Catalytic Hydropyrolysis conf. 2" xr:uid="{5E950434-FA00-46BD-AD9D-63970A4AE97F}"/>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85904-8D56-4B1A-B5CD-605E989B9ABC}">
  <sheetPr>
    <tabColor theme="5" tint="0.59999389629810485"/>
  </sheetPr>
  <dimension ref="B2:N36"/>
  <sheetViews>
    <sheetView showGridLines="0" workbookViewId="0">
      <selection activeCell="V25" sqref="V25"/>
    </sheetView>
  </sheetViews>
  <sheetFormatPr defaultRowHeight="14.4"/>
  <cols>
    <col min="1" max="1" width="2.109375" customWidth="1"/>
    <col min="2" max="2" width="39.88671875" customWidth="1"/>
    <col min="3" max="14" width="5.6640625" customWidth="1"/>
  </cols>
  <sheetData>
    <row r="2" spans="2:14">
      <c r="H2" s="884"/>
    </row>
    <row r="3" spans="2:14" ht="15" customHeight="1">
      <c r="B3" s="1053" t="s">
        <v>296</v>
      </c>
      <c r="C3" s="1405" t="s">
        <v>1290</v>
      </c>
      <c r="D3" s="1406"/>
      <c r="E3" s="1406"/>
      <c r="F3" s="1406"/>
      <c r="G3" s="1406"/>
      <c r="H3" s="1406"/>
      <c r="I3" s="1406"/>
      <c r="J3" s="1406"/>
      <c r="K3" s="1406"/>
      <c r="L3" s="1406"/>
      <c r="M3" s="1406"/>
      <c r="N3" s="1407"/>
    </row>
    <row r="4" spans="2:14" ht="22.5" customHeight="1">
      <c r="B4" s="982"/>
      <c r="C4" s="1053">
        <v>2015</v>
      </c>
      <c r="D4" s="1053">
        <v>2020</v>
      </c>
      <c r="E4" s="1053">
        <v>2030</v>
      </c>
      <c r="F4" s="1053">
        <v>2040</v>
      </c>
      <c r="G4" s="1053">
        <v>2050</v>
      </c>
      <c r="H4" s="1401" t="s">
        <v>290</v>
      </c>
      <c r="I4" s="1401"/>
      <c r="J4" s="1401"/>
      <c r="K4" s="1401" t="s">
        <v>289</v>
      </c>
      <c r="L4" s="1401"/>
      <c r="M4" s="1053" t="s">
        <v>288</v>
      </c>
      <c r="N4" s="1053" t="s">
        <v>287</v>
      </c>
    </row>
    <row r="5" spans="2:14">
      <c r="B5" s="1053"/>
      <c r="C5" s="982"/>
      <c r="D5" s="982"/>
      <c r="E5" s="982"/>
      <c r="F5" s="1053"/>
      <c r="G5" s="982"/>
      <c r="H5" s="1401" t="s">
        <v>284</v>
      </c>
      <c r="I5" s="1401"/>
      <c r="J5" s="1053" t="s">
        <v>283</v>
      </c>
      <c r="K5" s="1053" t="s">
        <v>284</v>
      </c>
      <c r="L5" s="1053" t="s">
        <v>283</v>
      </c>
      <c r="M5" s="982"/>
      <c r="N5" s="982"/>
    </row>
    <row r="6" spans="2:14">
      <c r="B6" s="1402" t="s">
        <v>282</v>
      </c>
      <c r="C6" s="1402"/>
      <c r="D6" s="1402"/>
      <c r="E6" s="1402"/>
      <c r="F6" s="1402"/>
      <c r="G6" s="1402"/>
      <c r="H6" s="1402"/>
      <c r="I6" s="1402"/>
      <c r="J6" s="1402"/>
      <c r="K6" s="1402"/>
      <c r="L6" s="1402"/>
      <c r="M6" s="1402"/>
      <c r="N6" s="1402"/>
    </row>
    <row r="7" spans="2:14">
      <c r="B7" s="981" t="s">
        <v>1289</v>
      </c>
      <c r="C7" s="1055" t="s">
        <v>1136</v>
      </c>
      <c r="D7" s="1055">
        <v>40</v>
      </c>
      <c r="E7" s="1055">
        <v>80</v>
      </c>
      <c r="F7" s="1055">
        <v>120</v>
      </c>
      <c r="G7" s="1055">
        <v>160</v>
      </c>
      <c r="H7" s="1400">
        <v>0.5</v>
      </c>
      <c r="I7" s="1400"/>
      <c r="J7" s="1052">
        <v>1.25</v>
      </c>
      <c r="K7" s="1052">
        <v>0.75</v>
      </c>
      <c r="L7" s="1052">
        <v>1.25</v>
      </c>
      <c r="M7" s="1055" t="s">
        <v>280</v>
      </c>
      <c r="N7" s="1055" t="s">
        <v>1274</v>
      </c>
    </row>
    <row r="8" spans="2:14">
      <c r="B8" s="981" t="s">
        <v>1151</v>
      </c>
      <c r="C8" s="1055" t="s">
        <v>1136</v>
      </c>
      <c r="D8" s="1055">
        <v>57</v>
      </c>
      <c r="E8" s="1055">
        <v>114</v>
      </c>
      <c r="F8" s="1055">
        <v>171</v>
      </c>
      <c r="G8" s="1055">
        <v>228</v>
      </c>
      <c r="H8" s="1400">
        <v>0.5</v>
      </c>
      <c r="I8" s="1400"/>
      <c r="J8" s="1052">
        <v>1.25</v>
      </c>
      <c r="K8" s="1052">
        <v>0.75</v>
      </c>
      <c r="L8" s="1052">
        <v>1.25</v>
      </c>
      <c r="M8" s="1055" t="s">
        <v>277</v>
      </c>
      <c r="N8" s="1055" t="s">
        <v>1274</v>
      </c>
    </row>
    <row r="9" spans="2:14">
      <c r="B9" s="1399" t="s">
        <v>384</v>
      </c>
      <c r="C9" s="1399"/>
      <c r="D9" s="1399"/>
      <c r="E9" s="1399"/>
      <c r="F9" s="1399"/>
      <c r="G9" s="1399"/>
      <c r="H9" s="1399"/>
      <c r="I9" s="1399"/>
      <c r="J9" s="1399"/>
      <c r="K9" s="1399"/>
      <c r="L9" s="1399"/>
      <c r="M9" s="1399"/>
      <c r="N9" s="1399"/>
    </row>
    <row r="10" spans="2:14">
      <c r="B10" s="981" t="s">
        <v>112</v>
      </c>
      <c r="C10" s="1055" t="s">
        <v>1136</v>
      </c>
      <c r="D10" s="1055">
        <v>0.77</v>
      </c>
      <c r="E10" s="1055">
        <v>0.77</v>
      </c>
      <c r="F10" s="1055">
        <v>0.77</v>
      </c>
      <c r="G10" s="1055">
        <v>0.77</v>
      </c>
      <c r="H10" s="1400">
        <v>0.9</v>
      </c>
      <c r="I10" s="1400"/>
      <c r="J10" s="1052">
        <v>1.5</v>
      </c>
      <c r="K10" s="1052">
        <v>0.9</v>
      </c>
      <c r="L10" s="1052">
        <v>1.25</v>
      </c>
      <c r="M10" s="1055" t="s">
        <v>272</v>
      </c>
      <c r="N10" s="1055">
        <v>1</v>
      </c>
    </row>
    <row r="11" spans="2:14">
      <c r="B11" s="981" t="s">
        <v>119</v>
      </c>
      <c r="C11" s="1055" t="s">
        <v>1136</v>
      </c>
      <c r="D11" s="1055">
        <v>0.23</v>
      </c>
      <c r="E11" s="1055">
        <v>0.23</v>
      </c>
      <c r="F11" s="1055">
        <v>0.23</v>
      </c>
      <c r="G11" s="1055">
        <v>0.23</v>
      </c>
      <c r="H11" s="1400">
        <v>0.75</v>
      </c>
      <c r="I11" s="1400"/>
      <c r="J11" s="1052">
        <v>1.25</v>
      </c>
      <c r="K11" s="1052">
        <v>0.75</v>
      </c>
      <c r="L11" s="1052">
        <v>1.25</v>
      </c>
      <c r="M11" s="1055" t="s">
        <v>272</v>
      </c>
      <c r="N11" s="1055">
        <v>1</v>
      </c>
    </row>
    <row r="12" spans="2:14">
      <c r="B12" s="1399" t="s">
        <v>271</v>
      </c>
      <c r="C12" s="1399"/>
      <c r="D12" s="1399"/>
      <c r="E12" s="1399"/>
      <c r="F12" s="1399"/>
      <c r="G12" s="1399"/>
      <c r="H12" s="1399"/>
      <c r="I12" s="1399"/>
      <c r="J12" s="1399"/>
      <c r="K12" s="1399"/>
      <c r="L12" s="1399"/>
      <c r="M12" s="1399"/>
      <c r="N12" s="1399"/>
    </row>
    <row r="13" spans="2:14">
      <c r="B13" s="981" t="s">
        <v>118</v>
      </c>
      <c r="C13" s="1055" t="s">
        <v>1136</v>
      </c>
      <c r="D13" s="1055">
        <v>0.38</v>
      </c>
      <c r="E13" s="1055">
        <v>0.38</v>
      </c>
      <c r="F13" s="1055">
        <v>0.38</v>
      </c>
      <c r="G13" s="1055">
        <v>0.38</v>
      </c>
      <c r="H13" s="1052">
        <v>0.9</v>
      </c>
      <c r="I13" s="1400">
        <v>1.1000000000000001</v>
      </c>
      <c r="J13" s="1400"/>
      <c r="K13" s="1052">
        <v>0.9</v>
      </c>
      <c r="L13" s="1052">
        <v>1.1000000000000001</v>
      </c>
      <c r="M13" s="1055" t="s">
        <v>272</v>
      </c>
      <c r="N13" s="1055">
        <v>1</v>
      </c>
    </row>
    <row r="14" spans="2:14">
      <c r="B14" s="981" t="s">
        <v>120</v>
      </c>
      <c r="C14" s="1055" t="s">
        <v>1136</v>
      </c>
      <c r="D14" s="1055">
        <v>0.13</v>
      </c>
      <c r="E14" s="1055">
        <v>0.13</v>
      </c>
      <c r="F14" s="1055">
        <v>0.13</v>
      </c>
      <c r="G14" s="1055">
        <v>0.13</v>
      </c>
      <c r="H14" s="1052">
        <v>0.9</v>
      </c>
      <c r="I14" s="1400">
        <v>1.1000000000000001</v>
      </c>
      <c r="J14" s="1400"/>
      <c r="K14" s="1052">
        <v>0.9</v>
      </c>
      <c r="L14" s="1052">
        <v>1.1000000000000001</v>
      </c>
      <c r="M14" s="1055" t="s">
        <v>272</v>
      </c>
      <c r="N14" s="1055">
        <v>1</v>
      </c>
    </row>
    <row r="15" spans="2:14">
      <c r="B15" s="981" t="s">
        <v>121</v>
      </c>
      <c r="C15" s="1055" t="s">
        <v>1136</v>
      </c>
      <c r="D15" s="1055">
        <v>0.31</v>
      </c>
      <c r="E15" s="1055">
        <v>0.31</v>
      </c>
      <c r="F15" s="1055">
        <v>0.31</v>
      </c>
      <c r="G15" s="1055">
        <v>0.31</v>
      </c>
      <c r="H15" s="1052">
        <v>0.9</v>
      </c>
      <c r="I15" s="1400">
        <v>1.1000000000000001</v>
      </c>
      <c r="J15" s="1400"/>
      <c r="K15" s="1052">
        <v>0.9</v>
      </c>
      <c r="L15" s="1052">
        <v>1.1000000000000001</v>
      </c>
      <c r="M15" s="1055" t="s">
        <v>272</v>
      </c>
      <c r="N15" s="1055">
        <v>1</v>
      </c>
    </row>
    <row r="16" spans="2:14">
      <c r="B16" s="981" t="s">
        <v>122</v>
      </c>
      <c r="C16" s="1055" t="s">
        <v>1136</v>
      </c>
      <c r="D16" s="1055">
        <v>0.18</v>
      </c>
      <c r="E16" s="1055">
        <v>0.18</v>
      </c>
      <c r="F16" s="1055">
        <v>0.18</v>
      </c>
      <c r="G16" s="1055">
        <v>0.18</v>
      </c>
      <c r="H16" s="1052">
        <v>0.9</v>
      </c>
      <c r="I16" s="1400">
        <v>1.1000000000000001</v>
      </c>
      <c r="J16" s="1400"/>
      <c r="K16" s="1052">
        <v>0.9</v>
      </c>
      <c r="L16" s="1052">
        <v>1.1000000000000001</v>
      </c>
      <c r="M16" s="1055" t="s">
        <v>272</v>
      </c>
      <c r="N16" s="1055">
        <v>1</v>
      </c>
    </row>
    <row r="17" spans="2:14">
      <c r="B17" s="1402" t="s">
        <v>264</v>
      </c>
      <c r="C17" s="1402"/>
      <c r="D17" s="1402"/>
      <c r="E17" s="1402"/>
      <c r="F17" s="1402"/>
      <c r="G17" s="1402"/>
      <c r="H17" s="1402"/>
      <c r="I17" s="1402"/>
      <c r="J17" s="1402"/>
      <c r="K17" s="1402"/>
      <c r="L17" s="1402"/>
      <c r="M17" s="1402"/>
      <c r="N17" s="1402"/>
    </row>
    <row r="18" spans="2:14">
      <c r="B18" s="976" t="s">
        <v>1288</v>
      </c>
      <c r="C18" s="1056" t="s">
        <v>1136</v>
      </c>
      <c r="D18" s="1055">
        <v>2.1800000000000002</v>
      </c>
      <c r="E18" s="1055">
        <v>1.23</v>
      </c>
      <c r="F18" s="1056">
        <v>0.9</v>
      </c>
      <c r="G18" s="1055">
        <v>0.73</v>
      </c>
      <c r="H18" s="1400">
        <v>0.75</v>
      </c>
      <c r="I18" s="1400"/>
      <c r="J18" s="979">
        <v>1.25</v>
      </c>
      <c r="K18" s="979">
        <v>0.75</v>
      </c>
      <c r="L18" s="979">
        <v>1.25</v>
      </c>
      <c r="M18" s="1056" t="s">
        <v>1287</v>
      </c>
      <c r="N18" s="1056" t="s">
        <v>1271</v>
      </c>
    </row>
    <row r="19" spans="2:14">
      <c r="B19" s="976" t="s">
        <v>394</v>
      </c>
      <c r="C19" s="1056" t="s">
        <v>1136</v>
      </c>
      <c r="D19" s="1056">
        <v>75</v>
      </c>
      <c r="E19" s="1056">
        <v>75</v>
      </c>
      <c r="F19" s="1056">
        <v>75</v>
      </c>
      <c r="G19" s="1056">
        <v>75</v>
      </c>
      <c r="H19" s="1403"/>
      <c r="I19" s="1403"/>
      <c r="J19" s="1055"/>
      <c r="K19" s="1055"/>
      <c r="L19" s="1055"/>
      <c r="M19" s="1055"/>
      <c r="N19" s="1055"/>
    </row>
    <row r="20" spans="2:14">
      <c r="B20" s="976" t="s">
        <v>251</v>
      </c>
      <c r="C20" s="1056" t="s">
        <v>1136</v>
      </c>
      <c r="D20" s="1056">
        <v>25</v>
      </c>
      <c r="E20" s="1056">
        <v>25</v>
      </c>
      <c r="F20" s="1056">
        <v>25</v>
      </c>
      <c r="G20" s="1056">
        <v>25</v>
      </c>
      <c r="H20" s="1403"/>
      <c r="I20" s="1403"/>
      <c r="J20" s="1055"/>
      <c r="K20" s="1055"/>
      <c r="L20" s="1055"/>
      <c r="M20" s="1055"/>
      <c r="N20" s="1055"/>
    </row>
    <row r="21" spans="2:14">
      <c r="B21" s="976" t="s">
        <v>1286</v>
      </c>
      <c r="C21" s="1056" t="s">
        <v>1136</v>
      </c>
      <c r="D21" s="1055">
        <v>44</v>
      </c>
      <c r="E21" s="1055">
        <v>44</v>
      </c>
      <c r="F21" s="1055">
        <v>44</v>
      </c>
      <c r="G21" s="1055">
        <v>44</v>
      </c>
      <c r="H21" s="1404">
        <v>0.75</v>
      </c>
      <c r="I21" s="1404"/>
      <c r="J21" s="1056">
        <v>1.25</v>
      </c>
      <c r="K21" s="1056">
        <v>0.75</v>
      </c>
      <c r="L21" s="1056">
        <v>1.25</v>
      </c>
      <c r="M21" s="1056" t="s">
        <v>243</v>
      </c>
      <c r="N21" s="1056">
        <v>5</v>
      </c>
    </row>
    <row r="22" spans="2:14">
      <c r="B22" s="976" t="s">
        <v>1285</v>
      </c>
      <c r="C22" s="1056" t="s">
        <v>1136</v>
      </c>
      <c r="D22" s="1056">
        <v>0.02</v>
      </c>
      <c r="E22" s="1056">
        <v>0.02</v>
      </c>
      <c r="F22" s="1056">
        <v>0.02</v>
      </c>
      <c r="G22" s="1056">
        <v>0.02</v>
      </c>
      <c r="H22" s="1404">
        <v>0.75</v>
      </c>
      <c r="I22" s="1404"/>
      <c r="J22" s="1056">
        <v>1.25</v>
      </c>
      <c r="K22" s="1056">
        <v>0.75</v>
      </c>
      <c r="L22" s="1056">
        <v>1.25</v>
      </c>
      <c r="M22" s="1056" t="s">
        <v>243</v>
      </c>
      <c r="N22" s="1056">
        <v>5</v>
      </c>
    </row>
    <row r="23" spans="2:14">
      <c r="B23" s="976" t="s">
        <v>1284</v>
      </c>
      <c r="C23" s="1056" t="s">
        <v>1136</v>
      </c>
      <c r="D23" s="1056">
        <v>0</v>
      </c>
      <c r="E23" s="1056">
        <v>0</v>
      </c>
      <c r="F23" s="1056">
        <v>0</v>
      </c>
      <c r="G23" s="1056">
        <v>0</v>
      </c>
      <c r="H23" s="1403"/>
      <c r="I23" s="1403"/>
      <c r="J23" s="1055"/>
      <c r="K23" s="1055"/>
      <c r="L23" s="1055"/>
      <c r="M23" s="1055"/>
      <c r="N23" s="1055"/>
    </row>
    <row r="24" spans="2:14">
      <c r="B24" s="1054" t="s">
        <v>260</v>
      </c>
      <c r="C24" s="1403"/>
      <c r="D24" s="1403"/>
      <c r="E24" s="1403"/>
      <c r="F24" s="1403"/>
      <c r="G24" s="1403"/>
      <c r="H24" s="1403"/>
      <c r="I24" s="1403"/>
      <c r="J24" s="1403"/>
      <c r="K24" s="1403"/>
      <c r="L24" s="1403"/>
      <c r="M24" s="1403"/>
      <c r="N24" s="1403"/>
    </row>
    <row r="25" spans="2:14">
      <c r="B25" s="973" t="s">
        <v>1057</v>
      </c>
      <c r="C25" s="1055"/>
      <c r="D25" s="1403">
        <v>43</v>
      </c>
      <c r="E25" s="1403"/>
      <c r="F25" s="1403"/>
      <c r="G25" s="1403"/>
      <c r="H25" s="1403"/>
      <c r="I25" s="1403"/>
      <c r="J25" s="1055"/>
      <c r="K25" s="1055"/>
      <c r="L25" s="1055"/>
      <c r="M25" s="1055"/>
      <c r="N25" s="1055"/>
    </row>
    <row r="26" spans="2:14">
      <c r="B26" s="973" t="s">
        <v>1283</v>
      </c>
      <c r="C26" s="1055"/>
      <c r="D26" s="1403">
        <v>0.83</v>
      </c>
      <c r="E26" s="1403"/>
      <c r="F26" s="1403"/>
      <c r="G26" s="1403"/>
      <c r="H26" s="1403"/>
      <c r="I26" s="1403"/>
      <c r="J26" s="1055"/>
      <c r="K26" s="1055"/>
      <c r="L26" s="1055"/>
      <c r="M26" s="1055"/>
      <c r="N26" s="1055"/>
    </row>
    <row r="27" spans="2:14">
      <c r="B27" s="971"/>
      <c r="C27" s="971"/>
      <c r="D27" s="971"/>
      <c r="E27" s="971"/>
      <c r="F27" s="971"/>
      <c r="G27" s="971"/>
      <c r="H27" s="971"/>
      <c r="I27" s="971"/>
      <c r="J27" s="971"/>
      <c r="K27" s="971"/>
      <c r="L27" s="971"/>
      <c r="M27" s="971"/>
      <c r="N27" s="971"/>
    </row>
    <row r="28" spans="2:14">
      <c r="B28" s="970"/>
    </row>
    <row r="29" spans="2:14">
      <c r="B29" s="969" t="s">
        <v>1282</v>
      </c>
    </row>
    <row r="30" spans="2:14">
      <c r="B30" t="s">
        <v>1281</v>
      </c>
    </row>
    <row r="31" spans="2:14">
      <c r="B31" t="s">
        <v>1192</v>
      </c>
    </row>
    <row r="32" spans="2:14">
      <c r="B32" t="s">
        <v>1280</v>
      </c>
    </row>
    <row r="33" spans="2:2">
      <c r="B33" t="s">
        <v>1279</v>
      </c>
    </row>
    <row r="34" spans="2:2">
      <c r="B34" t="s">
        <v>1278</v>
      </c>
    </row>
    <row r="35" spans="2:2" ht="16.5" customHeight="1">
      <c r="B35" t="s">
        <v>1277</v>
      </c>
    </row>
    <row r="36" spans="2:2">
      <c r="B36" t="s">
        <v>1276</v>
      </c>
    </row>
  </sheetData>
  <mergeCells count="27">
    <mergeCell ref="H7:I7"/>
    <mergeCell ref="C3:N3"/>
    <mergeCell ref="H4:J4"/>
    <mergeCell ref="K4:L4"/>
    <mergeCell ref="H5:I5"/>
    <mergeCell ref="B6:N6"/>
    <mergeCell ref="H19:I19"/>
    <mergeCell ref="H8:I8"/>
    <mergeCell ref="B9:N9"/>
    <mergeCell ref="H10:I10"/>
    <mergeCell ref="H11:I11"/>
    <mergeCell ref="B12:N12"/>
    <mergeCell ref="I13:J13"/>
    <mergeCell ref="I14:J14"/>
    <mergeCell ref="I15:J15"/>
    <mergeCell ref="I16:J16"/>
    <mergeCell ref="B17:N17"/>
    <mergeCell ref="H18:I18"/>
    <mergeCell ref="D26:G26"/>
    <mergeCell ref="H26:I26"/>
    <mergeCell ref="H20:I20"/>
    <mergeCell ref="H21:I21"/>
    <mergeCell ref="H22:I22"/>
    <mergeCell ref="H23:I23"/>
    <mergeCell ref="C24:N24"/>
    <mergeCell ref="D25:G25"/>
    <mergeCell ref="H25:I25"/>
  </mergeCells>
  <hyperlinks>
    <hyperlink ref="C3" location="INDEX" display="Catalytic Hydroprocessing conf. 1" xr:uid="{BF0D666A-5916-4DD7-AFE4-61954B81C695}"/>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4790E-A7C4-4C46-A732-C18086B1EA51}">
  <sheetPr>
    <tabColor theme="4" tint="0.59999389629810485"/>
  </sheetPr>
  <dimension ref="B2:P51"/>
  <sheetViews>
    <sheetView showGridLines="0" topLeftCell="C1" workbookViewId="0">
      <selection activeCell="D9" sqref="D9"/>
    </sheetView>
  </sheetViews>
  <sheetFormatPr defaultRowHeight="14.4"/>
  <cols>
    <col min="1" max="1" width="2.109375" customWidth="1"/>
    <col min="2" max="2" width="41.44140625" bestFit="1" customWidth="1"/>
    <col min="3" max="3" width="39.88671875" customWidth="1"/>
  </cols>
  <sheetData>
    <row r="2" spans="2:16">
      <c r="C2" s="1012" t="s">
        <v>296</v>
      </c>
      <c r="D2" s="1408" t="s">
        <v>1316</v>
      </c>
      <c r="E2" s="1409"/>
      <c r="F2" s="1409"/>
      <c r="G2" s="1409"/>
      <c r="H2" s="1409"/>
      <c r="I2" s="1409"/>
      <c r="J2" s="1409"/>
      <c r="K2" s="1409"/>
      <c r="L2" s="1409"/>
      <c r="M2" s="1410"/>
      <c r="N2" s="1013"/>
    </row>
    <row r="3" spans="2:16">
      <c r="C3" s="1014"/>
      <c r="D3" s="1012">
        <v>2020</v>
      </c>
      <c r="E3" s="1012">
        <v>2030</v>
      </c>
      <c r="F3" s="1012">
        <v>2040</v>
      </c>
      <c r="G3" s="1012">
        <v>2050</v>
      </c>
      <c r="H3" s="1411" t="s">
        <v>290</v>
      </c>
      <c r="I3" s="1410"/>
      <c r="J3" s="1411" t="s">
        <v>289</v>
      </c>
      <c r="K3" s="1410"/>
      <c r="L3" s="1012" t="s">
        <v>288</v>
      </c>
      <c r="M3" s="1012" t="s">
        <v>287</v>
      </c>
      <c r="N3" s="1013"/>
    </row>
    <row r="4" spans="2:16">
      <c r="C4" s="1015"/>
      <c r="D4" s="1016"/>
      <c r="E4" s="1016"/>
      <c r="F4" s="1015"/>
      <c r="G4" s="1016"/>
      <c r="H4" s="1015" t="s">
        <v>284</v>
      </c>
      <c r="I4" s="1015" t="s">
        <v>283</v>
      </c>
      <c r="J4" s="1015" t="s">
        <v>284</v>
      </c>
      <c r="K4" s="1015" t="s">
        <v>283</v>
      </c>
      <c r="L4" s="1016"/>
      <c r="M4" s="1016"/>
      <c r="N4" s="1013"/>
    </row>
    <row r="5" spans="2:16">
      <c r="B5" t="str">
        <f>IF(IF(OR(LEFT(C5,27)=SUP_Biofuels!$N$8,LEFT(C5,20)=SUP_Biofuels!$O$8,LEFT(C5,20)=SUP_Biofuels!$P$8),LEFT(C5,20),C5)="Specific investment ","Specific investment (M€ /MW",IF(OR(LEFT(C5,27)=SUP_Biofuels!$N$8,LEFT(C5,20)=SUP_Biofuels!$O$8,LEFT(C5,20)=SUP_Biofuels!$P$8),LEFT(C5,20),C5))</f>
        <v>Energy/technical data</v>
      </c>
      <c r="C5" s="1017" t="s">
        <v>282</v>
      </c>
      <c r="D5" s="1018"/>
      <c r="E5" s="1018"/>
      <c r="F5" s="1018"/>
      <c r="G5" s="1018"/>
      <c r="H5" s="1018"/>
      <c r="I5" s="1018"/>
      <c r="J5" s="1018"/>
      <c r="K5" s="1018"/>
      <c r="L5" s="1018"/>
      <c r="M5" s="1019"/>
      <c r="N5" s="1013"/>
    </row>
    <row r="6" spans="2:16">
      <c r="B6" t="str">
        <f>IF(IF(OR(LEFT(C6,27)=SUP_Biofuels!$N$8,LEFT(C6,20)=SUP_Biofuels!$O$8,LEFT(C6,20)=SUP_Biofuels!$P$8),LEFT(C6,20),C6)="Specific investment ","Specific investment (M€ /MW",IF(OR(LEFT(C6,27)=SUP_Biofuels!$N$8,LEFT(C6,20)=SUP_Biofuels!$O$8,LEFT(C6,20)=SUP_Biofuels!$P$8),LEFT(C6,20),C6))</f>
        <v>Typical total plant size 1,000 kt FT Liquids/year</v>
      </c>
      <c r="C6" s="1020" t="s">
        <v>1317</v>
      </c>
      <c r="D6" s="1021">
        <v>2</v>
      </c>
      <c r="E6" s="1021">
        <v>13</v>
      </c>
      <c r="F6" s="1021">
        <v>41</v>
      </c>
      <c r="G6" s="1021">
        <v>165</v>
      </c>
      <c r="H6" s="1022">
        <v>0.5</v>
      </c>
      <c r="I6" s="1022">
        <v>1.5</v>
      </c>
      <c r="J6" s="1022">
        <v>0.5</v>
      </c>
      <c r="K6" s="1022">
        <v>1.5</v>
      </c>
      <c r="L6" s="1021" t="s">
        <v>1318</v>
      </c>
      <c r="M6" s="1021" t="s">
        <v>1319</v>
      </c>
      <c r="N6" s="1013"/>
    </row>
    <row r="7" spans="2:16">
      <c r="B7" t="str">
        <f>IF(IF(OR(LEFT(C7,27)=SUP_Biofuels!$N$8,LEFT(C7,20)=SUP_Biofuels!$O$8,LEFT(C7,20)=SUP_Biofuels!$P$8),LEFT(C7,20),C7)="Specific investment ","Specific investment (M€ /MW",IF(OR(LEFT(C7,27)=SUP_Biofuels!$N$8,LEFT(C7,20)=SUP_Biofuels!$O$8,LEFT(C7,20)=SUP_Biofuels!$P$8),LEFT(C7,20),C7))</f>
        <v>Typical total plant size, MW Output</v>
      </c>
      <c r="C7" s="1023" t="s">
        <v>1320</v>
      </c>
      <c r="D7" s="1024">
        <v>3.1</v>
      </c>
      <c r="E7" s="1024">
        <v>20.5</v>
      </c>
      <c r="F7" s="1024">
        <v>64.5</v>
      </c>
      <c r="G7" s="1024">
        <v>259.60000000000002</v>
      </c>
      <c r="H7" s="1025">
        <v>0.5</v>
      </c>
      <c r="I7" s="1025">
        <v>1.5</v>
      </c>
      <c r="J7" s="1025">
        <v>0.5</v>
      </c>
      <c r="K7" s="1025">
        <v>1.5</v>
      </c>
      <c r="L7" s="1024" t="s">
        <v>1321</v>
      </c>
      <c r="M7" s="1024" t="s">
        <v>1322</v>
      </c>
      <c r="N7" s="1013"/>
    </row>
    <row r="8" spans="2:16">
      <c r="B8" t="str">
        <f>IF(IF(OR(LEFT(C8,27)=SUP_Biofuels!$N$8,LEFT(C8,20)=SUP_Biofuels!$O$8,LEFT(C8,20)=SUP_Biofuels!$P$8),LEFT(C8,20),C8)="Specific investment ","Specific investment (M€ /MW",IF(OR(LEFT(C8,27)=SUP_Biofuels!$N$8,LEFT(C8,20)=SUP_Biofuels!$O$8,LEFT(C8,20)=SUP_Biofuels!$P$8),LEFT(C8,20),C8))</f>
        <v>Inputs</v>
      </c>
      <c r="C8" s="1026" t="s">
        <v>275</v>
      </c>
      <c r="D8" s="1018"/>
      <c r="E8" s="1018"/>
      <c r="F8" s="1018"/>
      <c r="G8" s="1018"/>
      <c r="H8" s="1018"/>
      <c r="I8" s="1018"/>
      <c r="J8" s="1018"/>
      <c r="K8" s="1027"/>
      <c r="L8" s="1018"/>
      <c r="M8" s="1019"/>
      <c r="N8" s="1013"/>
      <c r="O8">
        <v>3.9</v>
      </c>
      <c r="P8" t="s">
        <v>1773</v>
      </c>
    </row>
    <row r="9" spans="2:16">
      <c r="B9" t="str">
        <f>IF(IF(OR(LEFT(C9,27)=SUP_Biofuels!$N$8,LEFT(C9,20)=SUP_Biofuels!$O$8,LEFT(C9,20)=SUP_Biofuels!$P$8),LEFT(C9,20),C9)="Specific investment ","Specific investment (M€ /MW",IF(OR(LEFT(C9,27)=SUP_Biofuels!$N$8,LEFT(C9,20)=SUP_Biofuels!$O$8,LEFT(C9,20)=SUP_Biofuels!$P$8),LEFT(C9,20),C9))</f>
        <v>CO2 Consumption, t/t FT Liquids</v>
      </c>
      <c r="C9" s="1020" t="s">
        <v>1323</v>
      </c>
      <c r="D9" s="1021">
        <v>4.3</v>
      </c>
      <c r="E9" s="1021">
        <v>3.9</v>
      </c>
      <c r="F9" s="1021">
        <v>3.6</v>
      </c>
      <c r="G9" s="1021">
        <v>3.3</v>
      </c>
      <c r="H9" s="1022">
        <v>1</v>
      </c>
      <c r="I9" s="1022">
        <v>1.1000000000000001</v>
      </c>
      <c r="J9" s="1022">
        <v>1</v>
      </c>
      <c r="K9" s="1022">
        <v>1.1000000000000001</v>
      </c>
      <c r="L9" s="1021" t="s">
        <v>1324</v>
      </c>
      <c r="M9" s="1020"/>
      <c r="N9" s="1013"/>
      <c r="O9">
        <v>40</v>
      </c>
      <c r="P9" t="s">
        <v>1774</v>
      </c>
    </row>
    <row r="10" spans="2:16">
      <c r="B10" t="str">
        <f>IF(IF(OR(LEFT(C10,27)=SUP_Biofuels!$N$8,LEFT(C10,20)=SUP_Biofuels!$O$8,LEFT(C10,20)=SUP_Biofuels!$P$8),LEFT(C10,20),C10)="Specific investment ","Specific investment (M€ /MW",IF(OR(LEFT(C10,27)=SUP_Biofuels!$N$8,LEFT(C10,20)=SUP_Biofuels!$O$8,LEFT(C10,20)=SUP_Biofuels!$P$8),LEFT(C10,20),C10))</f>
        <v>Hydrogen Consumption, MWh/MWh Total Inputs</v>
      </c>
      <c r="C10" s="1028" t="s">
        <v>103</v>
      </c>
      <c r="D10" s="1029">
        <v>0.995</v>
      </c>
      <c r="E10" s="1029">
        <v>0.995</v>
      </c>
      <c r="F10" s="1029">
        <v>0.995</v>
      </c>
      <c r="G10" s="1029">
        <v>0.995</v>
      </c>
      <c r="H10" s="1030">
        <v>0.75</v>
      </c>
      <c r="I10" s="1030">
        <v>1.25</v>
      </c>
      <c r="J10" s="1030">
        <v>0.75</v>
      </c>
      <c r="K10" s="1030">
        <v>1.25</v>
      </c>
      <c r="L10" s="1029" t="s">
        <v>1325</v>
      </c>
      <c r="M10" s="1029"/>
      <c r="N10" s="1013"/>
    </row>
    <row r="11" spans="2:16">
      <c r="B11" t="str">
        <f>IF(IF(OR(LEFT(C11,27)=SUP_Biofuels!$N$8,LEFT(C11,20)=SUP_Biofuels!$O$8,LEFT(C11,20)=SUP_Biofuels!$P$8),LEFT(C11,20),C11)="Specific investment ","Specific investment (M€ /MW",IF(OR(LEFT(C11,27)=SUP_Biofuels!$N$8,LEFT(C11,20)=SUP_Biofuels!$O$8,LEFT(C11,20)=SUP_Biofuels!$P$8),LEFT(C11,20),C11))</f>
        <v>Power Consumption, MWh/MWh Total Inputs</v>
      </c>
      <c r="C11" s="1023" t="s">
        <v>1326</v>
      </c>
      <c r="D11" s="1024">
        <v>5.0000000000000001E-3</v>
      </c>
      <c r="E11" s="1024">
        <v>5.0000000000000001E-3</v>
      </c>
      <c r="F11" s="1024">
        <v>5.0000000000000001E-3</v>
      </c>
      <c r="G11" s="1024">
        <v>5.0000000000000001E-3</v>
      </c>
      <c r="H11" s="1025">
        <v>0.75</v>
      </c>
      <c r="I11" s="1025">
        <v>1.25</v>
      </c>
      <c r="J11" s="1025">
        <v>0.75</v>
      </c>
      <c r="K11" s="1025">
        <v>1.25</v>
      </c>
      <c r="L11" s="1024" t="s">
        <v>266</v>
      </c>
      <c r="M11" s="1024"/>
      <c r="N11" s="1013"/>
    </row>
    <row r="12" spans="2:16">
      <c r="B12" t="str">
        <f>IF(IF(OR(LEFT(C12,27)=SUP_Biofuels!$N$8,LEFT(C12,20)=SUP_Biofuels!$O$8,LEFT(C12,20)=SUP_Biofuels!$P$8),LEFT(C12,20),C12)="Specific investment ","Specific investment (M€ /MW",IF(OR(LEFT(C12,27)=SUP_Biofuels!$N$8,LEFT(C12,20)=SUP_Biofuels!$O$8,LEFT(C12,20)=SUP_Biofuels!$P$8),LEFT(C12,20),C12))</f>
        <v>Outputs</v>
      </c>
      <c r="C12" s="1017" t="s">
        <v>271</v>
      </c>
      <c r="D12" s="1018"/>
      <c r="E12" s="1018"/>
      <c r="F12" s="1018"/>
      <c r="G12" s="1018"/>
      <c r="H12" s="1018"/>
      <c r="I12" s="1018"/>
      <c r="J12" s="1018"/>
      <c r="K12" s="1027"/>
      <c r="L12" s="1018"/>
      <c r="M12" s="1019"/>
      <c r="N12" s="1013"/>
    </row>
    <row r="13" spans="2:16">
      <c r="B13" t="str">
        <f>IF(IF(OR(LEFT(C13,27)=SUP_Biofuels!$N$8,LEFT(C13,20)=SUP_Biofuels!$O$8,LEFT(C13,20)=SUP_Biofuels!$P$8),LEFT(C13,20),C13)="Specific investment ","Specific investment (M€ /MW",IF(OR(LEFT(C13,27)=SUP_Biofuels!$N$8,LEFT(C13,20)=SUP_Biofuels!$O$8,LEFT(C13,20)=SUP_Biofuels!$P$8),LEFT(C13,20),C13))</f>
        <v>FT Liquids Output, MWh/MWh Total Input</v>
      </c>
      <c r="C13" s="1020" t="s">
        <v>1327</v>
      </c>
      <c r="D13" s="1021">
        <v>0.65</v>
      </c>
      <c r="E13" s="1021">
        <v>0.7</v>
      </c>
      <c r="F13" s="1021">
        <v>0.73</v>
      </c>
      <c r="G13" s="1021">
        <v>0.75</v>
      </c>
      <c r="H13" s="1022">
        <v>0.8</v>
      </c>
      <c r="I13" s="1022">
        <v>1.2</v>
      </c>
      <c r="J13" s="1022">
        <v>0.8</v>
      </c>
      <c r="K13" s="1022">
        <v>1.2</v>
      </c>
      <c r="L13" s="1021" t="s">
        <v>1328</v>
      </c>
      <c r="M13" s="1021" t="s">
        <v>1329</v>
      </c>
    </row>
    <row r="14" spans="2:16">
      <c r="B14" t="str">
        <f>IF(IF(OR(LEFT(C14,27)=SUP_Biofuels!$N$8,LEFT(C14,20)=SUP_Biofuels!$O$8,LEFT(C14,20)=SUP_Biofuels!$P$8),LEFT(C14,20),C14)="Specific investment ","Specific investment (M€ /MW",IF(OR(LEFT(C14,27)=SUP_Biofuels!$N$8,LEFT(C14,20)=SUP_Biofuels!$O$8,LEFT(C14,20)=SUP_Biofuels!$P$8),LEFT(C14,20),C14))</f>
        <v>District Heat  Output, MWh/MWh Total Input</v>
      </c>
      <c r="C14" s="1028" t="s">
        <v>1330</v>
      </c>
      <c r="D14" s="1029">
        <v>0.25</v>
      </c>
      <c r="E14" s="1029">
        <v>0.2</v>
      </c>
      <c r="F14" s="1029">
        <v>0.17</v>
      </c>
      <c r="G14" s="1029">
        <v>0.15</v>
      </c>
      <c r="H14" s="1030">
        <v>0.8</v>
      </c>
      <c r="I14" s="1030">
        <v>1.2</v>
      </c>
      <c r="J14" s="1030">
        <v>0.8</v>
      </c>
      <c r="K14" s="1030">
        <v>1.2</v>
      </c>
      <c r="L14" s="1029" t="s">
        <v>393</v>
      </c>
      <c r="M14" s="1028"/>
    </row>
    <row r="15" spans="2:16">
      <c r="B15">
        <f>IF(IF(OR(LEFT(C15,27)=SUP_Biofuels!$N$8,LEFT(C15,20)=SUP_Biofuels!$O$8,LEFT(C15,20)=SUP_Biofuels!$P$8),LEFT(C15,20),C15)="Specific investment ","Specific investment (M€ /MW",IF(OR(LEFT(C15,27)=SUP_Biofuels!$N$8,LEFT(C15,20)=SUP_Biofuels!$O$8,LEFT(C15,20)=SUP_Biofuels!$P$8),LEFT(C15,20),C15))</f>
        <v>0</v>
      </c>
      <c r="C15" s="1028"/>
      <c r="D15" s="1029"/>
      <c r="E15" s="1029"/>
      <c r="F15" s="1029"/>
      <c r="G15" s="1029"/>
      <c r="H15" s="1029"/>
      <c r="I15" s="1029"/>
      <c r="J15" s="1029"/>
      <c r="K15" s="1028"/>
      <c r="L15" s="1029"/>
      <c r="M15" s="1028"/>
    </row>
    <row r="16" spans="2:16">
      <c r="B16" t="str">
        <f>IF(IF(OR(LEFT(C16,27)=SUP_Biofuels!$N$8,LEFT(C16,20)=SUP_Biofuels!$O$8,LEFT(C16,20)=SUP_Biofuels!$P$8),LEFT(C16,20),C16)="Specific investment ","Specific investment (M€ /MW",IF(OR(LEFT(C16,27)=SUP_Biofuels!$N$8,LEFT(C16,20)=SUP_Biofuels!$O$8,LEFT(C16,20)=SUP_Biofuels!$P$8),LEFT(C16,20),C16))</f>
        <v>Forced outage (%)</v>
      </c>
      <c r="C16" s="1028" t="s">
        <v>59</v>
      </c>
      <c r="D16" s="1029">
        <v>0</v>
      </c>
      <c r="E16" s="1029">
        <v>0</v>
      </c>
      <c r="F16" s="1029">
        <v>0</v>
      </c>
      <c r="G16" s="1029">
        <v>0</v>
      </c>
      <c r="H16" s="1029"/>
      <c r="I16" s="1029"/>
      <c r="J16" s="1029"/>
      <c r="K16" s="1028"/>
      <c r="L16" s="1029" t="s">
        <v>675</v>
      </c>
      <c r="M16" s="1028"/>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028" t="s">
        <v>92</v>
      </c>
      <c r="D17" s="1029">
        <v>3</v>
      </c>
      <c r="E17" s="1028"/>
      <c r="F17" s="1028"/>
      <c r="G17" s="1028"/>
      <c r="H17" s="1029"/>
      <c r="I17" s="1029"/>
      <c r="J17" s="1029"/>
      <c r="K17" s="1028"/>
      <c r="L17" s="1029"/>
      <c r="M17" s="1029">
        <v>18</v>
      </c>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028" t="s">
        <v>58</v>
      </c>
      <c r="D18" s="1029">
        <v>25</v>
      </c>
      <c r="E18" s="1028"/>
      <c r="F18" s="1028"/>
      <c r="G18" s="1028"/>
      <c r="H18" s="1029"/>
      <c r="I18" s="1029"/>
      <c r="J18" s="1029"/>
      <c r="K18" s="1028"/>
      <c r="L18" s="1029"/>
      <c r="M18" s="1028"/>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023" t="s">
        <v>60</v>
      </c>
      <c r="D19" s="1024">
        <v>2</v>
      </c>
      <c r="E19" s="1023"/>
      <c r="F19" s="1023"/>
      <c r="G19" s="1023"/>
      <c r="H19" s="1024"/>
      <c r="I19" s="1024"/>
      <c r="J19" s="1024"/>
      <c r="K19" s="1023"/>
      <c r="L19" s="1024"/>
      <c r="M19" s="1023"/>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017" t="s">
        <v>264</v>
      </c>
      <c r="D20" s="1018"/>
      <c r="E20" s="1018"/>
      <c r="F20" s="1018"/>
      <c r="G20" s="1018"/>
      <c r="H20" s="1018"/>
      <c r="I20" s="1018"/>
      <c r="J20" s="1018"/>
      <c r="K20" s="1018"/>
      <c r="L20" s="1018"/>
      <c r="M20" s="1019"/>
      <c r="N20" s="1013"/>
    </row>
    <row r="21" spans="2:14" ht="20.399999999999999">
      <c r="B21" t="str">
        <f>IF(IF(OR(LEFT(C21,27)=SUP_Biofuels!$N$8,LEFT(C21,20)=SUP_Biofuels!$O$8,LEFT(C21,20)=SUP_Biofuels!$P$8),LEFT(C21,20),C21)="Specific investment ","Specific investment (M€ /MW",IF(OR(LEFT(C21,27)=SUP_Biofuels!$N$8,LEFT(C21,20)=SUP_Biofuels!$O$8,LEFT(C21,20)=SUP_Biofuels!$P$8),LEFT(C21,20),C21))</f>
        <v>Specific investment (M€ /MW</v>
      </c>
      <c r="C21" s="1020" t="s">
        <v>1331</v>
      </c>
      <c r="D21" s="1031">
        <v>2.1</v>
      </c>
      <c r="E21" s="1031">
        <v>1.6</v>
      </c>
      <c r="F21" s="1031">
        <v>1.1000000000000001</v>
      </c>
      <c r="G21" s="1031">
        <v>0.9</v>
      </c>
      <c r="H21" s="1022">
        <v>0.75</v>
      </c>
      <c r="I21" s="1022">
        <v>1.5</v>
      </c>
      <c r="J21" s="1022">
        <v>0.75</v>
      </c>
      <c r="K21" s="1022">
        <v>1.25</v>
      </c>
      <c r="L21" s="1021" t="s">
        <v>1332</v>
      </c>
      <c r="M21" s="1021" t="s">
        <v>1333</v>
      </c>
      <c r="N21" s="1013"/>
    </row>
    <row r="22" spans="2:14">
      <c r="B22" t="str">
        <f>LEFT(C22,17)</f>
        <v xml:space="preserve"> - equipment (%)</v>
      </c>
      <c r="C22" s="1028" t="s">
        <v>394</v>
      </c>
      <c r="D22" s="1029">
        <v>75</v>
      </c>
      <c r="E22" s="1029">
        <v>75</v>
      </c>
      <c r="F22" s="1029">
        <v>75</v>
      </c>
      <c r="G22" s="1029">
        <v>75</v>
      </c>
      <c r="H22" s="1014"/>
      <c r="I22" s="1014"/>
      <c r="J22" s="1014"/>
      <c r="K22" s="1032"/>
      <c r="L22" s="1029" t="s">
        <v>671</v>
      </c>
      <c r="M22" s="1029"/>
      <c r="N22" s="1013"/>
    </row>
    <row r="23" spans="2:14">
      <c r="B23" t="str">
        <f>LEFT(C23,17)</f>
        <v xml:space="preserve"> -installation (%</v>
      </c>
      <c r="C23" s="1028" t="s">
        <v>251</v>
      </c>
      <c r="D23" s="1029">
        <v>25</v>
      </c>
      <c r="E23" s="1029">
        <v>25</v>
      </c>
      <c r="F23" s="1029">
        <v>25</v>
      </c>
      <c r="G23" s="1029">
        <v>25</v>
      </c>
      <c r="H23" s="1014"/>
      <c r="I23" s="1014"/>
      <c r="J23" s="1014"/>
      <c r="K23" s="1032"/>
      <c r="L23" s="1029"/>
      <c r="M23" s="1029"/>
      <c r="N23" s="1013"/>
    </row>
    <row r="24" spans="2:14">
      <c r="B24" t="str">
        <f>LEFT(C24,17)</f>
        <v>Fixed O&amp;M (M€ /MW</v>
      </c>
      <c r="C24" s="1028" t="s">
        <v>1416</v>
      </c>
      <c r="D24" s="1033">
        <f>16.9/1000000</f>
        <v>1.6899999999999997E-5</v>
      </c>
      <c r="E24" s="1033">
        <f>12.7/1000000</f>
        <v>1.2699999999999999E-5</v>
      </c>
      <c r="F24" s="1033">
        <f>8.5/1000000</f>
        <v>8.4999999999999999E-6</v>
      </c>
      <c r="G24" s="1033">
        <f>7.4/1000000</f>
        <v>7.4000000000000003E-6</v>
      </c>
      <c r="H24" s="1030">
        <v>0.9</v>
      </c>
      <c r="I24" s="1030">
        <v>1.1000000000000001</v>
      </c>
      <c r="J24" s="1030">
        <v>0.9</v>
      </c>
      <c r="K24" s="1030">
        <v>1.1000000000000001</v>
      </c>
      <c r="L24" s="1029" t="s">
        <v>786</v>
      </c>
      <c r="M24" s="1029">
        <v>18</v>
      </c>
      <c r="N24" s="1013"/>
    </row>
    <row r="25" spans="2:14">
      <c r="B25" t="str">
        <f>LEFT(C25,19)</f>
        <v>Variable O&amp;M (€ /MW</v>
      </c>
      <c r="C25" s="1028" t="s">
        <v>1334</v>
      </c>
      <c r="D25" s="1033">
        <v>5.3</v>
      </c>
      <c r="E25" s="1033">
        <v>4.2</v>
      </c>
      <c r="F25" s="1033">
        <v>3.2</v>
      </c>
      <c r="G25" s="1033">
        <v>2.1</v>
      </c>
      <c r="H25" s="1030">
        <v>0.9</v>
      </c>
      <c r="I25" s="1030">
        <v>1.1000000000000001</v>
      </c>
      <c r="J25" s="1030">
        <v>0.9</v>
      </c>
      <c r="K25" s="1030">
        <v>1.1000000000000001</v>
      </c>
      <c r="L25" s="1029" t="s">
        <v>1335</v>
      </c>
      <c r="M25" s="1029">
        <v>26</v>
      </c>
      <c r="N25" s="1013"/>
    </row>
    <row r="26" spans="2:14">
      <c r="B26" t="str">
        <f>IF(IF(OR(LEFT(C26,27)=SUP_Biofuels!$N$8,LEFT(C26,20)=SUP_Biofuels!$O$8,LEFT(C26,20)=SUP_Biofuels!$P$8),LEFT(C26,20),C26)="Specific investment ","Specific investment (M€ /MW",IF(OR(LEFT(C26,27)=SUP_Biofuels!$N$8,LEFT(C26,20)=SUP_Biofuels!$O$8,LEFT(C26,20)=SUP_Biofuels!$P$8),LEFT(C26,20),C26))</f>
        <v>Start up (€ /l FT Liquids)</v>
      </c>
      <c r="C26" s="1023" t="s">
        <v>1336</v>
      </c>
      <c r="D26" s="1024">
        <v>0</v>
      </c>
      <c r="E26" s="1024">
        <v>0</v>
      </c>
      <c r="F26" s="1024">
        <v>0</v>
      </c>
      <c r="G26" s="1024">
        <v>0</v>
      </c>
      <c r="H26" s="1024"/>
      <c r="I26" s="1024"/>
      <c r="J26" s="1024"/>
      <c r="K26" s="1023"/>
      <c r="L26" s="1024"/>
      <c r="M26" s="1024"/>
      <c r="N26" s="1013"/>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017" t="s">
        <v>260</v>
      </c>
      <c r="D27" s="1034"/>
      <c r="E27" s="1034"/>
      <c r="F27" s="1034"/>
      <c r="G27" s="1034"/>
      <c r="H27" s="1034"/>
      <c r="I27" s="1034"/>
      <c r="J27" s="1034"/>
      <c r="K27" s="1034"/>
      <c r="L27" s="1034"/>
      <c r="M27" s="1035"/>
      <c r="N27" s="1013"/>
    </row>
    <row r="28" spans="2:14" ht="20.399999999999999">
      <c r="B28" t="str">
        <f>IF(IF(OR(LEFT(C28,27)=SUP_Biofuels!$N$8,LEFT(C28,20)=SUP_Biofuels!$O$8,LEFT(C28,20)=SUP_Biofuels!$P$8),LEFT(C28,20),C28)="Specific investment ","Specific investment (M€ /MW",IF(OR(LEFT(C28,27)=SUP_Biofuels!$N$8,LEFT(C28,20)=SUP_Biofuels!$O$8,LEFT(C28,20)=SUP_Biofuels!$P$8),LEFT(C28,20),C28))</f>
        <v>Specific investment (€ /l FT Liquids/year)</v>
      </c>
      <c r="C28" s="1020" t="s">
        <v>1337</v>
      </c>
      <c r="D28" s="1021">
        <v>3.3</v>
      </c>
      <c r="E28" s="1021">
        <v>2.5</v>
      </c>
      <c r="F28" s="1021">
        <v>1.7</v>
      </c>
      <c r="G28" s="1021">
        <v>1.4</v>
      </c>
      <c r="H28" s="1022">
        <v>0.75</v>
      </c>
      <c r="I28" s="1022">
        <v>1.5</v>
      </c>
      <c r="J28" s="1022">
        <v>0.75</v>
      </c>
      <c r="K28" s="1022">
        <v>1.25</v>
      </c>
      <c r="L28" s="1021" t="s">
        <v>1332</v>
      </c>
      <c r="M28" s="1021" t="s">
        <v>1333</v>
      </c>
      <c r="N28" s="1013"/>
    </row>
    <row r="29" spans="2:14">
      <c r="B29" t="str">
        <f>IF(IF(OR(LEFT(C29,27)=SUP_Biofuels!$N$8,LEFT(C29,20)=SUP_Biofuels!$O$8,LEFT(C29,20)=SUP_Biofuels!$P$8),LEFT(C29,20),C29)="Specific investment ","Specific investment (M€ /MW",IF(OR(LEFT(C29,27)=SUP_Biofuels!$N$8,LEFT(C29,20)=SUP_Biofuels!$O$8,LEFT(C29,20)=SUP_Biofuels!$P$8),LEFT(C29,20),C29))</f>
        <v xml:space="preserve"> - equipment (%)</v>
      </c>
      <c r="C29" s="1028" t="s">
        <v>394</v>
      </c>
      <c r="D29" s="1029">
        <v>75</v>
      </c>
      <c r="E29" s="1029">
        <v>75</v>
      </c>
      <c r="F29" s="1029">
        <v>75</v>
      </c>
      <c r="G29" s="1029">
        <v>75</v>
      </c>
      <c r="H29" s="1029"/>
      <c r="I29" s="1029"/>
      <c r="J29" s="1029"/>
      <c r="K29" s="1029"/>
      <c r="L29" s="1029" t="s">
        <v>671</v>
      </c>
      <c r="M29" s="1029"/>
      <c r="N29" s="1013"/>
    </row>
    <row r="30" spans="2:14">
      <c r="B30" t="str">
        <f>IF(IF(OR(LEFT(C30,27)=SUP_Biofuels!$N$8,LEFT(C30,20)=SUP_Biofuels!$O$8,LEFT(C30,20)=SUP_Biofuels!$P$8),LEFT(C30,20),C30)="Specific investment ","Specific investment (M€ /MW",IF(OR(LEFT(C30,27)=SUP_Biofuels!$N$8,LEFT(C30,20)=SUP_Biofuels!$O$8,LEFT(C30,20)=SUP_Biofuels!$P$8),LEFT(C30,20),C30))</f>
        <v xml:space="preserve"> -installation (%)</v>
      </c>
      <c r="C30" s="1028" t="s">
        <v>251</v>
      </c>
      <c r="D30" s="1029">
        <v>25</v>
      </c>
      <c r="E30" s="1029">
        <v>25</v>
      </c>
      <c r="F30" s="1029">
        <v>25</v>
      </c>
      <c r="G30" s="1029">
        <v>25</v>
      </c>
      <c r="H30" s="1029"/>
      <c r="I30" s="1029"/>
      <c r="J30" s="1029"/>
      <c r="K30" s="1029"/>
      <c r="L30" s="1029"/>
      <c r="M30" s="1029"/>
      <c r="N30" s="1013"/>
    </row>
    <row r="31" spans="2:14">
      <c r="B31" t="str">
        <f>IF(IF(OR(LEFT(C31,27)=SUP_Biofuels!$N$8,LEFT(C31,20)=SUP_Biofuels!$O$8,LEFT(C31,20)=SUP_Biofuels!$P$8),LEFT(C31,20),C31)="Specific investment ","Specific investment (M€ /MW",IF(OR(LEFT(C31,27)=SUP_Biofuels!$N$8,LEFT(C31,20)=SUP_Biofuels!$O$8,LEFT(C31,20)=SUP_Biofuels!$P$8),LEFT(C31,20),C31))</f>
        <v>Fixed O&amp;M (€ /l FT Liquids)</v>
      </c>
      <c r="C31" s="1028" t="s">
        <v>1338</v>
      </c>
      <c r="D31" s="1033">
        <v>0.16</v>
      </c>
      <c r="E31" s="1033">
        <v>0.12</v>
      </c>
      <c r="F31" s="1033">
        <v>0.08</v>
      </c>
      <c r="G31" s="1033">
        <v>7.0000000000000007E-2</v>
      </c>
      <c r="H31" s="1030">
        <v>0.9</v>
      </c>
      <c r="I31" s="1030">
        <v>1.1000000000000001</v>
      </c>
      <c r="J31" s="1030">
        <v>0.9</v>
      </c>
      <c r="K31" s="1030">
        <v>1.1000000000000001</v>
      </c>
      <c r="L31" s="1029" t="s">
        <v>786</v>
      </c>
      <c r="M31" s="1029">
        <v>18</v>
      </c>
      <c r="N31" s="1013"/>
    </row>
    <row r="32" spans="2:14">
      <c r="B32" t="str">
        <f>IF(IF(OR(LEFT(C32,27)=SUP_Biofuels!$N$8,LEFT(C32,20)=SUP_Biofuels!$O$8,LEFT(C32,20)=SUP_Biofuels!$P$8),LEFT(C32,20),C32)="Specific investment ","Specific investment (M€ /MW",IF(OR(LEFT(C32,27)=SUP_Biofuels!$N$8,LEFT(C32,20)=SUP_Biofuels!$O$8,LEFT(C32,20)=SUP_Biofuels!$P$8),LEFT(C32,20),C32))</f>
        <v>Variable O&amp;M (€ /l FT Liquids)</v>
      </c>
      <c r="C32" s="1028" t="s">
        <v>1339</v>
      </c>
      <c r="D32" s="1033">
        <v>0.05</v>
      </c>
      <c r="E32" s="1033">
        <v>0.04</v>
      </c>
      <c r="F32" s="1033">
        <v>0.03</v>
      </c>
      <c r="G32" s="1033">
        <v>0.02</v>
      </c>
      <c r="H32" s="1030">
        <v>0.9</v>
      </c>
      <c r="I32" s="1030">
        <v>1.1000000000000001</v>
      </c>
      <c r="J32" s="1030">
        <v>0.9</v>
      </c>
      <c r="K32" s="1030">
        <v>1.1000000000000001</v>
      </c>
      <c r="L32" s="1029" t="s">
        <v>1335</v>
      </c>
      <c r="M32" s="1029">
        <v>26</v>
      </c>
      <c r="N32" s="1013"/>
    </row>
    <row r="33" spans="3:14">
      <c r="C33" s="1028" t="s">
        <v>1336</v>
      </c>
      <c r="D33" s="1029">
        <v>0</v>
      </c>
      <c r="E33" s="1029">
        <v>0</v>
      </c>
      <c r="F33" s="1029">
        <v>0</v>
      </c>
      <c r="G33" s="1029">
        <v>0</v>
      </c>
      <c r="H33" s="1029"/>
      <c r="I33" s="1029"/>
      <c r="J33" s="1029"/>
      <c r="K33" s="1028"/>
      <c r="L33" s="1029"/>
      <c r="M33" s="1029"/>
      <c r="N33" s="1013"/>
    </row>
    <row r="36" spans="3:14">
      <c r="C36" s="1036" t="s">
        <v>1340</v>
      </c>
    </row>
    <row r="37" spans="3:14">
      <c r="C37" t="s">
        <v>1341</v>
      </c>
    </row>
    <row r="38" spans="3:14">
      <c r="C38" t="s">
        <v>1342</v>
      </c>
    </row>
    <row r="39" spans="3:14">
      <c r="C39" t="s">
        <v>1343</v>
      </c>
    </row>
    <row r="40" spans="3:14">
      <c r="C40" t="s">
        <v>1344</v>
      </c>
    </row>
    <row r="41" spans="3:14">
      <c r="C41" t="s">
        <v>1345</v>
      </c>
    </row>
    <row r="42" spans="3:14">
      <c r="C42" t="s">
        <v>1346</v>
      </c>
    </row>
    <row r="43" spans="3:14">
      <c r="C43" t="s">
        <v>1347</v>
      </c>
    </row>
    <row r="44" spans="3:14">
      <c r="C44" t="s">
        <v>1348</v>
      </c>
    </row>
    <row r="45" spans="3:14">
      <c r="C45" t="s">
        <v>1349</v>
      </c>
    </row>
    <row r="46" spans="3:14">
      <c r="C46" t="s">
        <v>1350</v>
      </c>
    </row>
    <row r="47" spans="3:14">
      <c r="C47" t="s">
        <v>1351</v>
      </c>
    </row>
    <row r="48" spans="3:14">
      <c r="C48" t="s">
        <v>1352</v>
      </c>
    </row>
    <row r="49" spans="3:3">
      <c r="C49" t="s">
        <v>1353</v>
      </c>
    </row>
    <row r="50" spans="3:3">
      <c r="C50" t="s">
        <v>1354</v>
      </c>
    </row>
    <row r="51" spans="3:3">
      <c r="C51" t="s">
        <v>1355</v>
      </c>
    </row>
  </sheetData>
  <mergeCells count="3">
    <mergeCell ref="D2:M2"/>
    <mergeCell ref="H3:I3"/>
    <mergeCell ref="J3:K3"/>
  </mergeCells>
  <hyperlinks>
    <hyperlink ref="D2" location="INDEX" display="Hydrogen to Jet Fuel" xr:uid="{244EA4B6-2352-4FC1-B5C9-FE955F339CF7}"/>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2CE9-4148-449A-9B8D-27507259F3E4}">
  <sheetPr>
    <tabColor theme="4" tint="0.59999389629810485"/>
  </sheetPr>
  <dimension ref="A1:N49"/>
  <sheetViews>
    <sheetView showGridLines="0" zoomScale="115" zoomScaleNormal="115" workbookViewId="0">
      <selection activeCell="E9" sqref="E9"/>
    </sheetView>
  </sheetViews>
  <sheetFormatPr defaultRowHeight="14.4"/>
  <cols>
    <col min="1" max="1" width="2.109375" customWidth="1"/>
    <col min="2" max="2" width="35.88671875" bestFit="1" customWidth="1"/>
    <col min="3" max="3" width="39.88671875" customWidth="1"/>
  </cols>
  <sheetData>
    <row r="1" spans="1:14">
      <c r="A1" s="1037"/>
    </row>
    <row r="2" spans="1:14">
      <c r="C2" s="883" t="s">
        <v>296</v>
      </c>
      <c r="D2" s="1414" t="s">
        <v>1356</v>
      </c>
      <c r="E2" s="1415"/>
      <c r="F2" s="1415"/>
      <c r="G2" s="1415"/>
      <c r="H2" s="1415"/>
      <c r="I2" s="1415"/>
      <c r="J2" s="1415"/>
      <c r="K2" s="1415"/>
      <c r="L2" s="1415"/>
      <c r="M2" s="1415"/>
      <c r="N2" s="1013"/>
    </row>
    <row r="3" spans="1:14" ht="15" customHeight="1">
      <c r="C3" s="1038"/>
      <c r="D3" s="883">
        <v>2020</v>
      </c>
      <c r="E3" s="883">
        <v>2030</v>
      </c>
      <c r="F3" s="883">
        <v>2040</v>
      </c>
      <c r="G3" s="883">
        <v>2050</v>
      </c>
      <c r="H3" s="1416" t="s">
        <v>290</v>
      </c>
      <c r="I3" s="1416"/>
      <c r="J3" s="1416" t="s">
        <v>289</v>
      </c>
      <c r="K3" s="1416"/>
      <c r="L3" s="883" t="s">
        <v>288</v>
      </c>
      <c r="M3" s="883" t="s">
        <v>287</v>
      </c>
      <c r="N3" s="1013"/>
    </row>
    <row r="4" spans="1:14">
      <c r="C4" s="883"/>
      <c r="D4" s="1038"/>
      <c r="E4" s="1038"/>
      <c r="F4" s="883"/>
      <c r="G4" s="1038"/>
      <c r="H4" s="1039" t="s">
        <v>284</v>
      </c>
      <c r="I4" s="1039" t="s">
        <v>283</v>
      </c>
      <c r="J4" s="1039" t="s">
        <v>284</v>
      </c>
      <c r="K4" s="1039" t="s">
        <v>283</v>
      </c>
      <c r="L4" s="1038"/>
      <c r="M4" s="1038"/>
      <c r="N4" s="1013"/>
    </row>
    <row r="5" spans="1:14" ht="18" customHeight="1">
      <c r="B5" t="str">
        <f>IF(IF(OR(LEFT(C5,27)=SUP_Biofuels!$N$8,LEFT(C5,20)=SUP_Biofuels!$O$8,LEFT(C5,20)=SUP_Biofuels!$P$8),LEFT(C5,20),C5)="Specific investment ","Specific investment (M€ /MW",IF(OR(LEFT(C5,27)=SUP_Biofuels!$N$8,LEFT(C5,20)=SUP_Biofuels!$O$8,LEFT(C5,20)=SUP_Biofuels!$P$8),LEFT(C5,20),C5))</f>
        <v>Energy/technical data</v>
      </c>
      <c r="C5" s="1413" t="s">
        <v>282</v>
      </c>
      <c r="D5" s="1413"/>
      <c r="E5" s="1413"/>
      <c r="F5" s="1413"/>
      <c r="G5" s="1413"/>
      <c r="H5" s="1413"/>
      <c r="I5" s="1413"/>
      <c r="J5" s="1413"/>
      <c r="K5" s="1413"/>
      <c r="L5" s="1413"/>
      <c r="M5" s="1413"/>
      <c r="N5" s="1013"/>
    </row>
    <row r="6" spans="1:14">
      <c r="B6" t="str">
        <f>IF(IF(OR(LEFT(C6,27)=SUP_Biofuels!$N$8,LEFT(C6,20)=SUP_Biofuels!$O$8,LEFT(C6,20)=SUP_Biofuels!$P$8),LEFT(C6,20),C6)="Specific investment ","Specific investment (M€ /MW",IF(OR(LEFT(C6,27)=SUP_Biofuels!$N$8,LEFT(C6,20)=SUP_Biofuels!$O$8,LEFT(C6,20)=SUP_Biofuels!$P$8),LEFT(C6,20),C6))</f>
        <v>Typical total plant size 1,000 t FT Liquids/year</v>
      </c>
      <c r="C6" s="881" t="s">
        <v>1357</v>
      </c>
      <c r="D6" s="880">
        <v>2</v>
      </c>
      <c r="E6" s="880">
        <v>13</v>
      </c>
      <c r="F6" s="880">
        <v>41</v>
      </c>
      <c r="G6" s="880">
        <v>165</v>
      </c>
      <c r="H6" s="1040">
        <v>0.5</v>
      </c>
      <c r="I6" s="1040">
        <v>1.5</v>
      </c>
      <c r="J6" s="1040">
        <v>0.5</v>
      </c>
      <c r="K6" s="1040">
        <v>1.5</v>
      </c>
      <c r="L6" s="880" t="s">
        <v>1358</v>
      </c>
      <c r="M6" s="880" t="s">
        <v>1319</v>
      </c>
      <c r="N6" s="1013"/>
    </row>
    <row r="7" spans="1:14">
      <c r="B7" t="str">
        <f>IF(IF(OR(LEFT(C7,27)=SUP_Biofuels!$N$8,LEFT(C7,20)=SUP_Biofuels!$O$8,LEFT(C7,20)=SUP_Biofuels!$P$8),LEFT(C7,20),C7)="Specific investment ","Specific investment (M€ /MW",IF(OR(LEFT(C7,27)=SUP_Biofuels!$N$8,LEFT(C7,20)=SUP_Biofuels!$O$8,LEFT(C7,20)=SUP_Biofuels!$P$8),LEFT(C7,20),C7))</f>
        <v>Typical total plant size, MW Output</v>
      </c>
      <c r="C7" s="881" t="s">
        <v>1320</v>
      </c>
      <c r="D7" s="880">
        <v>3.1</v>
      </c>
      <c r="E7" s="880">
        <v>20.5</v>
      </c>
      <c r="F7" s="880">
        <v>64.5</v>
      </c>
      <c r="G7" s="880">
        <v>259.60000000000002</v>
      </c>
      <c r="H7" s="1040">
        <v>0.5</v>
      </c>
      <c r="I7" s="1040">
        <v>1.5</v>
      </c>
      <c r="J7" s="1040">
        <v>0.5</v>
      </c>
      <c r="K7" s="1040">
        <v>1.5</v>
      </c>
      <c r="L7" s="880" t="s">
        <v>1321</v>
      </c>
      <c r="M7" s="880" t="s">
        <v>1322</v>
      </c>
      <c r="N7" s="1013"/>
    </row>
    <row r="8" spans="1:14" ht="18" customHeight="1">
      <c r="B8" t="str">
        <f>IF(IF(OR(LEFT(C8,27)=SUP_Biofuels!$N$8,LEFT(C8,20)=SUP_Biofuels!$O$8,LEFT(C8,20)=SUP_Biofuels!$P$8),LEFT(C8,20),C8)="Specific investment ","Specific investment (M€ /MW",IF(OR(LEFT(C8,27)=SUP_Biofuels!$N$8,LEFT(C8,20)=SUP_Biofuels!$O$8,LEFT(C8,20)=SUP_Biofuels!$P$8),LEFT(C8,20),C8))</f>
        <v xml:space="preserve"> Inputs</v>
      </c>
      <c r="C8" s="1417" t="s">
        <v>384</v>
      </c>
      <c r="D8" s="1417"/>
      <c r="E8" s="1417"/>
      <c r="F8" s="1417"/>
      <c r="G8" s="1417"/>
      <c r="H8" s="1417"/>
      <c r="I8" s="1417"/>
      <c r="J8" s="1417"/>
      <c r="K8" s="1417"/>
      <c r="L8" s="1417"/>
      <c r="M8" s="1417"/>
      <c r="N8" s="1013"/>
    </row>
    <row r="9" spans="1:14">
      <c r="B9" t="str">
        <f>IF(IF(OR(LEFT(C9,27)=SUP_Biofuels!$N$8,LEFT(C9,20)=SUP_Biofuels!$O$8,LEFT(C9,20)=SUP_Biofuels!$P$8),LEFT(C9,20),C9)="Specific investment ","Specific investment (M€ /MW",IF(OR(LEFT(C9,27)=SUP_Biofuels!$N$8,LEFT(C9,20)=SUP_Biofuels!$O$8,LEFT(C9,20)=SUP_Biofuels!$P$8),LEFT(C9,20),C9))</f>
        <v>CO2 Consumption, t/t FT Liquids</v>
      </c>
      <c r="C9" s="881" t="s">
        <v>1359</v>
      </c>
      <c r="D9" s="880">
        <v>4.3</v>
      </c>
      <c r="E9" s="880">
        <v>3.9</v>
      </c>
      <c r="F9" s="880">
        <v>3.6</v>
      </c>
      <c r="G9" s="880">
        <v>3.3</v>
      </c>
      <c r="H9" s="1040">
        <v>1</v>
      </c>
      <c r="I9" s="1040">
        <v>1.1000000000000001</v>
      </c>
      <c r="J9" s="1040">
        <v>1</v>
      </c>
      <c r="K9" s="1040">
        <v>1.1000000000000001</v>
      </c>
      <c r="L9" s="880" t="s">
        <v>945</v>
      </c>
      <c r="M9" s="881"/>
      <c r="N9" s="1013"/>
    </row>
    <row r="10" spans="1:14">
      <c r="B10" t="str">
        <f>IF(IF(OR(LEFT(C10,27)=SUP_Biofuels!$N$8,LEFT(C10,20)=SUP_Biofuels!$O$8,LEFT(C10,20)=SUP_Biofuels!$P$8),LEFT(C10,20),C10)="Specific investment ","Specific investment (M€ /MW",IF(OR(LEFT(C10,27)=SUP_Biofuels!$N$8,LEFT(C10,20)=SUP_Biofuels!$O$8,LEFT(C10,20)=SUP_Biofuels!$P$8),LEFT(C10,20),C10))</f>
        <v>Electricity Consumption, MWh/MWh Total Inputs</v>
      </c>
      <c r="C10" s="881" t="s">
        <v>104</v>
      </c>
      <c r="D10" s="1041">
        <v>1</v>
      </c>
      <c r="E10" s="1041">
        <v>1</v>
      </c>
      <c r="F10" s="1041">
        <v>1</v>
      </c>
      <c r="G10" s="1041">
        <v>1</v>
      </c>
      <c r="H10" s="1040">
        <v>1</v>
      </c>
      <c r="I10" s="1040">
        <v>1</v>
      </c>
      <c r="J10" s="1040">
        <v>1</v>
      </c>
      <c r="K10" s="1040">
        <v>1</v>
      </c>
      <c r="L10" s="1041" t="s">
        <v>1360</v>
      </c>
      <c r="M10" s="1041"/>
      <c r="N10" s="1013"/>
    </row>
    <row r="11" spans="1:14" ht="18" customHeight="1">
      <c r="B11" t="str">
        <f>IF(IF(OR(LEFT(C11,27)=SUP_Biofuels!$N$8,LEFT(C11,20)=SUP_Biofuels!$O$8,LEFT(C11,20)=SUP_Biofuels!$P$8),LEFT(C11,20),C11)="Specific investment ","Specific investment (M€ /MW",IF(OR(LEFT(C11,27)=SUP_Biofuels!$N$8,LEFT(C11,20)=SUP_Biofuels!$O$8,LEFT(C11,20)=SUP_Biofuels!$P$8),LEFT(C11,20),C11))</f>
        <v>Outputs</v>
      </c>
      <c r="C11" s="1417" t="s">
        <v>271</v>
      </c>
      <c r="D11" s="1417"/>
      <c r="E11" s="1417"/>
      <c r="F11" s="1417"/>
      <c r="G11" s="1417"/>
      <c r="H11" s="1417"/>
      <c r="I11" s="1417"/>
      <c r="J11" s="1417"/>
      <c r="K11" s="1417"/>
      <c r="L11" s="1417"/>
      <c r="M11" s="1417"/>
      <c r="N11" s="1013"/>
    </row>
    <row r="12" spans="1:14">
      <c r="B12" t="str">
        <f>IF(IF(OR(LEFT(C12,27)=SUP_Biofuels!$N$8,LEFT(C12,20)=SUP_Biofuels!$O$8,LEFT(C12,20)=SUP_Biofuels!$P$8),LEFT(C12,20),C12)="Specific investment ","Specific investment (M€ /MW",IF(OR(LEFT(C12,27)=SUP_Biofuels!$N$8,LEFT(C12,20)=SUP_Biofuels!$O$8,LEFT(C12,20)=SUP_Biofuels!$P$8),LEFT(C12,20),C12))</f>
        <v>FT Liquids Output, MWh/MWh Total Input</v>
      </c>
      <c r="C12" s="881" t="s">
        <v>1327</v>
      </c>
      <c r="D12" s="1041">
        <v>0.37</v>
      </c>
      <c r="E12" s="1041">
        <v>0.4</v>
      </c>
      <c r="F12" s="1041">
        <v>0.5</v>
      </c>
      <c r="G12" s="1041">
        <v>0.55000000000000004</v>
      </c>
      <c r="H12" s="1040">
        <v>0.8</v>
      </c>
      <c r="I12" s="1040">
        <v>1.2</v>
      </c>
      <c r="J12" s="1040">
        <v>0.8</v>
      </c>
      <c r="K12" s="1040">
        <v>1.2</v>
      </c>
      <c r="L12" s="1041" t="s">
        <v>1361</v>
      </c>
      <c r="M12" s="1041" t="s">
        <v>1329</v>
      </c>
    </row>
    <row r="13" spans="1:14">
      <c r="B13" t="str">
        <f>IF(IF(OR(LEFT(C13,27)=SUP_Biofuels!$N$8,LEFT(C13,20)=SUP_Biofuels!$O$8,LEFT(C13,20)=SUP_Biofuels!$P$8),LEFT(C13,20),C13)="Specific investment ","Specific investment (M€ /MW",IF(OR(LEFT(C13,27)=SUP_Biofuels!$N$8,LEFT(C13,20)=SUP_Biofuels!$O$8,LEFT(C13,20)=SUP_Biofuels!$P$8),LEFT(C13,20),C13))</f>
        <v>District Heat  Output, MWh/MWh Total Input</v>
      </c>
      <c r="C13" s="881" t="s">
        <v>1330</v>
      </c>
      <c r="D13" s="1041">
        <v>0.43</v>
      </c>
      <c r="E13" s="1041">
        <v>0.4</v>
      </c>
      <c r="F13" s="1041">
        <v>0.3</v>
      </c>
      <c r="G13" s="1041">
        <v>0.25</v>
      </c>
      <c r="H13" s="1040">
        <v>0.8</v>
      </c>
      <c r="I13" s="1040">
        <v>1.2</v>
      </c>
      <c r="J13" s="1040">
        <v>0.8</v>
      </c>
      <c r="K13" s="1040">
        <v>1.2</v>
      </c>
      <c r="L13" s="1041" t="s">
        <v>675</v>
      </c>
      <c r="M13" s="1041"/>
    </row>
    <row r="14" spans="1:14" ht="18" customHeight="1">
      <c r="B14">
        <f>IF(IF(OR(LEFT(C14,27)=SUP_Biofuels!$N$8,LEFT(C14,20)=SUP_Biofuels!$O$8,LEFT(C14,20)=SUP_Biofuels!$P$8),LEFT(C14,20),C14)="Specific investment ","Specific investment (M€ /MW",IF(OR(LEFT(C14,27)=SUP_Biofuels!$N$8,LEFT(C14,20)=SUP_Biofuels!$O$8,LEFT(C14,20)=SUP_Biofuels!$P$8),LEFT(C14,20),C14))</f>
        <v>0</v>
      </c>
      <c r="C14" s="881"/>
      <c r="D14" s="1041"/>
      <c r="E14" s="1041"/>
      <c r="F14" s="1041"/>
      <c r="G14" s="1041"/>
      <c r="H14" s="1041"/>
      <c r="I14" s="1042"/>
      <c r="J14" s="1042"/>
      <c r="K14" s="882"/>
      <c r="L14" s="1041"/>
      <c r="M14" s="1042"/>
    </row>
    <row r="15" spans="1:14">
      <c r="B15" t="str">
        <f>IF(IF(OR(LEFT(C15,27)=SUP_Biofuels!$N$8,LEFT(C15,20)=SUP_Biofuels!$O$8,LEFT(C15,20)=SUP_Biofuels!$P$8),LEFT(C15,20),C15)="Specific investment ","Specific investment (M€ /MW",IF(OR(LEFT(C15,27)=SUP_Biofuels!$N$8,LEFT(C15,20)=SUP_Biofuels!$O$8,LEFT(C15,20)=SUP_Biofuels!$P$8),LEFT(C15,20),C15))</f>
        <v>Forced outage (%)</v>
      </c>
      <c r="C15" s="881" t="s">
        <v>59</v>
      </c>
      <c r="D15" s="1041">
        <v>0</v>
      </c>
      <c r="E15" s="1041">
        <v>0</v>
      </c>
      <c r="F15" s="1041">
        <v>0</v>
      </c>
      <c r="G15" s="1041">
        <v>0</v>
      </c>
      <c r="H15" s="1041"/>
      <c r="I15" s="1042"/>
      <c r="J15" s="1042"/>
      <c r="K15" s="882"/>
      <c r="L15" s="1041" t="s">
        <v>673</v>
      </c>
      <c r="M15" s="1041"/>
    </row>
    <row r="16" spans="1:14">
      <c r="B16" t="str">
        <f>IF(IF(OR(LEFT(C16,27)=SUP_Biofuels!$N$8,LEFT(C16,20)=SUP_Biofuels!$O$8,LEFT(C16,20)=SUP_Biofuels!$P$8),LEFT(C16,20),C16)="Specific investment ","Specific investment (M€ /MW",IF(OR(LEFT(C16,27)=SUP_Biofuels!$N$8,LEFT(C16,20)=SUP_Biofuels!$O$8,LEFT(C16,20)=SUP_Biofuels!$P$8),LEFT(C16,20),C16))</f>
        <v>Planned outage (weeks per year)</v>
      </c>
      <c r="C16" s="881" t="s">
        <v>92</v>
      </c>
      <c r="D16" s="1412">
        <v>3</v>
      </c>
      <c r="E16" s="1412"/>
      <c r="F16" s="1412"/>
      <c r="G16" s="1412"/>
      <c r="H16" s="1041"/>
      <c r="I16" s="1042"/>
      <c r="J16" s="1042"/>
      <c r="K16" s="882"/>
      <c r="L16" s="1041"/>
      <c r="M16" s="1041">
        <v>18</v>
      </c>
    </row>
    <row r="17" spans="2:14">
      <c r="B17" t="str">
        <f>IF(IF(OR(LEFT(C17,27)=SUP_Biofuels!$N$8,LEFT(C17,20)=SUP_Biofuels!$O$8,LEFT(C17,20)=SUP_Biofuels!$P$8),LEFT(C17,20),C17)="Specific investment ","Specific investment (M€ /MW",IF(OR(LEFT(C17,27)=SUP_Biofuels!$N$8,LEFT(C17,20)=SUP_Biofuels!$O$8,LEFT(C17,20)=SUP_Biofuels!$P$8),LEFT(C17,20),C17))</f>
        <v>Technical lifetime (years)</v>
      </c>
      <c r="C17" s="881" t="s">
        <v>58</v>
      </c>
      <c r="D17" s="1412">
        <v>25</v>
      </c>
      <c r="E17" s="1412"/>
      <c r="F17" s="1412"/>
      <c r="G17" s="1412"/>
      <c r="H17" s="1041">
        <v>20</v>
      </c>
      <c r="I17" s="1041">
        <v>30</v>
      </c>
      <c r="J17" s="1041"/>
      <c r="K17" s="1043"/>
      <c r="L17" s="1041"/>
      <c r="M17" s="1041"/>
    </row>
    <row r="18" spans="2:14">
      <c r="B18" t="str">
        <f>IF(IF(OR(LEFT(C18,27)=SUP_Biofuels!$N$8,LEFT(C18,20)=SUP_Biofuels!$O$8,LEFT(C18,20)=SUP_Biofuels!$P$8),LEFT(C18,20),C18)="Specific investment ","Specific investment (M€ /MW",IF(OR(LEFT(C18,27)=SUP_Biofuels!$N$8,LEFT(C18,20)=SUP_Biofuels!$O$8,LEFT(C18,20)=SUP_Biofuels!$P$8),LEFT(C18,20),C18))</f>
        <v>Construction time (years)</v>
      </c>
      <c r="C18" s="881" t="s">
        <v>60</v>
      </c>
      <c r="D18" s="1412">
        <v>2</v>
      </c>
      <c r="E18" s="1412"/>
      <c r="F18" s="1412"/>
      <c r="G18" s="1412"/>
      <c r="H18" s="1041"/>
      <c r="I18" s="1042"/>
      <c r="J18" s="1042"/>
      <c r="K18" s="882"/>
      <c r="L18" s="1041"/>
      <c r="M18" s="1041"/>
    </row>
    <row r="19" spans="2:14" ht="18" customHeight="1">
      <c r="B19" t="str">
        <f>IF(IF(OR(LEFT(C19,27)=SUP_Biofuels!$N$8,LEFT(C19,20)=SUP_Biofuels!$O$8,LEFT(C19,20)=SUP_Biofuels!$P$8),LEFT(C19,20),C19)="Specific investment ","Specific investment (M€ /MW",IF(OR(LEFT(C19,27)=SUP_Biofuels!$N$8,LEFT(C19,20)=SUP_Biofuels!$O$8,LEFT(C19,20)=SUP_Biofuels!$P$8),LEFT(C19,20),C19))</f>
        <v xml:space="preserve">Financial data                                 </v>
      </c>
      <c r="C19" s="1413" t="s">
        <v>264</v>
      </c>
      <c r="D19" s="1413"/>
      <c r="E19" s="1413"/>
      <c r="F19" s="1413"/>
      <c r="G19" s="1413"/>
      <c r="H19" s="1413"/>
      <c r="I19" s="1413"/>
      <c r="J19" s="1413"/>
      <c r="K19" s="1413"/>
      <c r="L19" s="1413"/>
      <c r="M19" s="1413"/>
      <c r="N19" s="1013"/>
    </row>
    <row r="20" spans="2:14" ht="20.399999999999999">
      <c r="B20" t="str">
        <f>IF(IF(OR(LEFT(C20,27)=SUP_Biofuels!$N$8,LEFT(C20,20)=SUP_Biofuels!$O$8,LEFT(C20,20)=SUP_Biofuels!$P$8),LEFT(C20,20),C20)="Specific investment ","Specific investment (M€ /MW",IF(OR(LEFT(C20,27)=SUP_Biofuels!$N$8,LEFT(C20,20)=SUP_Biofuels!$O$8,LEFT(C20,20)=SUP_Biofuels!$P$8),LEFT(C20,20),C20))</f>
        <v>Specific investment (M€ /MW</v>
      </c>
      <c r="C20" s="1041" t="s">
        <v>1362</v>
      </c>
      <c r="D20" s="1044">
        <v>3.2</v>
      </c>
      <c r="E20" s="1044">
        <v>2.5</v>
      </c>
      <c r="F20" s="1044">
        <v>1.9</v>
      </c>
      <c r="G20" s="1044">
        <v>1.6</v>
      </c>
      <c r="H20" s="1040">
        <v>0.75</v>
      </c>
      <c r="I20" s="1040">
        <v>1.5</v>
      </c>
      <c r="J20" s="1040">
        <v>0.75</v>
      </c>
      <c r="K20" s="1040">
        <v>1.25</v>
      </c>
      <c r="L20" s="1041" t="s">
        <v>671</v>
      </c>
      <c r="M20" s="1041" t="s">
        <v>1333</v>
      </c>
      <c r="N20" s="1013"/>
    </row>
    <row r="21" spans="2:14">
      <c r="B21" t="str">
        <f>IF(IF(OR(LEFT(C21,27)=SUP_Biofuels!$N$8,LEFT(C21,20)=SUP_Biofuels!$O$8,LEFT(C21,20)=SUP_Biofuels!$P$8),LEFT(C21,20),C21)="Specific investment ","Specific investment (M€ /MW",IF(OR(LEFT(C21,27)=SUP_Biofuels!$N$8,LEFT(C21,20)=SUP_Biofuels!$O$8,LEFT(C21,20)=SUP_Biofuels!$P$8),LEFT(C21,20),C21))</f>
        <v xml:space="preserve"> - equipment (%)</v>
      </c>
      <c r="C21" s="1042" t="s">
        <v>394</v>
      </c>
      <c r="D21" s="1041">
        <v>75</v>
      </c>
      <c r="E21" s="1041">
        <v>75</v>
      </c>
      <c r="F21" s="1041">
        <v>75</v>
      </c>
      <c r="G21" s="1041">
        <v>75</v>
      </c>
      <c r="H21" s="1045"/>
      <c r="I21" s="1045"/>
      <c r="J21" s="1045"/>
      <c r="K21" s="1045"/>
      <c r="L21" s="1041" t="s">
        <v>786</v>
      </c>
      <c r="M21" s="1041"/>
      <c r="N21" s="1013"/>
    </row>
    <row r="22" spans="2:14">
      <c r="B22" t="str">
        <f>LEFT(C22,17)</f>
        <v xml:space="preserve"> -installation (%</v>
      </c>
      <c r="C22" s="881" t="s">
        <v>251</v>
      </c>
      <c r="D22" s="1041">
        <v>25</v>
      </c>
      <c r="E22" s="1041">
        <v>25</v>
      </c>
      <c r="F22" s="1041">
        <v>25</v>
      </c>
      <c r="G22" s="1041">
        <v>25</v>
      </c>
      <c r="H22" s="1045"/>
      <c r="I22" s="1045"/>
      <c r="J22" s="1045"/>
      <c r="K22" s="1045"/>
      <c r="L22" s="1041"/>
      <c r="M22" s="880"/>
      <c r="N22" s="1013"/>
    </row>
    <row r="23" spans="2:14">
      <c r="B23" t="str">
        <f>LEFT(C23,17)</f>
        <v>Fixed O&amp;M (M€ /MW</v>
      </c>
      <c r="C23" s="881" t="s">
        <v>1417</v>
      </c>
      <c r="D23" s="1046">
        <f>26.5/1000000</f>
        <v>2.65E-5</v>
      </c>
      <c r="E23" s="1046">
        <f>15.9/1000000</f>
        <v>1.59E-5</v>
      </c>
      <c r="F23" s="1046">
        <f>10.6/1000000</f>
        <v>1.06E-5</v>
      </c>
      <c r="G23" s="1046">
        <f>5.3/1000000</f>
        <v>5.3000000000000001E-6</v>
      </c>
      <c r="H23" s="1040">
        <v>0.9</v>
      </c>
      <c r="I23" s="1040">
        <v>1.1000000000000001</v>
      </c>
      <c r="J23" s="1040">
        <v>0.9</v>
      </c>
      <c r="K23" s="1040">
        <v>1.1000000000000001</v>
      </c>
      <c r="L23" s="1041" t="s">
        <v>1335</v>
      </c>
      <c r="M23" s="880">
        <v>18</v>
      </c>
      <c r="N23" s="1013"/>
    </row>
    <row r="24" spans="2:14">
      <c r="B24" t="str">
        <f>LEFT(C24,19)</f>
        <v>Variable O&amp;M (€ /MW</v>
      </c>
      <c r="C24" s="881" t="s">
        <v>1363</v>
      </c>
      <c r="D24" s="1046">
        <v>8.5</v>
      </c>
      <c r="E24" s="1046">
        <v>5.3</v>
      </c>
      <c r="F24" s="1046">
        <v>3.2</v>
      </c>
      <c r="G24" s="1046">
        <v>2.1</v>
      </c>
      <c r="H24" s="1040">
        <v>0.9</v>
      </c>
      <c r="I24" s="1040">
        <v>1.1000000000000001</v>
      </c>
      <c r="J24" s="1040">
        <v>0.9</v>
      </c>
      <c r="K24" s="1040">
        <v>1.1000000000000001</v>
      </c>
      <c r="L24" s="1041" t="s">
        <v>742</v>
      </c>
      <c r="M24" s="880">
        <v>26</v>
      </c>
      <c r="N24" s="1013"/>
    </row>
    <row r="25" spans="2:14">
      <c r="B25" t="str">
        <f>IF(IF(OR(LEFT(C25,27)=SUP_Biofuels!$N$8,LEFT(C25,20)=SUP_Biofuels!$O$8,LEFT(C25,20)=SUP_Biofuels!$P$8),LEFT(C25,20),C25)="Specific investment ","Specific investment (M€ /MW",IF(OR(LEFT(C25,27)=SUP_Biofuels!$N$8,LEFT(C25,20)=SUP_Biofuels!$O$8,LEFT(C25,20)=SUP_Biofuels!$P$8),LEFT(C25,20),C25))</f>
        <v>Start up (€ /MWh FT Liquids)</v>
      </c>
      <c r="C25" s="1042" t="s">
        <v>1364</v>
      </c>
      <c r="D25" s="1041">
        <v>0</v>
      </c>
      <c r="E25" s="1041">
        <v>0</v>
      </c>
      <c r="F25" s="1041">
        <v>0</v>
      </c>
      <c r="G25" s="1041">
        <v>0</v>
      </c>
      <c r="H25" s="1041"/>
      <c r="I25" s="1041"/>
      <c r="J25" s="1041"/>
      <c r="K25" s="1041"/>
      <c r="L25" s="1041"/>
      <c r="M25" s="1041"/>
      <c r="N25" s="1013"/>
    </row>
    <row r="26" spans="2:14">
      <c r="B26" t="str">
        <f>IF(IF(OR(LEFT(C26,27)=SUP_Biofuels!$N$8,LEFT(C26,20)=SUP_Biofuels!$O$8,LEFT(C26,20)=SUP_Biofuels!$P$8),LEFT(C26,20),C26)="Specific investment ","Specific investment (M€ /MW",IF(OR(LEFT(C26,27)=SUP_Biofuels!$N$8,LEFT(C26,20)=SUP_Biofuels!$O$8,LEFT(C26,20)=SUP_Biofuels!$P$8),LEFT(C26,20),C26))</f>
        <v xml:space="preserve">Technology specific data                                 </v>
      </c>
      <c r="C26" s="1047" t="s">
        <v>260</v>
      </c>
      <c r="D26" s="881"/>
      <c r="E26" s="881"/>
      <c r="F26" s="881"/>
      <c r="G26" s="881"/>
      <c r="H26" s="1041"/>
      <c r="I26" s="1041"/>
      <c r="J26" s="1041"/>
      <c r="K26" s="1041"/>
      <c r="L26" s="881"/>
      <c r="M26" s="881"/>
      <c r="N26" s="1013"/>
    </row>
    <row r="27" spans="2:14" ht="20.399999999999999">
      <c r="B27" t="str">
        <f>IF(IF(OR(LEFT(C27,27)=SUP_Biofuels!$N$8,LEFT(C27,20)=SUP_Biofuels!$O$8,LEFT(C27,20)=SUP_Biofuels!$P$8),LEFT(C27,20),C27)="Specific investment ","Specific investment (M€ /MW",IF(OR(LEFT(C27,27)=SUP_Biofuels!$N$8,LEFT(C27,20)=SUP_Biofuels!$O$8,LEFT(C27,20)=SUP_Biofuels!$P$8),LEFT(C27,20),C27))</f>
        <v>Specific investment (€ /l FT Liquids/year)</v>
      </c>
      <c r="C27" s="881" t="s">
        <v>1337</v>
      </c>
      <c r="D27" s="880">
        <v>5</v>
      </c>
      <c r="E27" s="880">
        <v>4</v>
      </c>
      <c r="F27" s="880">
        <v>3</v>
      </c>
      <c r="G27" s="880">
        <v>2.5</v>
      </c>
      <c r="H27" s="1040">
        <v>0.75</v>
      </c>
      <c r="I27" s="1040">
        <v>1.5</v>
      </c>
      <c r="J27" s="1040">
        <v>0.75</v>
      </c>
      <c r="K27" s="1040">
        <v>1.25</v>
      </c>
      <c r="L27" s="880" t="s">
        <v>671</v>
      </c>
      <c r="M27" s="880" t="s">
        <v>1333</v>
      </c>
      <c r="N27" s="1013"/>
    </row>
    <row r="28" spans="2:14">
      <c r="B28" t="str">
        <f>IF(IF(OR(LEFT(C28,27)=SUP_Biofuels!$N$8,LEFT(C28,20)=SUP_Biofuels!$O$8,LEFT(C28,20)=SUP_Biofuels!$P$8),LEFT(C28,20),C28)="Specific investment ","Specific investment (M€ /MW",IF(OR(LEFT(C28,27)=SUP_Biofuels!$N$8,LEFT(C28,20)=SUP_Biofuels!$O$8,LEFT(C28,20)=SUP_Biofuels!$P$8),LEFT(C28,20),C28))</f>
        <v xml:space="preserve"> - equipment (%)</v>
      </c>
      <c r="C28" s="881" t="s">
        <v>394</v>
      </c>
      <c r="D28" s="880">
        <v>75</v>
      </c>
      <c r="E28" s="880">
        <v>75</v>
      </c>
      <c r="F28" s="880">
        <v>75</v>
      </c>
      <c r="G28" s="880">
        <v>75</v>
      </c>
      <c r="H28" s="1041"/>
      <c r="I28" s="1041"/>
      <c r="J28" s="1041"/>
      <c r="K28" s="1041"/>
      <c r="L28" s="880" t="s">
        <v>786</v>
      </c>
      <c r="M28" s="880"/>
      <c r="N28" s="1013"/>
    </row>
    <row r="29" spans="2:14">
      <c r="B29" t="str">
        <f>IF(IF(OR(LEFT(C29,27)=SUP_Biofuels!$N$8,LEFT(C29,20)=SUP_Biofuels!$O$8,LEFT(C29,20)=SUP_Biofuels!$P$8),LEFT(C29,20),C29)="Specific investment ","Specific investment (M€ /MW",IF(OR(LEFT(C29,27)=SUP_Biofuels!$N$8,LEFT(C29,20)=SUP_Biofuels!$O$8,LEFT(C29,20)=SUP_Biofuels!$P$8),LEFT(C29,20),C29))</f>
        <v xml:space="preserve"> -installation (%)</v>
      </c>
      <c r="C29" s="881" t="s">
        <v>251</v>
      </c>
      <c r="D29" s="880">
        <v>25</v>
      </c>
      <c r="E29" s="880">
        <v>25</v>
      </c>
      <c r="F29" s="880">
        <v>25</v>
      </c>
      <c r="G29" s="880">
        <v>25</v>
      </c>
      <c r="H29" s="1041"/>
      <c r="I29" s="1041"/>
      <c r="J29" s="1041"/>
      <c r="K29" s="1041"/>
      <c r="L29" s="880"/>
      <c r="M29" s="880"/>
      <c r="N29" s="1013"/>
    </row>
    <row r="30" spans="2:14">
      <c r="B30" t="str">
        <f>IF(IF(OR(LEFT(C30,27)=SUP_Biofuels!$N$8,LEFT(C30,20)=SUP_Biofuels!$O$8,LEFT(C30,20)=SUP_Biofuels!$P$8),LEFT(C30,20),C30)="Specific investment ","Specific investment (M€ /MW",IF(OR(LEFT(C30,27)=SUP_Biofuels!$N$8,LEFT(C30,20)=SUP_Biofuels!$O$8,LEFT(C30,20)=SUP_Biofuels!$P$8),LEFT(C30,20),C30))</f>
        <v>Fixed O&amp;M (€ /l FT Liquids)</v>
      </c>
      <c r="C30" s="881" t="s">
        <v>1338</v>
      </c>
      <c r="D30" s="1046">
        <v>0.25</v>
      </c>
      <c r="E30" s="1046">
        <v>0.15</v>
      </c>
      <c r="F30" s="1046">
        <v>0.1</v>
      </c>
      <c r="G30" s="1046">
        <v>0.05</v>
      </c>
      <c r="H30" s="1040">
        <v>0.9</v>
      </c>
      <c r="I30" s="1040">
        <v>1.1000000000000001</v>
      </c>
      <c r="J30" s="1040">
        <v>0.9</v>
      </c>
      <c r="K30" s="1040">
        <v>1.1000000000000001</v>
      </c>
      <c r="L30" s="880" t="s">
        <v>1335</v>
      </c>
      <c r="M30" s="880">
        <v>18</v>
      </c>
      <c r="N30" s="1013"/>
    </row>
    <row r="31" spans="2:14">
      <c r="B31" t="str">
        <f>IF(IF(OR(LEFT(C31,27)=SUP_Biofuels!$N$8,LEFT(C31,20)=SUP_Biofuels!$O$8,LEFT(C31,20)=SUP_Biofuels!$P$8),LEFT(C31,20),C31)="Specific investment ","Specific investment (M€ /MW",IF(OR(LEFT(C31,27)=SUP_Biofuels!$N$8,LEFT(C31,20)=SUP_Biofuels!$O$8,LEFT(C31,20)=SUP_Biofuels!$P$8),LEFT(C31,20),C31))</f>
        <v>Variable O&amp;M (€ /l FT Liquids)</v>
      </c>
      <c r="C31" s="881" t="s">
        <v>1339</v>
      </c>
      <c r="D31" s="1046">
        <v>0.08</v>
      </c>
      <c r="E31" s="1046">
        <v>0.05</v>
      </c>
      <c r="F31" s="1046">
        <v>0.03</v>
      </c>
      <c r="G31" s="1046">
        <v>0.02</v>
      </c>
      <c r="H31" s="1040">
        <v>0.9</v>
      </c>
      <c r="I31" s="1040">
        <v>1.1000000000000001</v>
      </c>
      <c r="J31" s="1040">
        <v>0.9</v>
      </c>
      <c r="K31" s="1040">
        <v>1.1000000000000001</v>
      </c>
      <c r="L31" s="880" t="s">
        <v>742</v>
      </c>
      <c r="M31" s="880">
        <v>26</v>
      </c>
      <c r="N31" s="1013"/>
    </row>
    <row r="32" spans="2:14">
      <c r="B32" t="str">
        <f>IF(IF(OR(LEFT(C32,27)=SUP_Biofuels!$N$8,LEFT(C32,20)=SUP_Biofuels!$O$8,LEFT(C32,20)=SUP_Biofuels!$P$8),LEFT(C32,20),C32)="Specific investment ","Specific investment (M€ /MW",IF(OR(LEFT(C32,27)=SUP_Biofuels!$N$8,LEFT(C32,20)=SUP_Biofuels!$O$8,LEFT(C32,20)=SUP_Biofuels!$P$8),LEFT(C32,20),C32))</f>
        <v>Start up (€ /l FT Liquids)</v>
      </c>
      <c r="C32" s="881" t="s">
        <v>1336</v>
      </c>
      <c r="D32" s="880">
        <v>0</v>
      </c>
      <c r="E32" s="880">
        <v>0</v>
      </c>
      <c r="F32" s="880">
        <v>0</v>
      </c>
      <c r="G32" s="880">
        <v>0</v>
      </c>
      <c r="H32" s="1041"/>
      <c r="I32" s="1041"/>
      <c r="J32" s="1041"/>
      <c r="K32" s="1041"/>
      <c r="L32" s="880"/>
      <c r="M32" s="880"/>
      <c r="N32" s="1013"/>
    </row>
    <row r="34" spans="3:3">
      <c r="C34" t="s">
        <v>695</v>
      </c>
    </row>
    <row r="35" spans="3:3">
      <c r="C35" t="s">
        <v>1365</v>
      </c>
    </row>
    <row r="36" spans="3:3">
      <c r="C36" t="s">
        <v>1366</v>
      </c>
    </row>
    <row r="37" spans="3:3">
      <c r="C37" t="s">
        <v>1367</v>
      </c>
    </row>
    <row r="38" spans="3:3">
      <c r="C38" t="s">
        <v>1368</v>
      </c>
    </row>
    <row r="39" spans="3:3">
      <c r="C39" t="s">
        <v>1369</v>
      </c>
    </row>
    <row r="40" spans="3:3">
      <c r="C40" t="s">
        <v>1370</v>
      </c>
    </row>
    <row r="41" spans="3:3">
      <c r="C41" t="s">
        <v>1371</v>
      </c>
    </row>
    <row r="42" spans="3:3">
      <c r="C42" t="s">
        <v>1372</v>
      </c>
    </row>
    <row r="43" spans="3:3">
      <c r="C43" t="s">
        <v>1373</v>
      </c>
    </row>
    <row r="44" spans="3:3">
      <c r="C44" t="s">
        <v>1374</v>
      </c>
    </row>
    <row r="45" spans="3:3">
      <c r="C45" t="s">
        <v>1375</v>
      </c>
    </row>
    <row r="46" spans="3:3">
      <c r="C46" t="s">
        <v>1376</v>
      </c>
    </row>
    <row r="47" spans="3:3">
      <c r="C47" t="s">
        <v>1377</v>
      </c>
    </row>
    <row r="48" spans="3:3">
      <c r="C48" t="s">
        <v>1378</v>
      </c>
    </row>
    <row r="49" spans="3:3">
      <c r="C49" t="s">
        <v>1379</v>
      </c>
    </row>
  </sheetData>
  <mergeCells count="10">
    <mergeCell ref="D16:G16"/>
    <mergeCell ref="D17:G17"/>
    <mergeCell ref="D18:G18"/>
    <mergeCell ref="C19:M19"/>
    <mergeCell ref="D2:M2"/>
    <mergeCell ref="H3:I3"/>
    <mergeCell ref="J3:K3"/>
    <mergeCell ref="C5:M5"/>
    <mergeCell ref="C8:M8"/>
    <mergeCell ref="C11:M11"/>
  </mergeCells>
  <hyperlinks>
    <hyperlink ref="D2" location="INDEX" display="Power to Jet Fuel" xr:uid="{39BD290D-DB78-4C0A-B91D-467702E1CC67}"/>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6FF10-9F1E-4254-848A-8DFB3E0273E0}">
  <sheetPr>
    <tabColor theme="4" tint="0.39997558519241921"/>
  </sheetPr>
  <dimension ref="B2:S68"/>
  <sheetViews>
    <sheetView showGridLines="0" zoomScaleNormal="100" workbookViewId="0">
      <selection activeCell="B17" sqref="B17"/>
    </sheetView>
  </sheetViews>
  <sheetFormatPr defaultRowHeight="14.4"/>
  <cols>
    <col min="1" max="1" width="2.109375" customWidth="1"/>
    <col min="2" max="2" width="39.88671875" customWidth="1"/>
    <col min="3" max="11" width="7" customWidth="1"/>
  </cols>
  <sheetData>
    <row r="2" spans="2:19">
      <c r="G2" s="884"/>
      <c r="L2" s="811"/>
    </row>
    <row r="3" spans="2:19" ht="15" customHeight="1">
      <c r="B3" s="260" t="s">
        <v>296</v>
      </c>
      <c r="C3" s="1418" t="s">
        <v>1620</v>
      </c>
      <c r="D3" s="1418"/>
      <c r="E3" s="1418"/>
      <c r="F3" s="1418"/>
      <c r="G3" s="1418"/>
      <c r="H3" s="1418"/>
      <c r="I3" s="1418"/>
      <c r="J3" s="1418"/>
      <c r="K3" s="1418"/>
      <c r="L3" s="1418"/>
      <c r="M3" s="812"/>
    </row>
    <row r="4" spans="2:19" ht="15" customHeight="1">
      <c r="B4" s="162"/>
      <c r="C4" s="260">
        <v>2020</v>
      </c>
      <c r="D4" s="260">
        <v>2030</v>
      </c>
      <c r="E4" s="260">
        <v>2040</v>
      </c>
      <c r="F4" s="260">
        <v>2050</v>
      </c>
      <c r="G4" s="1291" t="s">
        <v>290</v>
      </c>
      <c r="H4" s="1291"/>
      <c r="I4" s="1291" t="s">
        <v>289</v>
      </c>
      <c r="J4" s="1291"/>
      <c r="K4" s="1127" t="s">
        <v>288</v>
      </c>
      <c r="L4" s="1127" t="s">
        <v>287</v>
      </c>
    </row>
    <row r="5" spans="2:19">
      <c r="B5" s="190"/>
      <c r="C5" s="190"/>
      <c r="D5" s="190"/>
      <c r="E5" s="190"/>
      <c r="F5" s="190"/>
      <c r="G5" s="928" t="s">
        <v>284</v>
      </c>
      <c r="H5" s="928" t="s">
        <v>283</v>
      </c>
      <c r="I5" s="928" t="s">
        <v>284</v>
      </c>
      <c r="J5" s="928" t="s">
        <v>283</v>
      </c>
      <c r="K5" s="188"/>
      <c r="L5" s="188"/>
    </row>
    <row r="6" spans="2:19">
      <c r="B6" s="186" t="s">
        <v>282</v>
      </c>
      <c r="C6" s="185"/>
      <c r="D6" s="185"/>
      <c r="E6" s="185"/>
      <c r="F6" s="185"/>
      <c r="G6" s="185"/>
      <c r="H6" s="185"/>
      <c r="I6" s="185"/>
      <c r="J6" s="185"/>
      <c r="K6" s="183"/>
      <c r="L6" s="1126"/>
    </row>
    <row r="7" spans="2:19">
      <c r="B7" s="180" t="s">
        <v>1621</v>
      </c>
      <c r="C7" s="1209">
        <v>229</v>
      </c>
      <c r="D7" s="180">
        <f>+C7*2</f>
        <v>458</v>
      </c>
      <c r="E7" s="180">
        <f>+D7*2</f>
        <v>916</v>
      </c>
      <c r="F7" s="180">
        <f>+D7*5</f>
        <v>2290</v>
      </c>
      <c r="G7" s="206">
        <v>1</v>
      </c>
      <c r="H7" s="179">
        <v>1</v>
      </c>
      <c r="I7" s="179">
        <v>1</v>
      </c>
      <c r="J7" s="179">
        <v>1</v>
      </c>
      <c r="K7" s="218" t="s">
        <v>694</v>
      </c>
      <c r="L7" s="178"/>
      <c r="N7" t="s">
        <v>1721</v>
      </c>
      <c r="O7" t="s">
        <v>1720</v>
      </c>
    </row>
    <row r="8" spans="2:19">
      <c r="B8" s="190" t="s">
        <v>1622</v>
      </c>
      <c r="C8" s="1210">
        <v>50</v>
      </c>
      <c r="D8" s="190">
        <v>100</v>
      </c>
      <c r="E8" s="190">
        <v>200</v>
      </c>
      <c r="F8" s="190">
        <v>500</v>
      </c>
      <c r="G8" s="208">
        <v>1</v>
      </c>
      <c r="H8" s="189">
        <v>1</v>
      </c>
      <c r="I8" s="189">
        <v>1</v>
      </c>
      <c r="J8" s="189">
        <v>1</v>
      </c>
      <c r="K8" s="217"/>
      <c r="L8" s="188"/>
      <c r="N8">
        <v>130</v>
      </c>
      <c r="O8">
        <v>107000</v>
      </c>
      <c r="P8" t="s">
        <v>1716</v>
      </c>
    </row>
    <row r="9" spans="2:19">
      <c r="B9" s="186" t="s">
        <v>275</v>
      </c>
      <c r="C9" s="185"/>
      <c r="D9" s="185"/>
      <c r="E9" s="185"/>
      <c r="F9" s="185"/>
      <c r="G9" s="185"/>
      <c r="H9" s="185"/>
      <c r="I9" s="185"/>
      <c r="J9" s="185"/>
      <c r="K9" s="183"/>
      <c r="L9" s="1126"/>
    </row>
    <row r="10" spans="2:19">
      <c r="B10" s="180" t="s">
        <v>1623</v>
      </c>
      <c r="C10" s="201">
        <v>0.83899999999999997</v>
      </c>
      <c r="D10" s="201">
        <v>0.83899999999999997</v>
      </c>
      <c r="E10" s="201">
        <v>0.83899999999999997</v>
      </c>
      <c r="F10" s="201">
        <v>0.83899999999999997</v>
      </c>
      <c r="G10" s="206">
        <v>0.98</v>
      </c>
      <c r="H10" s="206">
        <v>1.02</v>
      </c>
      <c r="I10" s="206">
        <f t="shared" ref="I10:J12" si="0">+G10</f>
        <v>0.98</v>
      </c>
      <c r="J10" s="206">
        <f t="shared" si="0"/>
        <v>1.02</v>
      </c>
      <c r="K10" s="178" t="s">
        <v>692</v>
      </c>
      <c r="L10" s="178" t="s">
        <v>927</v>
      </c>
      <c r="N10">
        <v>53.6</v>
      </c>
      <c r="O10">
        <v>53.6</v>
      </c>
      <c r="P10" t="s">
        <v>1461</v>
      </c>
    </row>
    <row r="11" spans="2:19">
      <c r="B11" s="1211" t="s">
        <v>1624</v>
      </c>
      <c r="C11" s="1212">
        <v>0.18</v>
      </c>
      <c r="D11" s="1212">
        <v>0.18</v>
      </c>
      <c r="E11" s="1212">
        <v>0.18</v>
      </c>
      <c r="F11" s="1212">
        <v>0.18</v>
      </c>
      <c r="G11" s="205">
        <v>0.98</v>
      </c>
      <c r="H11" s="205">
        <v>1.02</v>
      </c>
      <c r="I11" s="205">
        <f t="shared" si="0"/>
        <v>0.98</v>
      </c>
      <c r="J11" s="205">
        <f t="shared" si="0"/>
        <v>1.02</v>
      </c>
      <c r="K11" s="178" t="s">
        <v>692</v>
      </c>
      <c r="L11" s="178" t="s">
        <v>927</v>
      </c>
      <c r="N11" s="1231">
        <v>1</v>
      </c>
      <c r="O11" s="1231">
        <v>3.6999999999999998E-2</v>
      </c>
      <c r="P11" t="s">
        <v>1719</v>
      </c>
    </row>
    <row r="12" spans="2:19">
      <c r="B12" s="1211" t="s">
        <v>103</v>
      </c>
      <c r="C12" s="1212">
        <v>0.94699999999999995</v>
      </c>
      <c r="D12" s="1212">
        <v>0.94699999999999995</v>
      </c>
      <c r="E12" s="1212">
        <v>0.94699999999999995</v>
      </c>
      <c r="F12" s="1212">
        <v>0.94699999999999995</v>
      </c>
      <c r="G12" s="205">
        <v>0.98</v>
      </c>
      <c r="H12" s="205">
        <v>1.02</v>
      </c>
      <c r="I12" s="205">
        <f t="shared" si="0"/>
        <v>0.98</v>
      </c>
      <c r="J12" s="205">
        <f t="shared" si="0"/>
        <v>1.02</v>
      </c>
      <c r="K12" s="178" t="s">
        <v>692</v>
      </c>
      <c r="L12" s="178" t="s">
        <v>927</v>
      </c>
      <c r="M12" s="812"/>
      <c r="N12">
        <f>N8/N10*N11</f>
        <v>2.4253731343283582</v>
      </c>
      <c r="O12">
        <f>O8/O10*O11</f>
        <v>73.861940298507449</v>
      </c>
      <c r="P12" t="s">
        <v>1718</v>
      </c>
      <c r="S12" s="5"/>
    </row>
    <row r="13" spans="2:19">
      <c r="B13" s="190" t="s">
        <v>104</v>
      </c>
      <c r="C13" s="272">
        <v>5.2999999999999999E-2</v>
      </c>
      <c r="D13" s="272">
        <v>5.2999999999999999E-2</v>
      </c>
      <c r="E13" s="272">
        <v>5.2999999999999999E-2</v>
      </c>
      <c r="F13" s="272">
        <v>5.2999999999999999E-2</v>
      </c>
      <c r="G13" s="208">
        <v>0.95</v>
      </c>
      <c r="H13" s="208">
        <v>1.1000000000000001</v>
      </c>
      <c r="I13" s="208">
        <v>0.75</v>
      </c>
      <c r="J13" s="208">
        <v>1.5</v>
      </c>
      <c r="K13" s="188" t="s">
        <v>272</v>
      </c>
      <c r="L13" s="178" t="s">
        <v>927</v>
      </c>
    </row>
    <row r="14" spans="2:19">
      <c r="B14" s="186" t="s">
        <v>271</v>
      </c>
      <c r="C14" s="1213"/>
      <c r="D14" s="1213"/>
      <c r="E14" s="1213"/>
      <c r="F14" s="1213"/>
      <c r="G14" s="213"/>
      <c r="H14" s="213"/>
      <c r="I14" s="213"/>
      <c r="J14" s="213"/>
      <c r="K14" s="183"/>
      <c r="L14" s="1126"/>
      <c r="N14" s="1">
        <f>N12*28</f>
        <v>67.910447761194035</v>
      </c>
      <c r="O14" s="4">
        <f>O12*28</f>
        <v>2068.1343283582087</v>
      </c>
      <c r="P14" t="s">
        <v>1717</v>
      </c>
    </row>
    <row r="15" spans="2:19">
      <c r="B15" s="180" t="s">
        <v>1625</v>
      </c>
      <c r="C15" s="1214">
        <v>0.82299999999999995</v>
      </c>
      <c r="D15" s="1214">
        <v>0.82299999999999995</v>
      </c>
      <c r="E15" s="1214">
        <v>0.82299999999999995</v>
      </c>
      <c r="F15" s="1214">
        <v>0.82299999999999995</v>
      </c>
      <c r="G15" s="206">
        <v>0.98</v>
      </c>
      <c r="H15" s="206">
        <v>1.02</v>
      </c>
      <c r="I15" s="206">
        <f>+G15</f>
        <v>0.98</v>
      </c>
      <c r="J15" s="206">
        <f>+H15</f>
        <v>1.02</v>
      </c>
      <c r="K15" s="178"/>
      <c r="L15" s="178" t="s">
        <v>927</v>
      </c>
    </row>
    <row r="16" spans="2:19">
      <c r="B16" s="268" t="s">
        <v>1626</v>
      </c>
      <c r="C16" s="1215">
        <v>0.108</v>
      </c>
      <c r="D16" s="1216">
        <v>0.108</v>
      </c>
      <c r="E16" s="1216">
        <v>0.108</v>
      </c>
      <c r="F16" s="1216">
        <v>0.108</v>
      </c>
      <c r="G16" s="206">
        <v>0.98</v>
      </c>
      <c r="H16" s="206">
        <v>1.02</v>
      </c>
      <c r="I16" s="206">
        <f>+G16</f>
        <v>0.98</v>
      </c>
      <c r="J16" s="206">
        <f>+H16</f>
        <v>1.02</v>
      </c>
      <c r="K16" s="270" t="s">
        <v>269</v>
      </c>
      <c r="L16" s="178" t="s">
        <v>927</v>
      </c>
    </row>
    <row r="17" spans="2:14">
      <c r="B17" s="190" t="s">
        <v>109</v>
      </c>
      <c r="C17" s="1217">
        <v>3.7999999999999999E-2</v>
      </c>
      <c r="D17" s="1217">
        <v>3.7999999999999999E-2</v>
      </c>
      <c r="E17" s="1217">
        <v>3.7999999999999999E-2</v>
      </c>
      <c r="F17" s="1217">
        <v>3.7999999999999999E-2</v>
      </c>
      <c r="G17" s="208">
        <v>0</v>
      </c>
      <c r="H17" s="208">
        <v>1</v>
      </c>
      <c r="I17" s="208">
        <v>0</v>
      </c>
      <c r="J17" s="208">
        <v>1</v>
      </c>
      <c r="K17" s="188" t="s">
        <v>266</v>
      </c>
      <c r="L17" s="178" t="s">
        <v>927</v>
      </c>
    </row>
    <row r="18" spans="2:14">
      <c r="B18" s="207"/>
      <c r="C18" s="185"/>
      <c r="D18" s="185"/>
      <c r="E18" s="185"/>
      <c r="F18" s="185"/>
      <c r="G18" s="185"/>
      <c r="H18" s="185"/>
      <c r="I18" s="185"/>
      <c r="J18" s="185"/>
      <c r="K18" s="183"/>
      <c r="L18" s="1126"/>
    </row>
    <row r="19" spans="2:14">
      <c r="B19" s="1209" t="s">
        <v>1627</v>
      </c>
      <c r="C19" s="206">
        <v>0.05</v>
      </c>
      <c r="D19" s="206">
        <v>0.03</v>
      </c>
      <c r="E19" s="206">
        <v>0.03</v>
      </c>
      <c r="F19" s="206">
        <v>0.02</v>
      </c>
      <c r="G19" s="206">
        <v>0.02</v>
      </c>
      <c r="H19" s="206">
        <v>0.08</v>
      </c>
      <c r="I19" s="206">
        <v>0.02</v>
      </c>
      <c r="J19" s="206">
        <v>0.04</v>
      </c>
      <c r="K19" s="178"/>
      <c r="L19" s="178" t="s">
        <v>923</v>
      </c>
    </row>
    <row r="20" spans="2:14">
      <c r="B20" s="162" t="s">
        <v>92</v>
      </c>
      <c r="C20" s="205">
        <v>0.03</v>
      </c>
      <c r="D20" s="205">
        <v>0.03</v>
      </c>
      <c r="E20" s="205">
        <v>0.03</v>
      </c>
      <c r="F20" s="205">
        <v>0.03</v>
      </c>
      <c r="G20" s="205"/>
      <c r="H20" s="205"/>
      <c r="I20" s="205"/>
      <c r="J20" s="205"/>
      <c r="K20" s="1128"/>
      <c r="L20" s="178" t="s">
        <v>923</v>
      </c>
    </row>
    <row r="21" spans="2:14">
      <c r="B21" s="1211" t="s">
        <v>1628</v>
      </c>
      <c r="C21" s="949" t="s">
        <v>1629</v>
      </c>
      <c r="D21" s="949" t="s">
        <v>1629</v>
      </c>
      <c r="E21" s="949" t="s">
        <v>1629</v>
      </c>
      <c r="F21" s="949" t="s">
        <v>1629</v>
      </c>
      <c r="G21" s="205"/>
      <c r="H21" s="205"/>
      <c r="I21" s="205"/>
      <c r="J21" s="205"/>
      <c r="K21" s="1128"/>
      <c r="L21" s="178" t="s">
        <v>925</v>
      </c>
      <c r="M21" s="811"/>
    </row>
    <row r="22" spans="2:14">
      <c r="B22" s="162" t="s">
        <v>58</v>
      </c>
      <c r="C22" s="162">
        <v>30</v>
      </c>
      <c r="D22" s="162">
        <v>30</v>
      </c>
      <c r="E22" s="162">
        <v>30</v>
      </c>
      <c r="F22" s="162">
        <v>30</v>
      </c>
      <c r="G22" s="162"/>
      <c r="H22" s="162"/>
      <c r="I22" s="162"/>
      <c r="J22" s="162"/>
      <c r="K22" s="1128"/>
      <c r="L22" s="1128"/>
      <c r="N22" s="5"/>
    </row>
    <row r="23" spans="2:14">
      <c r="B23" s="190" t="s">
        <v>60</v>
      </c>
      <c r="C23" s="190">
        <v>2</v>
      </c>
      <c r="D23" s="190">
        <v>2</v>
      </c>
      <c r="E23" s="190">
        <v>2</v>
      </c>
      <c r="F23" s="190">
        <v>2</v>
      </c>
      <c r="G23" s="190"/>
      <c r="H23" s="190"/>
      <c r="I23" s="190"/>
      <c r="J23" s="190"/>
      <c r="K23" s="188"/>
      <c r="L23" s="188"/>
      <c r="N23" s="5"/>
    </row>
    <row r="24" spans="2:14">
      <c r="B24" s="186" t="s">
        <v>264</v>
      </c>
      <c r="C24" s="185"/>
      <c r="D24" s="185"/>
      <c r="E24" s="185"/>
      <c r="F24" s="185"/>
      <c r="G24" s="185"/>
      <c r="H24" s="185"/>
      <c r="I24" s="185"/>
      <c r="J24" s="185"/>
      <c r="K24" s="183"/>
      <c r="L24" s="1126"/>
    </row>
    <row r="25" spans="2:14">
      <c r="B25" s="180" t="s">
        <v>1630</v>
      </c>
      <c r="C25" s="933">
        <v>1.586288872912142</v>
      </c>
      <c r="D25" s="933">
        <v>1.2974289346221439</v>
      </c>
      <c r="E25" s="933">
        <v>1.0611697964598805</v>
      </c>
      <c r="F25" s="933">
        <v>0.81354630677182382</v>
      </c>
      <c r="G25" s="1218">
        <v>1.24</v>
      </c>
      <c r="H25" s="1218">
        <v>2.09</v>
      </c>
      <c r="I25" s="1218">
        <v>0.56999999999999995</v>
      </c>
      <c r="J25" s="1218">
        <v>0.95</v>
      </c>
      <c r="K25" s="178" t="s">
        <v>1631</v>
      </c>
      <c r="L25" s="178" t="s">
        <v>923</v>
      </c>
      <c r="M25" s="812"/>
      <c r="N25" s="5"/>
    </row>
    <row r="26" spans="2:14">
      <c r="B26" s="162" t="s">
        <v>252</v>
      </c>
      <c r="C26" s="1130">
        <v>50</v>
      </c>
      <c r="D26" s="1130">
        <v>50</v>
      </c>
      <c r="E26" s="1130">
        <v>50</v>
      </c>
      <c r="F26" s="1130">
        <v>50</v>
      </c>
      <c r="G26" s="167"/>
      <c r="H26" s="167"/>
      <c r="I26" s="167"/>
      <c r="J26" s="167"/>
      <c r="K26" s="1128"/>
      <c r="L26" s="178" t="s">
        <v>923</v>
      </c>
      <c r="M26" s="811"/>
    </row>
    <row r="27" spans="2:14">
      <c r="B27" s="162" t="s">
        <v>251</v>
      </c>
      <c r="C27" s="1130">
        <v>50</v>
      </c>
      <c r="D27" s="1130">
        <v>50</v>
      </c>
      <c r="E27" s="1130">
        <v>50</v>
      </c>
      <c r="F27" s="1130">
        <v>50</v>
      </c>
      <c r="G27" s="167"/>
      <c r="H27" s="167"/>
      <c r="I27" s="167"/>
      <c r="J27" s="167"/>
      <c r="K27" s="1128"/>
      <c r="L27" s="178" t="s">
        <v>923</v>
      </c>
      <c r="M27" s="811"/>
    </row>
    <row r="28" spans="2:14">
      <c r="B28" s="162" t="s">
        <v>1632</v>
      </c>
      <c r="C28" s="937">
        <v>47.588666187364261</v>
      </c>
      <c r="D28" s="937">
        <v>38.922868038664312</v>
      </c>
      <c r="E28" s="937">
        <v>31.835093893796415</v>
      </c>
      <c r="F28" s="937">
        <v>24.406389203154713</v>
      </c>
      <c r="G28" s="937">
        <f>+G25*0.03*1000</f>
        <v>37.199999999999996</v>
      </c>
      <c r="H28" s="937">
        <f t="shared" ref="H28:J28" si="1">+H25*0.03*1000</f>
        <v>62.699999999999989</v>
      </c>
      <c r="I28" s="937">
        <f t="shared" si="1"/>
        <v>17.099999999999998</v>
      </c>
      <c r="J28" s="937">
        <f t="shared" si="1"/>
        <v>28.499999999999996</v>
      </c>
      <c r="K28" s="1128" t="s">
        <v>389</v>
      </c>
      <c r="L28" s="178" t="s">
        <v>923</v>
      </c>
      <c r="M28" s="811"/>
    </row>
    <row r="29" spans="2:14">
      <c r="B29" s="162" t="s">
        <v>1633</v>
      </c>
      <c r="C29" s="197">
        <v>0.02</v>
      </c>
      <c r="D29" s="197">
        <v>0.02</v>
      </c>
      <c r="E29" s="197">
        <v>0.02</v>
      </c>
      <c r="F29" s="197">
        <v>0.02</v>
      </c>
      <c r="G29" s="197">
        <v>0.01</v>
      </c>
      <c r="H29" s="197">
        <v>0.04</v>
      </c>
      <c r="I29" s="197">
        <v>0.01</v>
      </c>
      <c r="J29" s="197">
        <v>0.04</v>
      </c>
      <c r="K29" s="1128" t="s">
        <v>393</v>
      </c>
      <c r="L29" s="178" t="s">
        <v>923</v>
      </c>
      <c r="M29" s="811"/>
      <c r="N29" s="5"/>
    </row>
    <row r="30" spans="2:14">
      <c r="B30" s="190" t="s">
        <v>1634</v>
      </c>
      <c r="C30" s="190" t="s">
        <v>1635</v>
      </c>
      <c r="D30" s="190" t="s">
        <v>1635</v>
      </c>
      <c r="E30" s="162" t="s">
        <v>1635</v>
      </c>
      <c r="F30" s="162" t="s">
        <v>1635</v>
      </c>
      <c r="G30" s="189"/>
      <c r="H30" s="189"/>
      <c r="I30" s="189"/>
      <c r="J30" s="189"/>
      <c r="K30" s="188"/>
      <c r="L30" s="188"/>
      <c r="M30" s="811"/>
    </row>
    <row r="31" spans="2:14">
      <c r="B31" s="186" t="s">
        <v>260</v>
      </c>
      <c r="C31" s="185"/>
      <c r="D31" s="185"/>
      <c r="E31" s="185"/>
      <c r="F31" s="185"/>
      <c r="G31" s="184"/>
      <c r="H31" s="184"/>
      <c r="I31" s="184"/>
      <c r="J31" s="184"/>
      <c r="K31" s="183"/>
      <c r="L31" s="1126"/>
      <c r="M31" s="811"/>
    </row>
    <row r="32" spans="2:14">
      <c r="B32" s="1219" t="s">
        <v>1636</v>
      </c>
      <c r="C32" s="1209">
        <v>1.0900000000000001</v>
      </c>
      <c r="D32" s="1209">
        <v>1.0900000000000001</v>
      </c>
      <c r="E32" s="1209">
        <v>1.0900000000000001</v>
      </c>
      <c r="F32" s="1209">
        <v>1.0900000000000001</v>
      </c>
      <c r="G32" s="1220">
        <v>0.97</v>
      </c>
      <c r="H32" s="1220">
        <v>1</v>
      </c>
      <c r="I32" s="1220">
        <v>0.97</v>
      </c>
      <c r="J32" s="1220">
        <v>1</v>
      </c>
      <c r="K32" s="1221" t="s">
        <v>255</v>
      </c>
      <c r="L32" s="178" t="s">
        <v>923</v>
      </c>
      <c r="M32" s="812"/>
    </row>
    <row r="33" spans="2:14">
      <c r="B33" s="180" t="s">
        <v>1637</v>
      </c>
      <c r="C33" s="180">
        <v>18.899999999999999</v>
      </c>
      <c r="D33" s="180">
        <v>18.899999999999999</v>
      </c>
      <c r="E33" s="180">
        <v>18.899999999999999</v>
      </c>
      <c r="F33" s="180">
        <v>18.899999999999999</v>
      </c>
      <c r="G33" s="179"/>
      <c r="H33" s="179"/>
      <c r="I33" s="179"/>
      <c r="J33" s="179"/>
      <c r="K33" s="178"/>
      <c r="L33" s="178"/>
    </row>
    <row r="34" spans="2:14">
      <c r="B34" s="162" t="s">
        <v>1638</v>
      </c>
      <c r="C34" s="162">
        <v>626</v>
      </c>
      <c r="D34" s="162">
        <v>626</v>
      </c>
      <c r="E34" s="162">
        <v>626</v>
      </c>
      <c r="F34" s="162">
        <v>626</v>
      </c>
      <c r="G34" s="167"/>
      <c r="H34" s="167"/>
      <c r="I34" s="167"/>
      <c r="J34" s="167"/>
      <c r="K34" s="1128"/>
      <c r="L34" s="1128"/>
    </row>
    <row r="35" spans="2:14">
      <c r="B35" s="162" t="s">
        <v>1639</v>
      </c>
      <c r="C35" s="197">
        <v>0.34635128229522749</v>
      </c>
      <c r="D35" s="197">
        <v>0.28328142677339391</v>
      </c>
      <c r="E35" s="197">
        <v>0.23169646210914421</v>
      </c>
      <c r="F35" s="197">
        <v>0.1776301979851144</v>
      </c>
      <c r="G35" s="176">
        <v>0.27074235807860264</v>
      </c>
      <c r="H35" s="176">
        <v>0.45633187772925765</v>
      </c>
      <c r="I35" s="176">
        <v>0.12445414847161572</v>
      </c>
      <c r="J35" s="176">
        <v>0.20742358078602621</v>
      </c>
      <c r="K35" s="1128" t="s">
        <v>1640</v>
      </c>
      <c r="L35" s="178" t="s">
        <v>923</v>
      </c>
    </row>
    <row r="36" spans="2:14">
      <c r="B36" s="162" t="s">
        <v>1641</v>
      </c>
      <c r="C36" s="176">
        <v>10.390538468856825</v>
      </c>
      <c r="D36" s="176">
        <v>8.4984428032018169</v>
      </c>
      <c r="E36" s="176">
        <v>6.9508938632743256</v>
      </c>
      <c r="F36" s="176">
        <v>5.3289059395534313</v>
      </c>
      <c r="G36" s="176">
        <v>8.1222707423580793</v>
      </c>
      <c r="H36" s="176">
        <v>13.689956331877729</v>
      </c>
      <c r="I36" s="176">
        <v>3.7336244541484715</v>
      </c>
      <c r="J36" s="176">
        <v>6.2227074235807862</v>
      </c>
      <c r="K36" s="1128"/>
      <c r="L36" s="178" t="s">
        <v>923</v>
      </c>
    </row>
    <row r="37" spans="2:14">
      <c r="B37" s="162" t="s">
        <v>1642</v>
      </c>
      <c r="C37" s="197">
        <v>0.1</v>
      </c>
      <c r="D37" s="197">
        <v>0.1</v>
      </c>
      <c r="E37" s="197">
        <v>0.1</v>
      </c>
      <c r="F37" s="197">
        <v>0.1</v>
      </c>
      <c r="G37" s="197">
        <v>0.05</v>
      </c>
      <c r="H37" s="197">
        <v>0.2</v>
      </c>
      <c r="I37" s="197">
        <v>0.05</v>
      </c>
      <c r="J37" s="197">
        <v>0.2</v>
      </c>
      <c r="K37" s="1128"/>
      <c r="L37" s="178" t="s">
        <v>923</v>
      </c>
      <c r="N37" s="5"/>
    </row>
    <row r="38" spans="2:14">
      <c r="B38" s="162" t="s">
        <v>1643</v>
      </c>
      <c r="C38" s="162" t="s">
        <v>1635</v>
      </c>
      <c r="D38" s="162" t="s">
        <v>1635</v>
      </c>
      <c r="E38" s="162" t="s">
        <v>1635</v>
      </c>
      <c r="F38" s="162" t="s">
        <v>1635</v>
      </c>
      <c r="G38" s="162"/>
      <c r="H38" s="162"/>
      <c r="I38" s="162"/>
      <c r="J38" s="162"/>
      <c r="K38" s="1128"/>
      <c r="L38" s="1128"/>
    </row>
    <row r="40" spans="2:14">
      <c r="B40" s="886" t="s">
        <v>695</v>
      </c>
    </row>
    <row r="41" spans="2:14">
      <c r="B41" s="885" t="s">
        <v>1644</v>
      </c>
    </row>
    <row r="42" spans="2:14">
      <c r="B42" s="885" t="s">
        <v>1645</v>
      </c>
    </row>
    <row r="43" spans="2:14">
      <c r="B43" s="1222" t="s">
        <v>1646</v>
      </c>
    </row>
    <row r="44" spans="2:14">
      <c r="B44" s="885" t="s">
        <v>1647</v>
      </c>
    </row>
    <row r="45" spans="2:14">
      <c r="B45" s="885" t="s">
        <v>1648</v>
      </c>
    </row>
    <row r="46" spans="2:14">
      <c r="B46" s="1222" t="s">
        <v>1649</v>
      </c>
    </row>
    <row r="47" spans="2:14">
      <c r="B47" s="885" t="s">
        <v>1650</v>
      </c>
    </row>
    <row r="48" spans="2:14">
      <c r="B48" s="885" t="s">
        <v>1651</v>
      </c>
    </row>
    <row r="49" spans="2:2">
      <c r="B49" s="885" t="s">
        <v>1652</v>
      </c>
    </row>
    <row r="50" spans="2:2">
      <c r="B50" s="885" t="s">
        <v>1653</v>
      </c>
    </row>
    <row r="52" spans="2:2">
      <c r="B52" s="886" t="s">
        <v>989</v>
      </c>
    </row>
    <row r="53" spans="2:2">
      <c r="B53" s="885" t="s">
        <v>1654</v>
      </c>
    </row>
    <row r="54" spans="2:2">
      <c r="B54" s="885" t="s">
        <v>1655</v>
      </c>
    </row>
    <row r="55" spans="2:2">
      <c r="B55" s="885" t="s">
        <v>1656</v>
      </c>
    </row>
    <row r="56" spans="2:2">
      <c r="B56" s="885"/>
    </row>
    <row r="64" spans="2:2">
      <c r="B64" s="885"/>
    </row>
    <row r="65" spans="2:2">
      <c r="B65" s="885"/>
    </row>
    <row r="66" spans="2:2">
      <c r="B66" s="885"/>
    </row>
    <row r="67" spans="2:2">
      <c r="B67" s="885"/>
    </row>
    <row r="68" spans="2:2">
      <c r="B68" s="885"/>
    </row>
  </sheetData>
  <mergeCells count="3">
    <mergeCell ref="C3:L3"/>
    <mergeCell ref="G4:H4"/>
    <mergeCell ref="I4:J4"/>
  </mergeCells>
  <pageMargins left="0.7" right="0.7" top="0.75" bottom="0.75" header="0.3" footer="0.3"/>
  <pageSetup paperSize="9" orientation="portrait" horizontalDpi="300" verticalDpi="3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390C7-6A0D-4DDB-B04F-C3F9A872093E}">
  <sheetPr>
    <tabColor rgb="FFFF0000"/>
  </sheetPr>
  <dimension ref="A2:N66"/>
  <sheetViews>
    <sheetView showGridLines="0" workbookViewId="0">
      <selection activeCell="B56" sqref="B56"/>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9.5546875" customWidth="1"/>
    <col min="12" max="12" width="5.33203125" customWidth="1"/>
    <col min="13" max="13" width="12.88671875" customWidth="1"/>
    <col min="14" max="14" width="13.6640625" customWidth="1"/>
  </cols>
  <sheetData>
    <row r="2" spans="1:14">
      <c r="A2" s="1162"/>
    </row>
    <row r="3" spans="1:14">
      <c r="A3" s="1162"/>
      <c r="B3" s="1163" t="s">
        <v>296</v>
      </c>
      <c r="C3" s="1391" t="s">
        <v>1657</v>
      </c>
      <c r="D3" s="1392"/>
      <c r="E3" s="1392"/>
      <c r="F3" s="1392"/>
      <c r="G3" s="1392"/>
      <c r="H3" s="1392"/>
      <c r="I3" s="1392"/>
      <c r="J3" s="1392"/>
      <c r="K3" s="1392"/>
      <c r="L3" s="1392"/>
    </row>
    <row r="4" spans="1:14">
      <c r="A4" s="1162"/>
      <c r="B4" s="1164"/>
      <c r="C4" s="1165">
        <v>2020</v>
      </c>
      <c r="D4" s="1165">
        <v>2030</v>
      </c>
      <c r="E4" s="1165">
        <v>2040</v>
      </c>
      <c r="F4" s="1165">
        <v>2050</v>
      </c>
      <c r="G4" s="1393" t="s">
        <v>290</v>
      </c>
      <c r="H4" s="1393"/>
      <c r="I4" s="1393" t="s">
        <v>289</v>
      </c>
      <c r="J4" s="1393"/>
      <c r="K4" s="1165" t="s">
        <v>288</v>
      </c>
      <c r="L4" s="1165" t="s">
        <v>287</v>
      </c>
    </row>
    <row r="5" spans="1:14">
      <c r="A5" s="1162"/>
      <c r="B5" s="1163" t="s">
        <v>282</v>
      </c>
      <c r="C5" s="1163"/>
      <c r="D5" s="1163"/>
      <c r="E5" s="1163"/>
      <c r="F5" s="1163"/>
      <c r="G5" s="1165" t="s">
        <v>284</v>
      </c>
      <c r="H5" s="1165" t="s">
        <v>283</v>
      </c>
      <c r="I5" s="1165" t="s">
        <v>284</v>
      </c>
      <c r="J5" s="1165" t="s">
        <v>283</v>
      </c>
      <c r="K5" s="1163"/>
      <c r="L5" s="1166"/>
      <c r="M5" s="51"/>
    </row>
    <row r="6" spans="1:14">
      <c r="A6" s="1162"/>
      <c r="B6" s="1164" t="s">
        <v>964</v>
      </c>
      <c r="C6" s="1167" t="s">
        <v>1658</v>
      </c>
      <c r="D6" s="1167">
        <v>77</v>
      </c>
      <c r="E6" s="1167">
        <v>85</v>
      </c>
      <c r="F6" s="1174">
        <v>93.5</v>
      </c>
      <c r="G6" s="1174">
        <v>38.5</v>
      </c>
      <c r="H6" s="1174">
        <v>115.5</v>
      </c>
      <c r="I6" s="1167">
        <v>47</v>
      </c>
      <c r="J6" s="1167">
        <v>140</v>
      </c>
      <c r="K6" s="1168" t="s">
        <v>1659</v>
      </c>
      <c r="L6" s="1166"/>
    </row>
    <row r="7" spans="1:14">
      <c r="A7" s="1162"/>
      <c r="B7" s="1164" t="s">
        <v>1660</v>
      </c>
      <c r="C7" s="1167" t="s">
        <v>1658</v>
      </c>
      <c r="D7" s="1167">
        <v>32</v>
      </c>
      <c r="E7" s="1167">
        <v>35</v>
      </c>
      <c r="F7" s="1167">
        <v>39</v>
      </c>
      <c r="G7" s="1167">
        <v>16</v>
      </c>
      <c r="H7" s="1167">
        <v>48</v>
      </c>
      <c r="I7" s="1174">
        <v>19.5</v>
      </c>
      <c r="J7" s="1174">
        <v>58.5</v>
      </c>
      <c r="K7" s="1168" t="s">
        <v>1661</v>
      </c>
      <c r="L7" s="1166" t="s">
        <v>925</v>
      </c>
    </row>
    <row r="8" spans="1:14">
      <c r="A8" s="1162"/>
      <c r="B8" s="1164" t="s">
        <v>1662</v>
      </c>
      <c r="C8" s="1167" t="s">
        <v>1658</v>
      </c>
      <c r="D8" s="1167">
        <v>23000</v>
      </c>
      <c r="E8" s="1167">
        <v>25000</v>
      </c>
      <c r="F8" s="1167">
        <v>28000</v>
      </c>
      <c r="G8" s="1167" t="s">
        <v>1663</v>
      </c>
      <c r="H8" s="1167">
        <v>35000</v>
      </c>
      <c r="I8" s="1167">
        <v>14000</v>
      </c>
      <c r="J8" s="1167" t="s">
        <v>1664</v>
      </c>
      <c r="K8" s="1168" t="s">
        <v>1665</v>
      </c>
      <c r="L8" s="1166" t="s">
        <v>925</v>
      </c>
    </row>
    <row r="9" spans="1:14">
      <c r="A9" s="1162"/>
      <c r="B9" s="1223"/>
      <c r="C9" s="1224"/>
      <c r="D9" s="1224"/>
      <c r="E9" s="1224"/>
      <c r="F9" s="1224"/>
      <c r="G9" s="1224"/>
      <c r="H9" s="1224"/>
      <c r="I9" s="1224"/>
      <c r="J9" s="1224"/>
      <c r="K9" s="1224"/>
      <c r="L9" s="1225"/>
      <c r="M9" s="84"/>
    </row>
    <row r="10" spans="1:14">
      <c r="A10" s="1162"/>
      <c r="B10" s="1169" t="s">
        <v>1666</v>
      </c>
      <c r="C10" s="1226"/>
      <c r="D10" s="1226"/>
      <c r="E10" s="1226"/>
      <c r="F10" s="1226"/>
      <c r="G10" s="1226"/>
      <c r="H10" s="1226"/>
      <c r="I10" s="1226"/>
      <c r="J10" s="1226"/>
      <c r="K10" s="1224"/>
      <c r="L10" s="1227"/>
    </row>
    <row r="11" spans="1:14">
      <c r="A11" s="1162"/>
      <c r="B11" s="1164" t="s">
        <v>1667</v>
      </c>
      <c r="C11" s="1167" t="s">
        <v>1658</v>
      </c>
      <c r="D11" s="1167">
        <v>78</v>
      </c>
      <c r="E11" s="1167">
        <v>80</v>
      </c>
      <c r="F11" s="1167">
        <v>82</v>
      </c>
      <c r="G11" s="1167">
        <v>76</v>
      </c>
      <c r="H11" s="1167">
        <v>80</v>
      </c>
      <c r="I11" s="1167">
        <v>78</v>
      </c>
      <c r="J11" s="1167">
        <v>84</v>
      </c>
      <c r="K11" s="1168" t="s">
        <v>1668</v>
      </c>
      <c r="L11" s="1166" t="s">
        <v>925</v>
      </c>
    </row>
    <row r="12" spans="1:14">
      <c r="A12" s="1162"/>
      <c r="B12" s="1164" t="s">
        <v>1669</v>
      </c>
      <c r="C12" s="1167" t="s">
        <v>1658</v>
      </c>
      <c r="D12" s="1167">
        <v>22</v>
      </c>
      <c r="E12" s="1167">
        <v>20</v>
      </c>
      <c r="F12" s="1167">
        <v>18</v>
      </c>
      <c r="G12" s="1167">
        <v>20</v>
      </c>
      <c r="H12" s="1167">
        <v>24</v>
      </c>
      <c r="I12" s="1167">
        <v>16</v>
      </c>
      <c r="J12" s="1167">
        <v>22</v>
      </c>
      <c r="K12" s="1168" t="s">
        <v>1670</v>
      </c>
      <c r="L12" s="1166" t="s">
        <v>925</v>
      </c>
    </row>
    <row r="13" spans="1:14">
      <c r="A13" s="1162"/>
      <c r="B13" s="1223"/>
      <c r="C13" s="1224"/>
      <c r="D13" s="1224"/>
      <c r="E13" s="1224"/>
      <c r="F13" s="1224"/>
      <c r="G13" s="1224"/>
      <c r="H13" s="1224"/>
      <c r="I13" s="1224"/>
      <c r="J13" s="1224"/>
      <c r="K13" s="1228"/>
      <c r="L13" s="1225"/>
      <c r="M13" s="1171"/>
    </row>
    <row r="14" spans="1:14">
      <c r="A14" s="1162"/>
      <c r="B14" s="1169" t="s">
        <v>721</v>
      </c>
      <c r="C14" s="1226"/>
      <c r="D14" s="1229"/>
      <c r="E14" s="1229"/>
      <c r="F14" s="1229"/>
      <c r="G14" s="1226"/>
      <c r="H14" s="1226"/>
      <c r="I14" s="1226"/>
      <c r="J14" s="1226"/>
      <c r="K14" s="1228"/>
      <c r="L14" s="1227"/>
    </row>
    <row r="15" spans="1:14">
      <c r="A15" s="1162"/>
      <c r="B15" s="1164" t="s">
        <v>1671</v>
      </c>
      <c r="C15" s="1167" t="s">
        <v>1658</v>
      </c>
      <c r="D15" s="1167">
        <v>41</v>
      </c>
      <c r="E15" s="1167">
        <v>42</v>
      </c>
      <c r="F15" s="1167">
        <v>43</v>
      </c>
      <c r="G15" s="1167">
        <v>37</v>
      </c>
      <c r="H15" s="1167">
        <v>45</v>
      </c>
      <c r="I15" s="1167">
        <v>39</v>
      </c>
      <c r="J15" s="1167">
        <v>47</v>
      </c>
      <c r="K15" s="1168" t="s">
        <v>1661</v>
      </c>
      <c r="L15" s="1166" t="s">
        <v>925</v>
      </c>
      <c r="M15" s="1175"/>
      <c r="N15" s="1230"/>
    </row>
    <row r="16" spans="1:14">
      <c r="A16" s="1162"/>
      <c r="B16" s="1164" t="s">
        <v>1672</v>
      </c>
      <c r="C16" s="1167" t="s">
        <v>1658</v>
      </c>
      <c r="D16" s="1167">
        <v>28</v>
      </c>
      <c r="E16" s="1167">
        <v>29</v>
      </c>
      <c r="F16" s="1167">
        <v>30</v>
      </c>
      <c r="G16" s="1167">
        <v>25</v>
      </c>
      <c r="H16" s="1167">
        <v>31</v>
      </c>
      <c r="I16" s="1167">
        <v>27</v>
      </c>
      <c r="J16" s="1167">
        <v>33</v>
      </c>
      <c r="K16" s="1168" t="s">
        <v>1673</v>
      </c>
      <c r="L16" s="1166" t="s">
        <v>925</v>
      </c>
    </row>
    <row r="17" spans="1:13">
      <c r="A17" s="1162"/>
      <c r="B17" s="1164" t="s">
        <v>1674</v>
      </c>
      <c r="C17" s="1167" t="s">
        <v>1658</v>
      </c>
      <c r="D17" s="1167">
        <v>9</v>
      </c>
      <c r="E17" s="1167">
        <v>8</v>
      </c>
      <c r="F17" s="1167">
        <v>7</v>
      </c>
      <c r="G17" s="1174">
        <f>D17-D17*0.5</f>
        <v>4.5</v>
      </c>
      <c r="H17" s="1174">
        <f>D17+D17*0.5</f>
        <v>13.5</v>
      </c>
      <c r="I17" s="1174">
        <f>F17-F17*0.5</f>
        <v>3.5</v>
      </c>
      <c r="J17" s="1174">
        <f>F17+F17*0.5</f>
        <v>10.5</v>
      </c>
      <c r="K17" s="1168" t="s">
        <v>1675</v>
      </c>
      <c r="L17" s="1166" t="s">
        <v>925</v>
      </c>
    </row>
    <row r="18" spans="1:13">
      <c r="A18" s="1162"/>
      <c r="B18" s="1164" t="s">
        <v>1676</v>
      </c>
      <c r="C18" s="1167" t="s">
        <v>1658</v>
      </c>
      <c r="D18" s="1167">
        <v>16</v>
      </c>
      <c r="E18" s="1167">
        <v>15</v>
      </c>
      <c r="F18" s="1167">
        <v>14</v>
      </c>
      <c r="G18" s="1167">
        <f>D18-D18*0.5</f>
        <v>8</v>
      </c>
      <c r="H18" s="1167">
        <f>D18+D18*0.5</f>
        <v>24</v>
      </c>
      <c r="I18" s="1167">
        <f>F18-F18*0.5</f>
        <v>7</v>
      </c>
      <c r="J18" s="1167">
        <f>F18+F18*0.5</f>
        <v>21</v>
      </c>
      <c r="K18" s="1168" t="s">
        <v>1670</v>
      </c>
      <c r="L18" s="1166" t="s">
        <v>925</v>
      </c>
    </row>
    <row r="19" spans="1:13" ht="14.4" customHeight="1">
      <c r="A19" s="1162"/>
      <c r="B19" s="1164" t="s">
        <v>1677</v>
      </c>
      <c r="C19" s="1167" t="s">
        <v>1658</v>
      </c>
      <c r="D19" s="1167">
        <v>6</v>
      </c>
      <c r="E19" s="1167">
        <v>6</v>
      </c>
      <c r="F19" s="1167">
        <v>6</v>
      </c>
      <c r="G19" s="1167">
        <v>5</v>
      </c>
      <c r="H19" s="1167">
        <f>D19+D19*0.5</f>
        <v>9</v>
      </c>
      <c r="I19" s="1167">
        <f>F19-F19*0.5</f>
        <v>3</v>
      </c>
      <c r="J19" s="1167">
        <f>F19+F19*0.5</f>
        <v>9</v>
      </c>
      <c r="K19" s="1168" t="s">
        <v>1670</v>
      </c>
      <c r="L19" s="1166" t="s">
        <v>925</v>
      </c>
    </row>
    <row r="20" spans="1:13">
      <c r="A20" s="1162"/>
      <c r="B20" s="1164"/>
      <c r="C20" s="1167"/>
      <c r="D20" s="1167"/>
      <c r="E20" s="1167"/>
      <c r="F20" s="1167"/>
      <c r="G20" s="1167"/>
      <c r="H20" s="1167"/>
      <c r="I20" s="1167"/>
      <c r="J20" s="1167"/>
      <c r="K20" s="1168"/>
      <c r="L20" s="1166"/>
    </row>
    <row r="21" spans="1:13">
      <c r="A21" s="1162"/>
      <c r="B21" s="1164" t="s">
        <v>59</v>
      </c>
      <c r="C21" s="1167" t="s">
        <v>1658</v>
      </c>
      <c r="D21" s="1167">
        <v>20</v>
      </c>
      <c r="E21" s="1167">
        <v>10</v>
      </c>
      <c r="F21" s="1167">
        <v>1</v>
      </c>
      <c r="G21" s="1167">
        <v>10</v>
      </c>
      <c r="H21" s="1167">
        <v>30</v>
      </c>
      <c r="I21" s="1167">
        <v>0</v>
      </c>
      <c r="J21" s="1167">
        <v>2</v>
      </c>
      <c r="K21" s="1168" t="s">
        <v>694</v>
      </c>
      <c r="L21" s="1166"/>
    </row>
    <row r="22" spans="1:13" ht="14.25" customHeight="1">
      <c r="A22" s="1162"/>
      <c r="B22" s="1164" t="s">
        <v>92</v>
      </c>
      <c r="C22" s="1167" t="s">
        <v>1658</v>
      </c>
      <c r="D22" s="1167">
        <v>10</v>
      </c>
      <c r="E22" s="1167">
        <v>4</v>
      </c>
      <c r="F22" s="1167">
        <v>2</v>
      </c>
      <c r="G22" s="1167">
        <v>10</v>
      </c>
      <c r="H22" s="1167">
        <v>22</v>
      </c>
      <c r="I22" s="1167">
        <v>0</v>
      </c>
      <c r="J22" s="1167">
        <v>0</v>
      </c>
      <c r="K22" s="1168" t="s">
        <v>1678</v>
      </c>
      <c r="L22" s="1166"/>
    </row>
    <row r="23" spans="1:13">
      <c r="A23" s="1162"/>
      <c r="B23" s="1164" t="s">
        <v>58</v>
      </c>
      <c r="C23" s="1167" t="s">
        <v>1658</v>
      </c>
      <c r="D23" s="1167">
        <v>20</v>
      </c>
      <c r="E23" s="1167">
        <v>25</v>
      </c>
      <c r="F23" s="1167">
        <v>25</v>
      </c>
      <c r="G23" s="1167">
        <v>15</v>
      </c>
      <c r="H23" s="1167">
        <v>25</v>
      </c>
      <c r="I23" s="1167">
        <v>20</v>
      </c>
      <c r="J23" s="1167">
        <v>30</v>
      </c>
      <c r="K23" s="1168" t="s">
        <v>1670</v>
      </c>
      <c r="L23" s="1166" t="s">
        <v>1679</v>
      </c>
    </row>
    <row r="24" spans="1:13">
      <c r="A24" s="1162"/>
      <c r="B24" s="1164" t="s">
        <v>60</v>
      </c>
      <c r="C24" s="1167" t="s">
        <v>1658</v>
      </c>
      <c r="D24" s="1167">
        <v>2</v>
      </c>
      <c r="E24" s="1167">
        <v>2</v>
      </c>
      <c r="F24" s="1167">
        <v>2</v>
      </c>
      <c r="G24" s="1174">
        <v>1.5</v>
      </c>
      <c r="H24" s="1174">
        <v>2.5</v>
      </c>
      <c r="I24" s="1174">
        <v>1.5</v>
      </c>
      <c r="J24" s="1174">
        <v>2.5</v>
      </c>
      <c r="K24" s="1168" t="s">
        <v>1680</v>
      </c>
      <c r="L24" s="1166"/>
    </row>
    <row r="25" spans="1:13">
      <c r="A25" s="1162"/>
      <c r="B25" s="1164"/>
      <c r="C25" s="1167"/>
      <c r="D25" s="1167"/>
      <c r="E25" s="1167"/>
      <c r="F25" s="1167"/>
      <c r="G25" s="1167"/>
      <c r="H25" s="1167"/>
      <c r="I25" s="1167"/>
      <c r="J25" s="1167"/>
      <c r="K25" s="1168"/>
      <c r="L25" s="1166"/>
    </row>
    <row r="26" spans="1:13">
      <c r="A26" s="1162"/>
      <c r="B26" s="1177" t="s">
        <v>1681</v>
      </c>
      <c r="C26" s="1177"/>
      <c r="D26" s="1177"/>
      <c r="E26" s="1177"/>
      <c r="F26" s="1177"/>
      <c r="G26" s="1177"/>
      <c r="H26" s="1177"/>
      <c r="I26" s="1177"/>
      <c r="J26" s="1177"/>
      <c r="K26" s="1177"/>
      <c r="L26" s="1177"/>
    </row>
    <row r="27" spans="1:13" ht="22.8">
      <c r="A27" s="1162"/>
      <c r="B27" s="1164" t="s">
        <v>1682</v>
      </c>
      <c r="C27" s="1167" t="s">
        <v>1658</v>
      </c>
      <c r="D27" s="1174">
        <v>0.6</v>
      </c>
      <c r="E27" s="1174">
        <v>0.55000000000000004</v>
      </c>
      <c r="F27" s="1174">
        <v>0.48499999999999999</v>
      </c>
      <c r="G27" s="1174">
        <v>0.3</v>
      </c>
      <c r="H27" s="1174">
        <v>0.9</v>
      </c>
      <c r="I27" s="1174">
        <v>0.2</v>
      </c>
      <c r="J27" s="1174">
        <v>0.7</v>
      </c>
      <c r="K27" s="1168" t="s">
        <v>1683</v>
      </c>
      <c r="L27" s="1166" t="s">
        <v>1684</v>
      </c>
      <c r="M27" s="1178"/>
    </row>
    <row r="28" spans="1:13">
      <c r="A28" s="1162"/>
      <c r="B28" s="1164" t="s">
        <v>954</v>
      </c>
      <c r="C28" s="1167" t="s">
        <v>1658</v>
      </c>
      <c r="D28" s="1167">
        <v>50</v>
      </c>
      <c r="E28" s="1167">
        <v>50</v>
      </c>
      <c r="F28" s="1167">
        <v>50</v>
      </c>
      <c r="G28" s="1167">
        <v>45</v>
      </c>
      <c r="H28" s="1167" t="s">
        <v>1685</v>
      </c>
      <c r="I28" s="1167">
        <v>45</v>
      </c>
      <c r="J28" s="1167">
        <v>55</v>
      </c>
      <c r="K28" s="1168" t="s">
        <v>1670</v>
      </c>
      <c r="L28" s="1166"/>
    </row>
    <row r="29" spans="1:13">
      <c r="A29" s="1162"/>
      <c r="B29" s="1164" t="s">
        <v>952</v>
      </c>
      <c r="C29" s="1167" t="s">
        <v>1658</v>
      </c>
      <c r="D29" s="1167">
        <v>50</v>
      </c>
      <c r="E29" s="1167">
        <v>50</v>
      </c>
      <c r="F29" s="1167">
        <v>50</v>
      </c>
      <c r="G29" s="1167">
        <v>45</v>
      </c>
      <c r="H29" s="1167">
        <v>55</v>
      </c>
      <c r="I29" s="1167">
        <v>45</v>
      </c>
      <c r="J29" s="1167">
        <v>55</v>
      </c>
      <c r="K29" s="1168" t="s">
        <v>1670</v>
      </c>
      <c r="L29" s="1166"/>
    </row>
    <row r="30" spans="1:13" ht="14.25" customHeight="1">
      <c r="A30" s="1162"/>
      <c r="B30" s="1164" t="s">
        <v>1686</v>
      </c>
      <c r="C30" s="1167" t="s">
        <v>1658</v>
      </c>
      <c r="D30" s="1167">
        <f>D27*0.02*1000000</f>
        <v>12000</v>
      </c>
      <c r="E30" s="1167">
        <f t="shared" ref="E30:F30" si="0">E27*0.02*1000000</f>
        <v>11000.000000000002</v>
      </c>
      <c r="F30" s="1167">
        <f t="shared" si="0"/>
        <v>9700</v>
      </c>
      <c r="G30" s="1167">
        <v>6000</v>
      </c>
      <c r="H30" s="1167">
        <v>18000</v>
      </c>
      <c r="I30" s="1167">
        <v>4900</v>
      </c>
      <c r="J30" s="1167">
        <v>15000</v>
      </c>
      <c r="K30" s="1168" t="s">
        <v>1687</v>
      </c>
      <c r="L30" s="1166" t="s">
        <v>1684</v>
      </c>
    </row>
    <row r="31" spans="1:13" ht="15.75" customHeight="1">
      <c r="A31" s="1162"/>
      <c r="B31" s="1164" t="s">
        <v>1688</v>
      </c>
      <c r="C31" s="1167" t="s">
        <v>1658</v>
      </c>
      <c r="D31" s="1167">
        <v>4</v>
      </c>
      <c r="E31" s="1167">
        <f>D31*0.9</f>
        <v>3.6</v>
      </c>
      <c r="F31" s="1167">
        <f>E31*0.9</f>
        <v>3.24</v>
      </c>
      <c r="G31" s="1167">
        <f>D31-D31*0.5</f>
        <v>2</v>
      </c>
      <c r="H31" s="1167">
        <f>D31+D31*0.5</f>
        <v>6</v>
      </c>
      <c r="I31" s="1167">
        <f>F31-F31*0.5</f>
        <v>1.62</v>
      </c>
      <c r="J31" s="1167">
        <f>F31+F31*0.5</f>
        <v>4.8600000000000003</v>
      </c>
      <c r="K31" s="1168" t="s">
        <v>1689</v>
      </c>
      <c r="L31" s="1166" t="s">
        <v>1684</v>
      </c>
    </row>
    <row r="32" spans="1:13">
      <c r="A32" s="1162"/>
      <c r="B32" s="1164" t="s">
        <v>1690</v>
      </c>
      <c r="C32" s="1167" t="s">
        <v>1658</v>
      </c>
      <c r="D32" s="1167" t="s">
        <v>1658</v>
      </c>
      <c r="E32" s="1167" t="s">
        <v>1658</v>
      </c>
      <c r="F32" s="1167" t="s">
        <v>1658</v>
      </c>
      <c r="G32" s="1167" t="s">
        <v>1658</v>
      </c>
      <c r="H32" s="1167" t="s">
        <v>1658</v>
      </c>
      <c r="I32" s="1167" t="s">
        <v>1658</v>
      </c>
      <c r="J32" s="1167" t="s">
        <v>1658</v>
      </c>
      <c r="K32" s="1168"/>
      <c r="L32" s="1166"/>
    </row>
    <row r="33" spans="1:14">
      <c r="A33" s="1162"/>
      <c r="B33" s="1164"/>
      <c r="C33" s="1167"/>
      <c r="D33" s="1167"/>
      <c r="E33" s="1167"/>
      <c r="F33" s="1167"/>
      <c r="G33" s="1167"/>
      <c r="H33" s="1167"/>
      <c r="I33" s="1167"/>
      <c r="J33" s="1167"/>
      <c r="K33" s="1168"/>
      <c r="L33" s="1166"/>
    </row>
    <row r="34" spans="1:14">
      <c r="A34" s="1162"/>
      <c r="B34" s="1177" t="s">
        <v>260</v>
      </c>
      <c r="C34" s="1177"/>
      <c r="D34" s="1177"/>
      <c r="E34" s="1177"/>
      <c r="F34" s="1177"/>
      <c r="G34" s="1177"/>
      <c r="H34" s="1177"/>
      <c r="I34" s="1177"/>
      <c r="J34" s="1177"/>
      <c r="K34" s="1177"/>
      <c r="L34" s="1177"/>
    </row>
    <row r="35" spans="1:14">
      <c r="A35" s="1162"/>
      <c r="B35" s="1164" t="s">
        <v>1691</v>
      </c>
      <c r="C35" s="1167" t="s">
        <v>1658</v>
      </c>
      <c r="D35" s="1167">
        <v>89</v>
      </c>
      <c r="E35" s="1167">
        <v>90</v>
      </c>
      <c r="F35" s="1167">
        <v>91</v>
      </c>
      <c r="G35" s="1167" t="s">
        <v>1658</v>
      </c>
      <c r="H35" s="1167" t="s">
        <v>1658</v>
      </c>
      <c r="I35" s="1167" t="s">
        <v>1658</v>
      </c>
      <c r="J35" s="1167" t="s">
        <v>1658</v>
      </c>
      <c r="K35" s="1168" t="s">
        <v>1692</v>
      </c>
      <c r="L35" s="1166"/>
      <c r="M35" s="1180"/>
    </row>
    <row r="36" spans="1:14" ht="34.200000000000003" hidden="1">
      <c r="A36" s="1162"/>
      <c r="B36">
        <f>500/7.48</f>
        <v>66.844919786096256</v>
      </c>
      <c r="C36" s="1184" t="s">
        <v>1562</v>
      </c>
      <c r="D36" s="1185" t="e">
        <f>#REF!*100</f>
        <v>#REF!</v>
      </c>
      <c r="E36" s="1185" t="e">
        <f>#REF!</f>
        <v>#REF!</v>
      </c>
      <c r="F36" s="1185" t="e">
        <f>E36</f>
        <v>#REF!</v>
      </c>
      <c r="G36" s="1185" t="e">
        <f>F36</f>
        <v>#REF!</v>
      </c>
      <c r="H36" s="1186"/>
      <c r="I36" s="1186"/>
      <c r="J36" s="882"/>
      <c r="K36" s="882"/>
      <c r="L36" s="1187" t="s">
        <v>1563</v>
      </c>
      <c r="M36" s="1188" t="s">
        <v>1564</v>
      </c>
      <c r="N36" s="1189"/>
    </row>
    <row r="37" spans="1:14" hidden="1">
      <c r="A37" s="1162"/>
    </row>
    <row r="38" spans="1:14" hidden="1">
      <c r="A38" s="1162"/>
      <c r="C38" s="1190"/>
      <c r="D38" s="1191"/>
      <c r="E38" s="1191"/>
      <c r="F38" s="1191"/>
      <c r="G38" s="1191"/>
      <c r="H38" s="1192"/>
      <c r="I38" s="1192"/>
    </row>
    <row r="39" spans="1:14" ht="14.4" hidden="1" customHeight="1">
      <c r="A39" s="1389"/>
      <c r="B39" s="1389"/>
      <c r="C39" s="1389"/>
      <c r="D39" s="1389"/>
      <c r="E39" s="1389"/>
      <c r="F39" s="1389"/>
      <c r="G39" s="1389"/>
      <c r="H39" s="1389"/>
      <c r="I39" s="1389"/>
      <c r="J39" s="1129"/>
      <c r="K39" s="1193"/>
      <c r="L39" s="1389"/>
      <c r="M39" s="1389"/>
    </row>
    <row r="40" spans="1:14" ht="14.4" hidden="1" customHeight="1">
      <c r="A40" s="1193"/>
      <c r="C40" s="1389"/>
      <c r="D40" s="1390"/>
      <c r="E40" s="1390"/>
      <c r="F40" s="1390"/>
      <c r="G40" s="1390"/>
      <c r="H40" s="1390"/>
      <c r="I40" s="1390"/>
      <c r="J40" s="1390"/>
      <c r="K40" s="1390"/>
      <c r="L40" s="1389"/>
      <c r="M40" s="1389"/>
    </row>
    <row r="41" spans="1:14" ht="14.4" hidden="1" customHeight="1">
      <c r="A41" s="1194"/>
      <c r="B41" s="1389"/>
      <c r="C41" s="1390"/>
      <c r="D41" s="1390"/>
      <c r="E41" s="1390"/>
      <c r="F41" s="1390"/>
      <c r="G41" s="1390"/>
      <c r="H41" s="1390"/>
      <c r="I41" s="1390"/>
      <c r="J41" s="1390"/>
      <c r="K41" s="1193"/>
      <c r="L41" s="1389"/>
      <c r="M41" s="1389"/>
    </row>
    <row r="42" spans="1:14" ht="14.4" hidden="1" customHeight="1">
      <c r="A42" s="1193"/>
      <c r="C42" s="1389"/>
      <c r="D42" s="1390"/>
      <c r="E42" s="1390"/>
      <c r="F42" s="1390"/>
      <c r="G42" s="1390"/>
      <c r="H42" s="1390"/>
      <c r="I42" s="1390"/>
      <c r="J42" s="1390"/>
      <c r="K42" s="1390"/>
      <c r="L42" s="1389"/>
      <c r="M42" s="1389"/>
    </row>
    <row r="43" spans="1:14" ht="14.4" hidden="1" customHeight="1">
      <c r="A43" s="1193"/>
      <c r="B43" s="1389"/>
      <c r="C43" s="1390"/>
      <c r="D43" s="1390"/>
      <c r="E43" s="1390"/>
      <c r="F43" s="1390"/>
      <c r="G43" s="1390"/>
      <c r="H43" s="1390"/>
      <c r="I43" s="1390"/>
      <c r="J43" s="1390"/>
      <c r="K43" s="1193"/>
      <c r="L43" s="1389"/>
      <c r="M43" s="1389"/>
    </row>
    <row r="44" spans="1:14" ht="3.9" hidden="1" customHeight="1">
      <c r="B44" s="856"/>
      <c r="L44" s="1389"/>
      <c r="M44" s="1389"/>
    </row>
    <row r="45" spans="1:14">
      <c r="A45" s="1193"/>
      <c r="B45" s="1129"/>
      <c r="C45" s="1129"/>
      <c r="D45" s="1195"/>
      <c r="E45" s="1129"/>
      <c r="F45" s="1129"/>
      <c r="G45" s="1129"/>
      <c r="H45" s="1129"/>
      <c r="I45" s="1129"/>
      <c r="J45" s="1129"/>
      <c r="K45" s="1193"/>
      <c r="L45" s="1389"/>
      <c r="M45" s="1389"/>
    </row>
    <row r="46" spans="1:14" ht="14.4" customHeight="1">
      <c r="A46" s="1394" t="s">
        <v>695</v>
      </c>
      <c r="B46" s="1394"/>
      <c r="C46" s="1190"/>
      <c r="D46" s="1190"/>
      <c r="E46" s="1190"/>
      <c r="F46" s="1190"/>
      <c r="G46" s="1190"/>
      <c r="H46" s="1190"/>
      <c r="I46" s="1190"/>
      <c r="J46" s="1190"/>
      <c r="K46" s="1193"/>
      <c r="L46" s="1389"/>
      <c r="M46" s="1389"/>
    </row>
    <row r="47" spans="1:14">
      <c r="A47" s="820" t="s">
        <v>694</v>
      </c>
      <c r="B47" s="1196" t="s">
        <v>1693</v>
      </c>
      <c r="C47" s="1197"/>
      <c r="D47" s="1197"/>
      <c r="E47" s="1197"/>
      <c r="F47" s="1197"/>
      <c r="G47" s="1197"/>
      <c r="H47" s="1197"/>
      <c r="I47" s="1197"/>
      <c r="J47" s="1197"/>
      <c r="K47" s="1198"/>
      <c r="L47" s="1198"/>
      <c r="M47" s="1198"/>
    </row>
    <row r="48" spans="1:14">
      <c r="A48" s="820" t="s">
        <v>692</v>
      </c>
      <c r="B48" s="1196" t="s">
        <v>1694</v>
      </c>
      <c r="C48" s="1197"/>
      <c r="D48" s="1197"/>
      <c r="E48" s="1197"/>
      <c r="F48" s="1197"/>
      <c r="G48" s="1197"/>
      <c r="H48" s="1197"/>
      <c r="I48" s="1197"/>
      <c r="J48" s="1197"/>
      <c r="K48" s="1198"/>
      <c r="L48" s="1198"/>
      <c r="M48" s="1198"/>
      <c r="N48" s="1199"/>
    </row>
    <row r="49" spans="1:14" ht="15" customHeight="1">
      <c r="A49" s="820" t="s">
        <v>272</v>
      </c>
      <c r="B49" s="1196" t="s">
        <v>1695</v>
      </c>
      <c r="C49" s="1200"/>
      <c r="D49" s="1200"/>
      <c r="E49" s="1200"/>
      <c r="F49" s="1200"/>
      <c r="G49" s="1200"/>
      <c r="H49" s="1200"/>
      <c r="I49" s="1200"/>
      <c r="J49" s="1200"/>
      <c r="K49" s="1200"/>
      <c r="L49" s="1200"/>
      <c r="M49" s="1200"/>
    </row>
    <row r="50" spans="1:14">
      <c r="A50" s="820" t="s">
        <v>269</v>
      </c>
      <c r="B50" s="1196" t="s">
        <v>1696</v>
      </c>
      <c r="D50" s="1197"/>
      <c r="E50" s="1197"/>
      <c r="F50" s="1197"/>
      <c r="G50" s="1197"/>
      <c r="H50" s="1197"/>
      <c r="I50" s="1197"/>
      <c r="J50" s="1197"/>
      <c r="K50" s="1197"/>
      <c r="L50" s="1198"/>
      <c r="M50" s="1198"/>
    </row>
    <row r="51" spans="1:14" ht="15" customHeight="1">
      <c r="A51" s="820" t="s">
        <v>266</v>
      </c>
      <c r="B51" s="1196" t="s">
        <v>1697</v>
      </c>
      <c r="C51" s="1196"/>
      <c r="D51" s="1196"/>
      <c r="E51" s="1196"/>
      <c r="F51" s="1196"/>
      <c r="G51" s="1196"/>
      <c r="H51" s="1196"/>
      <c r="I51" s="1196"/>
      <c r="J51" s="1196"/>
      <c r="K51" s="1193"/>
      <c r="L51" s="855"/>
      <c r="M51" s="855"/>
    </row>
    <row r="52" spans="1:14" ht="15" customHeight="1">
      <c r="A52" s="820" t="s">
        <v>255</v>
      </c>
      <c r="B52" s="1196" t="s">
        <v>1698</v>
      </c>
      <c r="C52" s="1196"/>
      <c r="D52" s="1196"/>
      <c r="E52" s="1196"/>
      <c r="F52" s="1196"/>
      <c r="G52" s="1196"/>
      <c r="H52" s="1196"/>
      <c r="I52" s="1196"/>
      <c r="J52" s="1196"/>
      <c r="K52" s="1196"/>
      <c r="L52" s="1196"/>
      <c r="M52" s="1196"/>
    </row>
    <row r="53" spans="1:14" ht="15" customHeight="1">
      <c r="A53" s="820" t="s">
        <v>389</v>
      </c>
      <c r="B53" s="855" t="s">
        <v>1699</v>
      </c>
      <c r="C53" s="855"/>
      <c r="D53" s="855"/>
      <c r="E53" s="855"/>
      <c r="F53" s="855"/>
      <c r="G53" s="855"/>
      <c r="H53" s="855"/>
      <c r="I53" s="855"/>
      <c r="J53" s="855"/>
      <c r="K53" s="855"/>
      <c r="L53" s="855"/>
      <c r="M53" s="855"/>
    </row>
    <row r="54" spans="1:14" ht="15" customHeight="1">
      <c r="A54" s="820" t="s">
        <v>393</v>
      </c>
      <c r="B54" s="855" t="s">
        <v>1700</v>
      </c>
      <c r="C54" s="855"/>
      <c r="D54" s="855"/>
      <c r="E54" s="855"/>
      <c r="F54" s="855"/>
      <c r="G54" s="855"/>
      <c r="H54" s="855"/>
      <c r="I54" s="855"/>
      <c r="J54" s="855"/>
      <c r="K54" s="855"/>
    </row>
    <row r="55" spans="1:14" ht="15" customHeight="1">
      <c r="A55" s="820" t="s">
        <v>675</v>
      </c>
      <c r="B55" s="855" t="s">
        <v>1701</v>
      </c>
      <c r="C55" s="1200"/>
      <c r="D55" s="1200"/>
      <c r="E55" s="1200"/>
      <c r="F55" s="1200"/>
      <c r="G55" s="1200"/>
      <c r="H55" s="1200"/>
      <c r="I55" s="1200"/>
      <c r="J55" s="1200"/>
    </row>
    <row r="56" spans="1:14" ht="15" customHeight="1">
      <c r="A56" s="820" t="s">
        <v>673</v>
      </c>
      <c r="B56" s="854" t="s">
        <v>1702</v>
      </c>
      <c r="C56" s="854"/>
      <c r="D56" s="854"/>
      <c r="E56" s="854"/>
      <c r="F56" s="854"/>
      <c r="G56" s="854"/>
      <c r="H56" s="854"/>
      <c r="I56" s="854"/>
      <c r="J56" s="854"/>
      <c r="K56" s="854"/>
      <c r="L56" s="854"/>
      <c r="M56" s="854"/>
      <c r="N56" s="854"/>
    </row>
    <row r="57" spans="1:14" ht="15" customHeight="1">
      <c r="A57" s="820" t="s">
        <v>671</v>
      </c>
      <c r="B57" s="854" t="s">
        <v>1703</v>
      </c>
      <c r="C57" s="854"/>
      <c r="D57" s="854"/>
      <c r="E57" s="854"/>
      <c r="F57" s="854"/>
      <c r="G57" s="854"/>
      <c r="H57" s="854"/>
      <c r="I57" s="854"/>
      <c r="J57" s="854"/>
      <c r="K57" s="854"/>
      <c r="L57" s="854"/>
      <c r="M57" s="854"/>
      <c r="N57" s="854"/>
    </row>
    <row r="58" spans="1:14">
      <c r="A58" s="820" t="s">
        <v>786</v>
      </c>
      <c r="B58" s="1201" t="s">
        <v>1704</v>
      </c>
      <c r="C58" s="1202"/>
      <c r="D58" s="1202"/>
      <c r="E58" s="1202"/>
      <c r="F58" s="1202"/>
      <c r="G58" s="1202"/>
      <c r="H58" s="1202"/>
      <c r="I58" s="1202"/>
      <c r="J58" s="1202"/>
      <c r="K58" s="1202"/>
      <c r="L58" s="1202"/>
      <c r="M58" s="1202"/>
      <c r="N58" s="1202"/>
    </row>
    <row r="59" spans="1:14" ht="15" customHeight="1">
      <c r="A59" s="820" t="s">
        <v>1335</v>
      </c>
      <c r="B59" s="854" t="s">
        <v>1705</v>
      </c>
      <c r="C59" s="854"/>
      <c r="D59" s="854"/>
      <c r="E59" s="854"/>
      <c r="F59" s="854"/>
      <c r="G59" s="854"/>
      <c r="H59" s="854"/>
      <c r="I59" s="854"/>
      <c r="J59" s="854"/>
      <c r="K59" s="854"/>
      <c r="L59" s="854"/>
      <c r="M59" s="854"/>
      <c r="N59" s="854"/>
    </row>
    <row r="60" spans="1:14">
      <c r="A60" s="820" t="s">
        <v>742</v>
      </c>
      <c r="B60" s="1201" t="s">
        <v>1706</v>
      </c>
      <c r="C60" s="1202"/>
      <c r="D60" s="1202"/>
      <c r="E60" s="1202"/>
      <c r="F60" s="1202"/>
      <c r="G60" s="1202"/>
      <c r="H60" s="1202"/>
      <c r="I60" s="1202"/>
      <c r="J60" s="1202"/>
      <c r="K60" s="1202"/>
      <c r="L60" s="1202"/>
      <c r="M60" s="1202"/>
      <c r="N60" s="1202"/>
    </row>
    <row r="61" spans="1:14">
      <c r="A61" s="820"/>
      <c r="B61" s="1201"/>
      <c r="C61" s="1202"/>
      <c r="D61" s="1202"/>
      <c r="E61" s="1202"/>
      <c r="F61" s="1202"/>
      <c r="G61" s="1202"/>
      <c r="H61" s="1202"/>
      <c r="I61" s="1202"/>
      <c r="J61" s="1202"/>
      <c r="K61" s="1202"/>
      <c r="L61" s="1202"/>
      <c r="M61" s="1202"/>
      <c r="N61" s="1202"/>
    </row>
    <row r="62" spans="1:14">
      <c r="A62" s="1203" t="s">
        <v>669</v>
      </c>
      <c r="B62" s="1204"/>
      <c r="C62" s="1204"/>
      <c r="D62" s="1204"/>
      <c r="E62" s="1204"/>
      <c r="F62" s="1204"/>
      <c r="G62" s="1204"/>
      <c r="H62" s="1204"/>
      <c r="I62" s="1204"/>
    </row>
    <row r="63" spans="1:14">
      <c r="A63" s="1162">
        <v>1</v>
      </c>
      <c r="B63" s="854" t="s">
        <v>1707</v>
      </c>
      <c r="D63" s="1205"/>
      <c r="E63" s="1205"/>
      <c r="F63" s="1205"/>
      <c r="G63" s="1205"/>
      <c r="H63" s="1205"/>
      <c r="I63" s="1205"/>
      <c r="J63" s="1205"/>
      <c r="K63" s="1205"/>
    </row>
    <row r="64" spans="1:14">
      <c r="A64" s="1162">
        <v>2</v>
      </c>
      <c r="B64" s="854" t="s">
        <v>1708</v>
      </c>
      <c r="D64" s="1205"/>
      <c r="E64" s="1205"/>
      <c r="F64" s="1205"/>
      <c r="G64" s="1205"/>
      <c r="H64" s="1205"/>
      <c r="I64" s="1205"/>
    </row>
    <row r="65" spans="1:11">
      <c r="A65" s="1162">
        <v>3</v>
      </c>
      <c r="B65" s="854" t="s">
        <v>1709</v>
      </c>
      <c r="D65" s="1205"/>
      <c r="E65" s="1205"/>
      <c r="F65" s="1205"/>
      <c r="G65" s="1205"/>
      <c r="H65" s="1205"/>
      <c r="I65" s="1205"/>
      <c r="J65" s="1205"/>
      <c r="K65" s="1205"/>
    </row>
    <row r="66" spans="1:11">
      <c r="A66" s="1162">
        <v>6</v>
      </c>
      <c r="B66" s="854" t="s">
        <v>1710</v>
      </c>
      <c r="D66" s="1205"/>
      <c r="E66" s="1205"/>
      <c r="F66" s="1205"/>
      <c r="G66" s="1205"/>
      <c r="H66" s="1205"/>
      <c r="I66" s="1205"/>
      <c r="J66" s="1205"/>
      <c r="K66" s="1205"/>
    </row>
  </sheetData>
  <mergeCells count="17">
    <mergeCell ref="L44:M44"/>
    <mergeCell ref="L45:M45"/>
    <mergeCell ref="A46:B46"/>
    <mergeCell ref="L46:M46"/>
    <mergeCell ref="B41:J41"/>
    <mergeCell ref="L41:M41"/>
    <mergeCell ref="C42:K42"/>
    <mergeCell ref="L42:M42"/>
    <mergeCell ref="B43:J43"/>
    <mergeCell ref="L43:M43"/>
    <mergeCell ref="C40:K40"/>
    <mergeCell ref="L40:M40"/>
    <mergeCell ref="C3:L3"/>
    <mergeCell ref="G4:H4"/>
    <mergeCell ref="I4:J4"/>
    <mergeCell ref="A39:I39"/>
    <mergeCell ref="L39:M39"/>
  </mergeCells>
  <hyperlinks>
    <hyperlink ref="C3" location="INDEX" display="Biogas plant, additional straw input in the feedstock mix" xr:uid="{112B7D83-998D-4303-B313-FF285A1610F4}"/>
  </hyperlinks>
  <pageMargins left="0.7" right="0.7" top="0.75" bottom="0.75" header="0.3" footer="0.3"/>
  <pageSetup paperSize="9"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09F40-E6F5-4C70-8E32-798F0CC8C071}">
  <sheetPr>
    <tabColor rgb="FFFF0000"/>
  </sheetPr>
  <dimension ref="A2:N66"/>
  <sheetViews>
    <sheetView showGridLines="0" workbookViewId="0">
      <selection activeCell="D45" sqref="D45"/>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9.5546875" customWidth="1"/>
    <col min="12" max="12" width="5.33203125" customWidth="1"/>
    <col min="13" max="13" width="12.88671875" customWidth="1"/>
    <col min="14" max="14" width="13.6640625" customWidth="1"/>
  </cols>
  <sheetData>
    <row r="2" spans="1:14">
      <c r="A2" s="1162"/>
    </row>
    <row r="3" spans="1:14">
      <c r="A3" s="1162"/>
      <c r="B3" s="1163" t="s">
        <v>296</v>
      </c>
      <c r="C3" s="1391" t="s">
        <v>1711</v>
      </c>
      <c r="D3" s="1392"/>
      <c r="E3" s="1392"/>
      <c r="F3" s="1392"/>
      <c r="G3" s="1392"/>
      <c r="H3" s="1392"/>
      <c r="I3" s="1392"/>
      <c r="J3" s="1392"/>
      <c r="K3" s="1392"/>
      <c r="L3" s="1392"/>
    </row>
    <row r="4" spans="1:14">
      <c r="A4" s="1162"/>
      <c r="B4" s="1164"/>
      <c r="C4" s="1165">
        <v>2020</v>
      </c>
      <c r="D4" s="1165">
        <v>2030</v>
      </c>
      <c r="E4" s="1165">
        <v>2040</v>
      </c>
      <c r="F4" s="1165">
        <v>2050</v>
      </c>
      <c r="G4" s="1393" t="s">
        <v>290</v>
      </c>
      <c r="H4" s="1393"/>
      <c r="I4" s="1393" t="s">
        <v>289</v>
      </c>
      <c r="J4" s="1393"/>
      <c r="K4" s="1165" t="s">
        <v>288</v>
      </c>
      <c r="L4" s="1165" t="s">
        <v>287</v>
      </c>
    </row>
    <row r="5" spans="1:14">
      <c r="A5" s="1162"/>
      <c r="B5" s="1163" t="s">
        <v>282</v>
      </c>
      <c r="C5" s="1163"/>
      <c r="D5" s="1163"/>
      <c r="E5" s="1163"/>
      <c r="F5" s="1163"/>
      <c r="G5" s="1165" t="s">
        <v>284</v>
      </c>
      <c r="H5" s="1165" t="s">
        <v>283</v>
      </c>
      <c r="I5" s="1165" t="s">
        <v>284</v>
      </c>
      <c r="J5" s="1165" t="s">
        <v>283</v>
      </c>
      <c r="K5" s="1163"/>
      <c r="L5" s="1166"/>
      <c r="M5" s="51"/>
    </row>
    <row r="6" spans="1:14">
      <c r="A6" s="1162"/>
      <c r="B6" s="1164" t="s">
        <v>964</v>
      </c>
      <c r="C6" s="1167" t="s">
        <v>1712</v>
      </c>
      <c r="D6" s="1167">
        <v>273</v>
      </c>
      <c r="E6" s="1167">
        <v>300</v>
      </c>
      <c r="F6" s="1167">
        <v>330</v>
      </c>
      <c r="G6" s="1174">
        <v>136.5</v>
      </c>
      <c r="H6" s="1174">
        <v>409.5</v>
      </c>
      <c r="I6" s="1167">
        <v>165</v>
      </c>
      <c r="J6" s="1167">
        <v>495</v>
      </c>
      <c r="K6" s="1168" t="s">
        <v>1659</v>
      </c>
      <c r="L6" s="1166" t="s">
        <v>925</v>
      </c>
    </row>
    <row r="7" spans="1:14">
      <c r="A7" s="1162"/>
      <c r="B7" s="1164" t="s">
        <v>1660</v>
      </c>
      <c r="C7" s="1167" t="s">
        <v>1658</v>
      </c>
      <c r="D7" s="1167">
        <v>125</v>
      </c>
      <c r="E7" s="1167">
        <v>140</v>
      </c>
      <c r="F7" s="1167">
        <v>150</v>
      </c>
      <c r="G7" s="1174">
        <v>62.5</v>
      </c>
      <c r="H7" s="1174">
        <v>187.5</v>
      </c>
      <c r="I7" s="1174">
        <v>75</v>
      </c>
      <c r="J7" s="1174">
        <v>225</v>
      </c>
      <c r="K7" s="1168" t="s">
        <v>1661</v>
      </c>
      <c r="L7" s="1166" t="s">
        <v>925</v>
      </c>
    </row>
    <row r="8" spans="1:14">
      <c r="A8" s="1162"/>
      <c r="B8" s="1164" t="s">
        <v>1662</v>
      </c>
      <c r="C8" s="1167" t="s">
        <v>1658</v>
      </c>
      <c r="D8" s="1167">
        <v>89000</v>
      </c>
      <c r="E8" s="1167">
        <v>98000</v>
      </c>
      <c r="F8" s="1167">
        <v>110000</v>
      </c>
      <c r="G8" s="1167">
        <v>45000</v>
      </c>
      <c r="H8" s="1167">
        <v>130000</v>
      </c>
      <c r="I8" s="1167">
        <v>55000</v>
      </c>
      <c r="J8" s="1167">
        <v>160000</v>
      </c>
      <c r="K8" s="1168" t="s">
        <v>1665</v>
      </c>
      <c r="L8" s="1166" t="s">
        <v>925</v>
      </c>
    </row>
    <row r="9" spans="1:14">
      <c r="A9" s="1162"/>
      <c r="B9" s="1223"/>
      <c r="C9" s="1224"/>
      <c r="D9" s="1224"/>
      <c r="E9" s="1224"/>
      <c r="F9" s="1224"/>
      <c r="G9" s="1224"/>
      <c r="H9" s="1224"/>
      <c r="I9" s="1224"/>
      <c r="J9" s="1224"/>
      <c r="K9" s="1224"/>
      <c r="L9" s="1225"/>
      <c r="M9" s="84"/>
    </row>
    <row r="10" spans="1:14">
      <c r="A10" s="1162"/>
      <c r="B10" s="1169" t="s">
        <v>1666</v>
      </c>
      <c r="C10" s="1226"/>
      <c r="D10" s="1226"/>
      <c r="E10" s="1226"/>
      <c r="F10" s="1226"/>
      <c r="G10" s="1226"/>
      <c r="H10" s="1226"/>
      <c r="I10" s="1226"/>
      <c r="J10" s="1226"/>
      <c r="K10" s="1224"/>
      <c r="L10" s="1227"/>
    </row>
    <row r="11" spans="1:14">
      <c r="A11" s="1162"/>
      <c r="B11" s="1164" t="s">
        <v>1667</v>
      </c>
      <c r="C11" s="1167" t="s">
        <v>1658</v>
      </c>
      <c r="D11" s="1167">
        <v>84</v>
      </c>
      <c r="E11" s="1167">
        <v>86</v>
      </c>
      <c r="F11" s="1167">
        <v>88</v>
      </c>
      <c r="G11" s="1167">
        <v>82</v>
      </c>
      <c r="H11" s="1167">
        <v>86</v>
      </c>
      <c r="I11" s="1167">
        <v>86</v>
      </c>
      <c r="J11" s="1167">
        <v>90</v>
      </c>
      <c r="K11" s="1168" t="s">
        <v>1668</v>
      </c>
      <c r="L11" s="1166" t="s">
        <v>925</v>
      </c>
    </row>
    <row r="12" spans="1:14">
      <c r="A12" s="1162"/>
      <c r="B12" s="1164" t="s">
        <v>1669</v>
      </c>
      <c r="C12" s="1167" t="s">
        <v>1658</v>
      </c>
      <c r="D12" s="1167">
        <v>16</v>
      </c>
      <c r="E12" s="1167">
        <v>14</v>
      </c>
      <c r="F12" s="1167">
        <v>12</v>
      </c>
      <c r="G12" s="1167">
        <v>14</v>
      </c>
      <c r="H12" s="1167">
        <v>18</v>
      </c>
      <c r="I12" s="1167">
        <v>10</v>
      </c>
      <c r="J12" s="1167">
        <v>14</v>
      </c>
      <c r="K12" s="1168" t="s">
        <v>1670</v>
      </c>
      <c r="L12" s="1166" t="s">
        <v>925</v>
      </c>
    </row>
    <row r="13" spans="1:14">
      <c r="A13" s="1162"/>
      <c r="B13" s="1223"/>
      <c r="C13" s="1224"/>
      <c r="D13" s="1224"/>
      <c r="E13" s="1224"/>
      <c r="F13" s="1224"/>
      <c r="G13" s="1224"/>
      <c r="H13" s="1224"/>
      <c r="I13" s="1224"/>
      <c r="J13" s="1224"/>
      <c r="K13" s="1228"/>
      <c r="L13" s="1225"/>
      <c r="M13" s="1171"/>
    </row>
    <row r="14" spans="1:14">
      <c r="A14" s="1162"/>
      <c r="B14" s="1169" t="s">
        <v>721</v>
      </c>
      <c r="C14" s="1226"/>
      <c r="D14" s="1229">
        <f>SUM(D15:D19)</f>
        <v>100</v>
      </c>
      <c r="E14" s="1229">
        <f t="shared" ref="E14:F14" si="0">SUM(E15:E19)</f>
        <v>100</v>
      </c>
      <c r="F14" s="1229">
        <f t="shared" si="0"/>
        <v>100</v>
      </c>
      <c r="G14" s="1229"/>
      <c r="H14" s="1226"/>
      <c r="I14" s="1226"/>
      <c r="J14" s="1226"/>
      <c r="K14" s="1228"/>
      <c r="L14" s="1227"/>
    </row>
    <row r="15" spans="1:14">
      <c r="A15" s="1162"/>
      <c r="B15" s="1164" t="s">
        <v>1671</v>
      </c>
      <c r="C15" s="1167" t="s">
        <v>1658</v>
      </c>
      <c r="D15" s="1167">
        <v>45</v>
      </c>
      <c r="E15" s="1167">
        <v>46</v>
      </c>
      <c r="F15" s="1167">
        <v>47</v>
      </c>
      <c r="G15" s="1167">
        <v>41</v>
      </c>
      <c r="H15" s="1167">
        <v>49</v>
      </c>
      <c r="I15" s="1167">
        <v>43</v>
      </c>
      <c r="J15" s="1167">
        <v>51</v>
      </c>
      <c r="K15" s="1168" t="s">
        <v>1661</v>
      </c>
      <c r="L15" s="1166" t="s">
        <v>925</v>
      </c>
      <c r="M15" s="1175"/>
      <c r="N15" s="1230"/>
    </row>
    <row r="16" spans="1:14">
      <c r="A16" s="1162"/>
      <c r="B16" s="1164" t="s">
        <v>1672</v>
      </c>
      <c r="C16" s="1167" t="s">
        <v>1658</v>
      </c>
      <c r="D16" s="1167">
        <v>30</v>
      </c>
      <c r="E16" s="1167">
        <v>31</v>
      </c>
      <c r="F16" s="1167">
        <v>32</v>
      </c>
      <c r="G16" s="1167">
        <v>27</v>
      </c>
      <c r="H16" s="1167">
        <v>33</v>
      </c>
      <c r="I16" s="1167">
        <v>29</v>
      </c>
      <c r="J16" s="1167">
        <v>35</v>
      </c>
      <c r="K16" s="1168" t="s">
        <v>1673</v>
      </c>
      <c r="L16" s="1166" t="s">
        <v>925</v>
      </c>
    </row>
    <row r="17" spans="1:13">
      <c r="A17" s="1162"/>
      <c r="B17" s="1164" t="s">
        <v>1674</v>
      </c>
      <c r="C17" s="1167" t="s">
        <v>1658</v>
      </c>
      <c r="D17" s="1167">
        <v>9</v>
      </c>
      <c r="E17" s="1167">
        <v>8</v>
      </c>
      <c r="F17" s="1167">
        <v>7</v>
      </c>
      <c r="G17" s="1174">
        <f>D17-D17*0.5</f>
        <v>4.5</v>
      </c>
      <c r="H17" s="1174">
        <f>D17+D17*0.5</f>
        <v>13.5</v>
      </c>
      <c r="I17" s="1174">
        <f>F17-F17*0.5</f>
        <v>3.5</v>
      </c>
      <c r="J17" s="1174">
        <f>F17+F17*0.5</f>
        <v>10.5</v>
      </c>
      <c r="K17" s="1168" t="s">
        <v>1675</v>
      </c>
      <c r="L17" s="1166"/>
    </row>
    <row r="18" spans="1:13">
      <c r="A18" s="1162"/>
      <c r="B18" s="1164" t="s">
        <v>1676</v>
      </c>
      <c r="C18" s="1167" t="s">
        <v>1658</v>
      </c>
      <c r="D18" s="1167">
        <v>11</v>
      </c>
      <c r="E18" s="1167">
        <v>10</v>
      </c>
      <c r="F18" s="1167">
        <v>10</v>
      </c>
      <c r="G18" s="1174">
        <f>D18-D18*0.5</f>
        <v>5.5</v>
      </c>
      <c r="H18" s="1174">
        <f>D18+D18*0.5</f>
        <v>16.5</v>
      </c>
      <c r="I18" s="1174">
        <f>F18-F18*0.5</f>
        <v>5</v>
      </c>
      <c r="J18" s="1174">
        <f>F18+F18*0.5</f>
        <v>15</v>
      </c>
      <c r="K18" s="1168" t="s">
        <v>1670</v>
      </c>
      <c r="L18" s="1166" t="s">
        <v>925</v>
      </c>
    </row>
    <row r="19" spans="1:13" ht="14.4" customHeight="1">
      <c r="A19" s="1162"/>
      <c r="B19" s="1164" t="s">
        <v>1677</v>
      </c>
      <c r="C19" s="1167" t="s">
        <v>1658</v>
      </c>
      <c r="D19" s="1167">
        <v>5</v>
      </c>
      <c r="E19" s="1167">
        <v>5</v>
      </c>
      <c r="F19" s="1167">
        <v>4</v>
      </c>
      <c r="G19" s="1167">
        <v>4</v>
      </c>
      <c r="H19" s="1167">
        <v>10</v>
      </c>
      <c r="I19" s="1167">
        <v>2</v>
      </c>
      <c r="J19" s="1167">
        <v>8</v>
      </c>
      <c r="K19" s="1168" t="s">
        <v>1670</v>
      </c>
      <c r="L19" s="1166" t="s">
        <v>925</v>
      </c>
    </row>
    <row r="20" spans="1:13">
      <c r="A20" s="1162"/>
      <c r="B20" s="1164"/>
      <c r="C20" s="1167"/>
      <c r="D20" s="1167"/>
      <c r="E20" s="1167"/>
      <c r="F20" s="1167"/>
      <c r="G20" s="1167"/>
      <c r="H20" s="1167"/>
      <c r="I20" s="1167"/>
      <c r="J20" s="1167"/>
      <c r="K20" s="1168"/>
      <c r="L20" s="1166"/>
    </row>
    <row r="21" spans="1:13">
      <c r="A21" s="1162"/>
      <c r="B21" s="1164" t="s">
        <v>59</v>
      </c>
      <c r="C21" s="1167" t="s">
        <v>1658</v>
      </c>
      <c r="D21" s="1167">
        <v>20</v>
      </c>
      <c r="E21" s="1167">
        <v>10</v>
      </c>
      <c r="F21" s="1167">
        <v>1</v>
      </c>
      <c r="G21" s="1167">
        <v>10</v>
      </c>
      <c r="H21" s="1167">
        <v>30</v>
      </c>
      <c r="I21" s="1167">
        <v>0</v>
      </c>
      <c r="J21" s="1167">
        <v>2</v>
      </c>
      <c r="K21" s="1168" t="s">
        <v>694</v>
      </c>
      <c r="L21" s="1166"/>
    </row>
    <row r="22" spans="1:13" ht="14.25" customHeight="1">
      <c r="A22" s="1162"/>
      <c r="B22" s="1164" t="s">
        <v>92</v>
      </c>
      <c r="C22" s="1167" t="s">
        <v>1658</v>
      </c>
      <c r="D22" s="1167">
        <v>16</v>
      </c>
      <c r="E22" s="1167">
        <v>4</v>
      </c>
      <c r="F22" s="1167">
        <v>2</v>
      </c>
      <c r="G22" s="1167">
        <v>10</v>
      </c>
      <c r="H22" s="1167">
        <v>22</v>
      </c>
      <c r="I22" s="1167">
        <v>2</v>
      </c>
      <c r="J22" s="1167">
        <v>4</v>
      </c>
      <c r="K22" s="1168" t="s">
        <v>1678</v>
      </c>
      <c r="L22" s="1166"/>
    </row>
    <row r="23" spans="1:13">
      <c r="A23" s="1162"/>
      <c r="B23" s="1164" t="s">
        <v>58</v>
      </c>
      <c r="C23" s="1167" t="s">
        <v>1658</v>
      </c>
      <c r="D23" s="1167">
        <v>20</v>
      </c>
      <c r="E23" s="1167">
        <v>25</v>
      </c>
      <c r="F23" s="1167">
        <v>25</v>
      </c>
      <c r="G23" s="1167">
        <v>15</v>
      </c>
      <c r="H23" s="1167">
        <v>25</v>
      </c>
      <c r="I23" s="1167">
        <v>20</v>
      </c>
      <c r="J23" s="1167">
        <v>30</v>
      </c>
      <c r="K23" s="1168" t="s">
        <v>1670</v>
      </c>
      <c r="L23" s="1166" t="s">
        <v>917</v>
      </c>
    </row>
    <row r="24" spans="1:13">
      <c r="A24" s="1162"/>
      <c r="B24" s="1164" t="s">
        <v>60</v>
      </c>
      <c r="C24" s="1167" t="s">
        <v>1658</v>
      </c>
      <c r="D24" s="1167">
        <v>2</v>
      </c>
      <c r="E24" s="1167">
        <v>2</v>
      </c>
      <c r="F24" s="1167">
        <v>2</v>
      </c>
      <c r="G24" s="1174">
        <v>1.5</v>
      </c>
      <c r="H24" s="1174">
        <v>2.5</v>
      </c>
      <c r="I24" s="1174">
        <v>1.5</v>
      </c>
      <c r="J24" s="1174">
        <v>2.5</v>
      </c>
      <c r="K24" s="1168" t="s">
        <v>1680</v>
      </c>
      <c r="L24" s="1166"/>
    </row>
    <row r="25" spans="1:13">
      <c r="A25" s="1162"/>
      <c r="B25" s="1164"/>
      <c r="C25" s="1167"/>
      <c r="D25" s="1167"/>
      <c r="E25" s="1167"/>
      <c r="F25" s="1167"/>
      <c r="G25" s="1167"/>
      <c r="H25" s="1167"/>
      <c r="I25" s="1167"/>
      <c r="J25" s="1167"/>
      <c r="K25" s="1168"/>
      <c r="L25" s="1166"/>
    </row>
    <row r="26" spans="1:13">
      <c r="A26" s="1162"/>
      <c r="B26" s="1177" t="s">
        <v>1713</v>
      </c>
      <c r="C26" s="1177"/>
      <c r="D26" s="1177"/>
      <c r="E26" s="1177"/>
      <c r="F26" s="1177"/>
      <c r="G26" s="1177"/>
      <c r="H26" s="1177"/>
      <c r="I26" s="1177"/>
      <c r="J26" s="1177"/>
      <c r="K26" s="1177"/>
      <c r="L26" s="1177"/>
    </row>
    <row r="27" spans="1:13" ht="22.8">
      <c r="A27" s="1162"/>
      <c r="B27" s="1164" t="s">
        <v>1682</v>
      </c>
      <c r="C27" s="1167" t="s">
        <v>1658</v>
      </c>
      <c r="D27" s="1174">
        <v>0.83333333333333326</v>
      </c>
      <c r="E27" s="1174">
        <v>0.76666666666666672</v>
      </c>
      <c r="F27" s="1174">
        <v>0.66666666666666674</v>
      </c>
      <c r="G27" s="1174">
        <v>0.4</v>
      </c>
      <c r="H27" s="1174">
        <v>1.3</v>
      </c>
      <c r="I27" s="1174">
        <v>0.3</v>
      </c>
      <c r="J27" s="1174">
        <v>1</v>
      </c>
      <c r="K27" s="1168" t="s">
        <v>1714</v>
      </c>
      <c r="L27" s="1166" t="s">
        <v>1684</v>
      </c>
      <c r="M27" s="1178"/>
    </row>
    <row r="28" spans="1:13">
      <c r="A28" s="1162"/>
      <c r="B28" s="1164" t="s">
        <v>954</v>
      </c>
      <c r="C28" s="1167" t="s">
        <v>1658</v>
      </c>
      <c r="D28" s="1167">
        <v>50</v>
      </c>
      <c r="E28" s="1167">
        <v>50</v>
      </c>
      <c r="F28" s="1167">
        <v>50</v>
      </c>
      <c r="G28" s="1167">
        <v>45</v>
      </c>
      <c r="H28" s="1167">
        <v>55</v>
      </c>
      <c r="I28" s="1167">
        <v>45</v>
      </c>
      <c r="J28" s="1167">
        <v>55</v>
      </c>
      <c r="K28" s="1168" t="s">
        <v>1670</v>
      </c>
      <c r="L28" s="1166"/>
    </row>
    <row r="29" spans="1:13">
      <c r="A29" s="1162"/>
      <c r="B29" s="1164" t="s">
        <v>952</v>
      </c>
      <c r="C29" s="1167" t="s">
        <v>1658</v>
      </c>
      <c r="D29" s="1167">
        <v>50</v>
      </c>
      <c r="E29" s="1167">
        <v>50</v>
      </c>
      <c r="F29" s="1167">
        <v>50</v>
      </c>
      <c r="G29" s="1167">
        <v>45</v>
      </c>
      <c r="H29" s="1167">
        <v>55</v>
      </c>
      <c r="I29" s="1167">
        <v>45</v>
      </c>
      <c r="J29" s="1167">
        <v>55</v>
      </c>
      <c r="K29" s="1168" t="s">
        <v>1670</v>
      </c>
      <c r="L29" s="1166"/>
    </row>
    <row r="30" spans="1:13" ht="14.25" customHeight="1">
      <c r="A30" s="1162"/>
      <c r="B30" s="1164" t="s">
        <v>1686</v>
      </c>
      <c r="C30" s="1167" t="s">
        <v>1658</v>
      </c>
      <c r="D30" s="1167">
        <f>D27*0.03*1000000</f>
        <v>24999.999999999996</v>
      </c>
      <c r="E30" s="1167">
        <f t="shared" ref="E30:F30" si="1">E27*0.03*1000000</f>
        <v>23000</v>
      </c>
      <c r="F30" s="1167">
        <f t="shared" si="1"/>
        <v>20000</v>
      </c>
      <c r="G30" s="1167">
        <v>13000</v>
      </c>
      <c r="H30" s="1167">
        <v>38000</v>
      </c>
      <c r="I30" s="1167">
        <v>10000</v>
      </c>
      <c r="J30" s="1167">
        <v>31000</v>
      </c>
      <c r="K30" s="1168" t="s">
        <v>1687</v>
      </c>
      <c r="L30" s="1166" t="s">
        <v>1684</v>
      </c>
    </row>
    <row r="31" spans="1:13" ht="15.75" customHeight="1">
      <c r="A31" s="1162"/>
      <c r="B31" s="1164" t="s">
        <v>1688</v>
      </c>
      <c r="C31" s="1167" t="s">
        <v>1658</v>
      </c>
      <c r="D31" s="1167">
        <v>4</v>
      </c>
      <c r="E31" s="1167">
        <f>D31*0.9</f>
        <v>3.6</v>
      </c>
      <c r="F31" s="1167">
        <f>E31*0.9</f>
        <v>3.24</v>
      </c>
      <c r="G31" s="1167">
        <f>D31-D31*0.5</f>
        <v>2</v>
      </c>
      <c r="H31" s="1167">
        <f>D31+D31*0.5</f>
        <v>6</v>
      </c>
      <c r="I31" s="1167">
        <f>F31-F31*0.5</f>
        <v>1.62</v>
      </c>
      <c r="J31" s="1167">
        <f>F31+F31*0.5</f>
        <v>4.8600000000000003</v>
      </c>
      <c r="K31" s="1168" t="s">
        <v>1715</v>
      </c>
      <c r="L31" s="1166" t="s">
        <v>1684</v>
      </c>
    </row>
    <row r="32" spans="1:13">
      <c r="A32" s="1162"/>
      <c r="B32" s="1164" t="s">
        <v>1690</v>
      </c>
      <c r="C32" s="1167" t="s">
        <v>1658</v>
      </c>
      <c r="D32" s="1167" t="s">
        <v>1658</v>
      </c>
      <c r="E32" s="1167" t="s">
        <v>1658</v>
      </c>
      <c r="F32" s="1167" t="s">
        <v>1658</v>
      </c>
      <c r="G32" s="1167" t="s">
        <v>1658</v>
      </c>
      <c r="H32" s="1167" t="s">
        <v>1658</v>
      </c>
      <c r="I32" s="1167" t="s">
        <v>1658</v>
      </c>
      <c r="J32" s="1167" t="s">
        <v>1658</v>
      </c>
      <c r="K32" s="1168"/>
      <c r="L32" s="1166"/>
    </row>
    <row r="33" spans="1:14">
      <c r="A33" s="1162"/>
      <c r="B33" s="1164"/>
      <c r="C33" s="1167"/>
      <c r="D33" s="1167"/>
      <c r="E33" s="1167"/>
      <c r="F33" s="1167"/>
      <c r="G33" s="1167"/>
      <c r="H33" s="1167"/>
      <c r="I33" s="1167"/>
      <c r="J33" s="1167"/>
      <c r="K33" s="1168"/>
      <c r="L33" s="1166"/>
    </row>
    <row r="34" spans="1:14">
      <c r="A34" s="1162"/>
      <c r="B34" s="1177" t="s">
        <v>260</v>
      </c>
      <c r="C34" s="1177"/>
      <c r="D34" s="1177"/>
      <c r="E34" s="1177"/>
      <c r="F34" s="1177"/>
      <c r="G34" s="1177"/>
      <c r="H34" s="1177"/>
      <c r="I34" s="1177"/>
      <c r="J34" s="1177"/>
      <c r="K34" s="1177"/>
      <c r="L34" s="1177"/>
    </row>
    <row r="35" spans="1:14">
      <c r="A35" s="1162"/>
      <c r="B35" s="1164" t="s">
        <v>1691</v>
      </c>
      <c r="C35" s="1167" t="s">
        <v>1658</v>
      </c>
      <c r="D35" s="1167">
        <v>89</v>
      </c>
      <c r="E35" s="1167">
        <v>90</v>
      </c>
      <c r="F35" s="1167">
        <v>91</v>
      </c>
      <c r="G35" s="1167" t="s">
        <v>1658</v>
      </c>
      <c r="H35" s="1167" t="s">
        <v>1658</v>
      </c>
      <c r="I35" s="1167" t="s">
        <v>1658</v>
      </c>
      <c r="J35" s="1167" t="s">
        <v>1658</v>
      </c>
      <c r="K35" s="1168" t="s">
        <v>1692</v>
      </c>
      <c r="L35" s="1166"/>
      <c r="M35" s="1180"/>
    </row>
    <row r="36" spans="1:14" ht="34.200000000000003" hidden="1">
      <c r="A36" s="1162"/>
      <c r="B36">
        <f>500/7.48</f>
        <v>66.844919786096256</v>
      </c>
      <c r="C36" s="1184" t="s">
        <v>1562</v>
      </c>
      <c r="D36" s="1185" t="e">
        <f>#REF!*100</f>
        <v>#REF!</v>
      </c>
      <c r="E36" s="1185" t="e">
        <f>#REF!</f>
        <v>#REF!</v>
      </c>
      <c r="F36" s="1185" t="e">
        <f>E36</f>
        <v>#REF!</v>
      </c>
      <c r="G36" s="1185" t="e">
        <f>F36</f>
        <v>#REF!</v>
      </c>
      <c r="H36" s="1186"/>
      <c r="I36" s="1186"/>
      <c r="J36" s="882"/>
      <c r="K36" s="882"/>
      <c r="L36" s="1187" t="s">
        <v>1563</v>
      </c>
      <c r="M36" s="1188" t="s">
        <v>1564</v>
      </c>
      <c r="N36" s="1189"/>
    </row>
    <row r="37" spans="1:14" hidden="1">
      <c r="A37" s="1162"/>
    </row>
    <row r="38" spans="1:14" hidden="1">
      <c r="A38" s="1162"/>
      <c r="C38" s="1190"/>
      <c r="D38" s="1191"/>
      <c r="E38" s="1191"/>
      <c r="F38" s="1191"/>
      <c r="G38" s="1191"/>
      <c r="H38" s="1192"/>
      <c r="I38" s="1192"/>
    </row>
    <row r="39" spans="1:14" ht="14.4" hidden="1" customHeight="1">
      <c r="A39" s="1389"/>
      <c r="B39" s="1389"/>
      <c r="C39" s="1389"/>
      <c r="D39" s="1389"/>
      <c r="E39" s="1389"/>
      <c r="F39" s="1389"/>
      <c r="G39" s="1389"/>
      <c r="H39" s="1389"/>
      <c r="I39" s="1389"/>
      <c r="J39" s="1129"/>
      <c r="K39" s="1193"/>
      <c r="L39" s="1389"/>
      <c r="M39" s="1389"/>
    </row>
    <row r="40" spans="1:14" ht="14.4" hidden="1" customHeight="1">
      <c r="A40" s="1193"/>
      <c r="C40" s="1389"/>
      <c r="D40" s="1390"/>
      <c r="E40" s="1390"/>
      <c r="F40" s="1390"/>
      <c r="G40" s="1390"/>
      <c r="H40" s="1390"/>
      <c r="I40" s="1390"/>
      <c r="J40" s="1390"/>
      <c r="K40" s="1390"/>
      <c r="L40" s="1389"/>
      <c r="M40" s="1389"/>
    </row>
    <row r="41" spans="1:14" ht="14.4" hidden="1" customHeight="1">
      <c r="A41" s="1194"/>
      <c r="B41" s="1389"/>
      <c r="C41" s="1390"/>
      <c r="D41" s="1390"/>
      <c r="E41" s="1390"/>
      <c r="F41" s="1390"/>
      <c r="G41" s="1390"/>
      <c r="H41" s="1390"/>
      <c r="I41" s="1390"/>
      <c r="J41" s="1390"/>
      <c r="K41" s="1193"/>
      <c r="L41" s="1389"/>
      <c r="M41" s="1389"/>
    </row>
    <row r="42" spans="1:14" ht="14.4" hidden="1" customHeight="1">
      <c r="A42" s="1193"/>
      <c r="C42" s="1389"/>
      <c r="D42" s="1390"/>
      <c r="E42" s="1390"/>
      <c r="F42" s="1390"/>
      <c r="G42" s="1390"/>
      <c r="H42" s="1390"/>
      <c r="I42" s="1390"/>
      <c r="J42" s="1390"/>
      <c r="K42" s="1390"/>
      <c r="L42" s="1389"/>
      <c r="M42" s="1389"/>
    </row>
    <row r="43" spans="1:14" ht="14.4" hidden="1" customHeight="1">
      <c r="A43" s="1193"/>
      <c r="B43" s="1389"/>
      <c r="C43" s="1390"/>
      <c r="D43" s="1390"/>
      <c r="E43" s="1390"/>
      <c r="F43" s="1390"/>
      <c r="G43" s="1390"/>
      <c r="H43" s="1390"/>
      <c r="I43" s="1390"/>
      <c r="J43" s="1390"/>
      <c r="K43" s="1193"/>
      <c r="L43" s="1389"/>
      <c r="M43" s="1389"/>
    </row>
    <row r="44" spans="1:14" ht="3.9" hidden="1" customHeight="1">
      <c r="B44" s="856"/>
      <c r="L44" s="1389"/>
      <c r="M44" s="1389"/>
    </row>
    <row r="45" spans="1:14">
      <c r="A45" s="1193"/>
      <c r="B45" s="1129"/>
      <c r="C45" s="1129"/>
      <c r="D45" s="1195"/>
      <c r="E45" s="1129"/>
      <c r="F45" s="1129"/>
      <c r="G45" s="1129"/>
      <c r="H45" s="1129"/>
      <c r="I45" s="1129"/>
      <c r="J45" s="1129"/>
      <c r="K45" s="1193"/>
      <c r="L45" s="1389"/>
      <c r="M45" s="1389"/>
    </row>
    <row r="46" spans="1:14" ht="14.4" customHeight="1">
      <c r="A46" s="1394" t="s">
        <v>695</v>
      </c>
      <c r="B46" s="1394"/>
      <c r="C46" s="1190"/>
      <c r="D46" s="1190"/>
      <c r="E46" s="1190"/>
      <c r="F46" s="1190"/>
      <c r="G46" s="1190"/>
      <c r="H46" s="1190"/>
      <c r="I46" s="1190"/>
      <c r="J46" s="1190"/>
      <c r="K46" s="1193"/>
      <c r="L46" s="1389"/>
      <c r="M46" s="1389"/>
    </row>
    <row r="47" spans="1:14">
      <c r="A47" s="820" t="s">
        <v>694</v>
      </c>
      <c r="B47" s="1196" t="s">
        <v>1693</v>
      </c>
      <c r="C47" s="1197"/>
      <c r="D47" s="1197"/>
      <c r="E47" s="1197"/>
      <c r="F47" s="1197"/>
      <c r="G47" s="1197"/>
      <c r="H47" s="1197"/>
      <c r="I47" s="1197"/>
      <c r="J47" s="1197"/>
      <c r="K47" s="1198"/>
      <c r="L47" s="1198"/>
      <c r="M47" s="1198"/>
    </row>
    <row r="48" spans="1:14">
      <c r="A48" s="820" t="s">
        <v>692</v>
      </c>
      <c r="B48" s="1196" t="s">
        <v>1694</v>
      </c>
      <c r="C48" s="1197"/>
      <c r="D48" s="1197"/>
      <c r="E48" s="1197"/>
      <c r="F48" s="1197"/>
      <c r="G48" s="1197"/>
      <c r="H48" s="1197"/>
      <c r="I48" s="1197"/>
      <c r="J48" s="1197"/>
      <c r="K48" s="1198"/>
      <c r="L48" s="1198"/>
      <c r="M48" s="1198"/>
      <c r="N48" s="1199"/>
    </row>
    <row r="49" spans="1:14" ht="15" customHeight="1">
      <c r="A49" s="820" t="s">
        <v>272</v>
      </c>
      <c r="B49" s="1196" t="s">
        <v>1695</v>
      </c>
      <c r="C49" s="1200"/>
      <c r="D49" s="1200"/>
      <c r="E49" s="1200"/>
      <c r="F49" s="1200"/>
      <c r="G49" s="1200"/>
      <c r="H49" s="1200"/>
      <c r="I49" s="1200"/>
      <c r="J49" s="1200"/>
      <c r="K49" s="1200"/>
      <c r="L49" s="1200"/>
      <c r="M49" s="1200"/>
    </row>
    <row r="50" spans="1:14">
      <c r="A50" s="820" t="s">
        <v>269</v>
      </c>
      <c r="B50" s="1196" t="s">
        <v>1696</v>
      </c>
      <c r="D50" s="1197"/>
      <c r="E50" s="1197"/>
      <c r="F50" s="1197"/>
      <c r="G50" s="1197"/>
      <c r="H50" s="1197"/>
      <c r="I50" s="1197"/>
      <c r="J50" s="1197"/>
      <c r="K50" s="1197"/>
      <c r="L50" s="1198"/>
      <c r="M50" s="1198"/>
    </row>
    <row r="51" spans="1:14" ht="15" customHeight="1">
      <c r="A51" s="820" t="s">
        <v>266</v>
      </c>
      <c r="B51" s="1196" t="s">
        <v>1697</v>
      </c>
      <c r="C51" s="1196"/>
      <c r="D51" s="1196"/>
      <c r="E51" s="1196"/>
      <c r="F51" s="1196"/>
      <c r="G51" s="1196"/>
      <c r="H51" s="1196"/>
      <c r="I51" s="1196"/>
      <c r="J51" s="1196"/>
      <c r="K51" s="1193"/>
      <c r="L51" s="855"/>
      <c r="M51" s="855"/>
    </row>
    <row r="52" spans="1:14" ht="15" customHeight="1">
      <c r="A52" s="820" t="s">
        <v>255</v>
      </c>
      <c r="B52" s="1196" t="s">
        <v>1698</v>
      </c>
      <c r="C52" s="1196"/>
      <c r="D52" s="1196"/>
      <c r="E52" s="1196"/>
      <c r="F52" s="1196"/>
      <c r="G52" s="1196"/>
      <c r="H52" s="1196"/>
      <c r="I52" s="1196"/>
      <c r="J52" s="1196"/>
      <c r="K52" s="1196"/>
      <c r="L52" s="1196"/>
      <c r="M52" s="1196"/>
    </row>
    <row r="53" spans="1:14" ht="15" customHeight="1">
      <c r="A53" s="820" t="s">
        <v>389</v>
      </c>
      <c r="B53" s="855" t="s">
        <v>1699</v>
      </c>
      <c r="C53" s="855"/>
      <c r="D53" s="855"/>
      <c r="E53" s="855"/>
      <c r="F53" s="855"/>
      <c r="G53" s="855"/>
      <c r="H53" s="855"/>
      <c r="I53" s="855"/>
      <c r="J53" s="855"/>
      <c r="K53" s="855"/>
      <c r="L53" s="855"/>
      <c r="M53" s="855"/>
    </row>
    <row r="54" spans="1:14" ht="15" customHeight="1">
      <c r="A54" s="820" t="s">
        <v>393</v>
      </c>
      <c r="B54" s="855" t="s">
        <v>1700</v>
      </c>
      <c r="C54" s="855"/>
      <c r="D54" s="855"/>
      <c r="E54" s="855"/>
      <c r="F54" s="855"/>
      <c r="G54" s="855"/>
      <c r="H54" s="855"/>
      <c r="I54" s="855"/>
      <c r="J54" s="855"/>
      <c r="K54" s="855"/>
    </row>
    <row r="55" spans="1:14" ht="15" customHeight="1">
      <c r="A55" s="820" t="s">
        <v>675</v>
      </c>
      <c r="B55" s="855" t="s">
        <v>1701</v>
      </c>
      <c r="C55" s="1200"/>
      <c r="D55" s="1200"/>
      <c r="E55" s="1200"/>
      <c r="F55" s="1200"/>
      <c r="G55" s="1200"/>
      <c r="H55" s="1200"/>
      <c r="I55" s="1200"/>
      <c r="J55" s="1200"/>
    </row>
    <row r="56" spans="1:14" ht="15" customHeight="1">
      <c r="A56" s="820" t="s">
        <v>673</v>
      </c>
      <c r="B56" s="854" t="s">
        <v>1702</v>
      </c>
      <c r="C56" s="854"/>
      <c r="D56" s="854"/>
      <c r="E56" s="854"/>
      <c r="F56" s="854"/>
      <c r="G56" s="854"/>
      <c r="H56" s="854"/>
      <c r="I56" s="854"/>
      <c r="J56" s="854"/>
      <c r="K56" s="854"/>
      <c r="L56" s="854"/>
      <c r="M56" s="854"/>
      <c r="N56" s="854"/>
    </row>
    <row r="57" spans="1:14" ht="15" customHeight="1">
      <c r="A57" s="820" t="s">
        <v>671</v>
      </c>
      <c r="B57" s="854" t="s">
        <v>1703</v>
      </c>
      <c r="C57" s="854"/>
      <c r="D57" s="854"/>
      <c r="E57" s="854"/>
      <c r="F57" s="854"/>
      <c r="G57" s="854"/>
      <c r="H57" s="854"/>
      <c r="I57" s="854"/>
      <c r="J57" s="854"/>
      <c r="K57" s="854"/>
      <c r="L57" s="854"/>
      <c r="M57" s="854"/>
      <c r="N57" s="854"/>
    </row>
    <row r="58" spans="1:14">
      <c r="A58" s="820" t="s">
        <v>786</v>
      </c>
      <c r="B58" s="1201" t="s">
        <v>1704</v>
      </c>
      <c r="C58" s="1202"/>
      <c r="D58" s="1202"/>
      <c r="E58" s="1202"/>
      <c r="F58" s="1202"/>
      <c r="G58" s="1202"/>
      <c r="H58" s="1202"/>
      <c r="I58" s="1202"/>
      <c r="J58" s="1202"/>
      <c r="K58" s="1202"/>
      <c r="L58" s="1202"/>
      <c r="M58" s="1202"/>
      <c r="N58" s="1202"/>
    </row>
    <row r="59" spans="1:14" ht="15" customHeight="1">
      <c r="A59" s="820" t="s">
        <v>1335</v>
      </c>
      <c r="B59" s="854" t="s">
        <v>1705</v>
      </c>
      <c r="C59" s="854"/>
      <c r="D59" s="854"/>
      <c r="E59" s="854"/>
      <c r="F59" s="854"/>
      <c r="G59" s="854"/>
      <c r="H59" s="854"/>
      <c r="I59" s="854"/>
      <c r="J59" s="854"/>
      <c r="K59" s="854"/>
      <c r="L59" s="854"/>
      <c r="M59" s="854"/>
      <c r="N59" s="854"/>
    </row>
    <row r="60" spans="1:14">
      <c r="A60" s="820" t="s">
        <v>742</v>
      </c>
      <c r="B60" s="1201" t="s">
        <v>1706</v>
      </c>
      <c r="C60" s="1202"/>
      <c r="D60" s="1202"/>
      <c r="E60" s="1202"/>
      <c r="F60" s="1202"/>
      <c r="G60" s="1202"/>
      <c r="H60" s="1202"/>
      <c r="I60" s="1202"/>
      <c r="J60" s="1202"/>
      <c r="K60" s="1202"/>
      <c r="L60" s="1202"/>
      <c r="M60" s="1202"/>
      <c r="N60" s="1202"/>
    </row>
    <row r="61" spans="1:14">
      <c r="A61" s="820"/>
      <c r="B61" s="1201"/>
      <c r="C61" s="1202"/>
      <c r="D61" s="1202"/>
      <c r="E61" s="1202"/>
      <c r="F61" s="1202"/>
      <c r="G61" s="1202"/>
      <c r="H61" s="1202"/>
      <c r="I61" s="1202"/>
      <c r="J61" s="1202"/>
      <c r="K61" s="1202"/>
      <c r="L61" s="1202"/>
      <c r="M61" s="1202"/>
      <c r="N61" s="1202"/>
    </row>
    <row r="62" spans="1:14">
      <c r="A62" s="1203" t="s">
        <v>669</v>
      </c>
      <c r="B62" s="1204"/>
      <c r="C62" s="1204"/>
      <c r="D62" s="1204"/>
      <c r="E62" s="1204"/>
      <c r="F62" s="1204"/>
      <c r="G62" s="1204"/>
      <c r="H62" s="1204"/>
      <c r="I62" s="1204"/>
    </row>
    <row r="63" spans="1:14">
      <c r="A63" s="1162">
        <v>1</v>
      </c>
      <c r="B63" s="854" t="s">
        <v>1707</v>
      </c>
      <c r="D63" s="1205"/>
      <c r="E63" s="1205"/>
      <c r="F63" s="1205"/>
      <c r="G63" s="1205"/>
      <c r="H63" s="1205"/>
      <c r="I63" s="1205"/>
      <c r="J63" s="1205"/>
      <c r="K63" s="1205"/>
    </row>
    <row r="64" spans="1:14">
      <c r="A64" s="1162">
        <v>2</v>
      </c>
      <c r="B64" s="854" t="s">
        <v>1708</v>
      </c>
      <c r="D64" s="1205"/>
      <c r="E64" s="1205"/>
      <c r="F64" s="1205"/>
      <c r="G64" s="1205"/>
      <c r="H64" s="1205"/>
      <c r="I64" s="1205"/>
    </row>
    <row r="65" spans="1:11">
      <c r="A65" s="1162">
        <v>3</v>
      </c>
      <c r="B65" s="854" t="s">
        <v>1709</v>
      </c>
      <c r="D65" s="1205"/>
      <c r="E65" s="1205"/>
      <c r="F65" s="1205"/>
      <c r="G65" s="1205"/>
      <c r="H65" s="1205"/>
      <c r="I65" s="1205"/>
      <c r="J65" s="1205"/>
      <c r="K65" s="1205"/>
    </row>
    <row r="66" spans="1:11">
      <c r="A66" s="1162">
        <v>6</v>
      </c>
      <c r="B66" s="854" t="s">
        <v>1710</v>
      </c>
      <c r="D66" s="1205"/>
      <c r="E66" s="1205"/>
      <c r="F66" s="1205"/>
      <c r="G66" s="1205"/>
      <c r="H66" s="1205"/>
      <c r="I66" s="1205"/>
      <c r="J66" s="1205"/>
      <c r="K66" s="1205"/>
    </row>
  </sheetData>
  <mergeCells count="17">
    <mergeCell ref="L44:M44"/>
    <mergeCell ref="L45:M45"/>
    <mergeCell ref="A46:B46"/>
    <mergeCell ref="L46:M46"/>
    <mergeCell ref="B41:J41"/>
    <mergeCell ref="L41:M41"/>
    <mergeCell ref="C42:K42"/>
    <mergeCell ref="L42:M42"/>
    <mergeCell ref="B43:J43"/>
    <mergeCell ref="L43:M43"/>
    <mergeCell ref="C40:K40"/>
    <mergeCell ref="L40:M40"/>
    <mergeCell ref="C3:L3"/>
    <mergeCell ref="G4:H4"/>
    <mergeCell ref="I4:J4"/>
    <mergeCell ref="A39:I39"/>
    <mergeCell ref="L39:M39"/>
  </mergeCells>
  <hyperlinks>
    <hyperlink ref="C3" location="INDEX" display="Biogas plant, additional straw input in the feedstock mix" xr:uid="{08661D54-265A-479E-931B-640CC452B0D3}"/>
  </hyperlinks>
  <pageMargins left="0.7" right="0.7" top="0.75" bottom="0.75" header="0.3" footer="0.3"/>
  <pageSetup paperSize="9"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FD2BC-14BE-4B5F-BC4A-C20D45405386}">
  <sheetPr>
    <tabColor theme="4" tint="-0.249977111117893"/>
  </sheetPr>
  <dimension ref="B1:AD49"/>
  <sheetViews>
    <sheetView zoomScale="90" zoomScaleNormal="90" workbookViewId="0">
      <selection activeCell="E10" sqref="E10"/>
    </sheetView>
  </sheetViews>
  <sheetFormatPr defaultRowHeight="14.4"/>
  <cols>
    <col min="2" max="2" width="17.6640625" bestFit="1" customWidth="1"/>
    <col min="3" max="3" width="46.6640625" bestFit="1" customWidth="1"/>
    <col min="4" max="4" width="15.88671875" customWidth="1"/>
    <col min="5" max="5" width="11.109375" bestFit="1" customWidth="1"/>
    <col min="6" max="6" width="13.33203125" bestFit="1" customWidth="1"/>
    <col min="7" max="7" width="5.5546875" bestFit="1" customWidth="1"/>
    <col min="8" max="8" width="6.33203125" bestFit="1" customWidth="1"/>
    <col min="9" max="9" width="7.109375" bestFit="1" customWidth="1"/>
    <col min="10" max="10" width="9.5546875" customWidth="1"/>
    <col min="11" max="11" width="9.6640625" bestFit="1" customWidth="1"/>
    <col min="12" max="12" width="11.109375" bestFit="1" customWidth="1"/>
    <col min="13" max="13" width="16" bestFit="1" customWidth="1"/>
    <col min="14" max="14" width="10.109375" bestFit="1" customWidth="1"/>
    <col min="15" max="15" width="12.5546875" bestFit="1" customWidth="1"/>
    <col min="16" max="17" width="15.5546875" bestFit="1" customWidth="1"/>
    <col min="18" max="18" width="10.6640625" bestFit="1" customWidth="1"/>
    <col min="19" max="19" width="17.109375" customWidth="1"/>
    <col min="20" max="20" width="26.109375" customWidth="1"/>
    <col min="24" max="24" width="10.5546875" bestFit="1" customWidth="1"/>
  </cols>
  <sheetData>
    <row r="1" spans="15:16">
      <c r="O1" s="158" t="s">
        <v>190</v>
      </c>
      <c r="P1" s="158">
        <v>7.45</v>
      </c>
    </row>
    <row r="18" spans="2:30" ht="21">
      <c r="R18" s="998"/>
    </row>
    <row r="19" spans="2:30">
      <c r="B19" s="90" t="s">
        <v>1293</v>
      </c>
    </row>
    <row r="21" spans="2:30" ht="18">
      <c r="I21" s="997" t="s">
        <v>1292</v>
      </c>
      <c r="J21" s="996"/>
      <c r="K21" s="996"/>
      <c r="L21" s="996"/>
      <c r="M21" s="996"/>
      <c r="T21" s="879" t="s">
        <v>296</v>
      </c>
      <c r="U21" s="1419" t="s">
        <v>977</v>
      </c>
      <c r="V21" s="1420"/>
      <c r="W21" s="1420"/>
      <c r="X21" s="1420"/>
      <c r="Y21" s="1420"/>
      <c r="Z21" s="1420"/>
      <c r="AA21" s="1420"/>
      <c r="AB21" s="1420"/>
      <c r="AC21" s="1420"/>
      <c r="AD21" s="1421"/>
    </row>
    <row r="22" spans="2:30">
      <c r="T22" s="875"/>
      <c r="U22" s="877">
        <v>2015</v>
      </c>
      <c r="V22" s="873">
        <v>2020</v>
      </c>
      <c r="W22" s="877">
        <v>2030</v>
      </c>
      <c r="X22" s="878">
        <v>2050</v>
      </c>
      <c r="Y22" s="1419" t="s">
        <v>290</v>
      </c>
      <c r="Z22" s="1421"/>
      <c r="AA22" s="1419" t="s">
        <v>289</v>
      </c>
      <c r="AB22" s="1421"/>
      <c r="AC22" s="877" t="s">
        <v>288</v>
      </c>
      <c r="AD22" s="876" t="s">
        <v>287</v>
      </c>
    </row>
    <row r="23" spans="2:30" ht="21">
      <c r="H23" s="90" t="s">
        <v>139</v>
      </c>
      <c r="I23" s="90"/>
      <c r="J23" s="90"/>
      <c r="K23" s="90"/>
      <c r="L23" s="90"/>
      <c r="M23" s="90"/>
      <c r="N23" s="90"/>
      <c r="O23" s="90"/>
      <c r="T23" s="875"/>
      <c r="U23" s="874"/>
      <c r="V23" s="871"/>
      <c r="W23" s="871"/>
      <c r="X23" s="871"/>
      <c r="Y23" s="873" t="s">
        <v>284</v>
      </c>
      <c r="Z23" s="873" t="s">
        <v>283</v>
      </c>
      <c r="AA23" s="873" t="s">
        <v>284</v>
      </c>
      <c r="AB23" s="873" t="s">
        <v>283</v>
      </c>
      <c r="AC23" s="871"/>
      <c r="AD23" s="870"/>
    </row>
    <row r="24" spans="2:30">
      <c r="T24" s="872" t="s">
        <v>282</v>
      </c>
      <c r="U24" s="871"/>
      <c r="V24" s="871"/>
      <c r="W24" s="871"/>
      <c r="X24" s="871"/>
      <c r="Y24" s="871"/>
      <c r="Z24" s="871"/>
      <c r="AA24" s="871"/>
      <c r="AB24" s="871"/>
      <c r="AC24" s="871"/>
      <c r="AD24" s="870"/>
    </row>
    <row r="25" spans="2:30">
      <c r="T25" s="835" t="s">
        <v>976</v>
      </c>
      <c r="U25" s="843">
        <v>1</v>
      </c>
      <c r="V25" s="843">
        <v>10</v>
      </c>
      <c r="W25" s="843">
        <v>10</v>
      </c>
      <c r="X25" s="843">
        <v>10</v>
      </c>
      <c r="Y25" s="843"/>
      <c r="Z25" s="843"/>
      <c r="AA25" s="843"/>
      <c r="AB25" s="843"/>
      <c r="AC25" s="843" t="s">
        <v>694</v>
      </c>
      <c r="AD25" s="843" t="s">
        <v>975</v>
      </c>
    </row>
    <row r="26" spans="2:30">
      <c r="T26" s="869"/>
      <c r="U26" s="869"/>
      <c r="V26" s="869"/>
      <c r="W26" s="869"/>
      <c r="X26" s="869"/>
      <c r="Y26" s="869"/>
      <c r="Z26" s="869"/>
      <c r="AA26" s="869"/>
      <c r="AB26" s="869"/>
      <c r="AC26" s="869"/>
      <c r="AD26" s="869"/>
    </row>
    <row r="27" spans="2:30">
      <c r="T27" s="1422" t="s">
        <v>275</v>
      </c>
      <c r="U27" s="1423"/>
      <c r="V27" s="1423"/>
      <c r="W27" s="1423"/>
      <c r="X27" s="1423"/>
      <c r="Y27" s="1423"/>
      <c r="Z27" s="1423"/>
      <c r="AA27" s="1423"/>
      <c r="AB27" s="1423"/>
      <c r="AC27" s="1423"/>
      <c r="AD27" s="1424"/>
    </row>
    <row r="28" spans="2:30">
      <c r="T28" s="835" t="s">
        <v>963</v>
      </c>
      <c r="U28" s="843">
        <v>100</v>
      </c>
      <c r="V28" s="843">
        <v>100</v>
      </c>
      <c r="W28" s="843">
        <v>100</v>
      </c>
      <c r="X28" s="843">
        <v>100</v>
      </c>
      <c r="Y28" s="843"/>
      <c r="Z28" s="843"/>
      <c r="AA28" s="843"/>
      <c r="AB28" s="843"/>
      <c r="AC28" s="843"/>
      <c r="AD28" s="843"/>
    </row>
    <row r="29" spans="2:30">
      <c r="E29" s="1425" t="s">
        <v>965</v>
      </c>
      <c r="F29" s="1426"/>
      <c r="G29" s="1426"/>
      <c r="H29" s="1426"/>
      <c r="I29" s="1426"/>
      <c r="J29" s="1426"/>
      <c r="K29" s="1426"/>
      <c r="L29" s="1426"/>
      <c r="M29" s="1426"/>
      <c r="N29" s="1427"/>
      <c r="T29" s="995" t="s">
        <v>271</v>
      </c>
      <c r="U29" s="994"/>
      <c r="V29" s="994"/>
      <c r="W29" s="994"/>
      <c r="X29" s="994"/>
      <c r="Y29" s="994"/>
      <c r="Z29" s="994"/>
      <c r="AA29" s="994"/>
      <c r="AB29" s="994"/>
      <c r="AC29" s="994"/>
      <c r="AD29" s="993"/>
    </row>
    <row r="30" spans="2:30" ht="20.399999999999999">
      <c r="T30" s="842" t="s">
        <v>974</v>
      </c>
      <c r="U30" s="989">
        <v>54</v>
      </c>
      <c r="V30" s="989">
        <v>58</v>
      </c>
      <c r="W30" s="989">
        <v>62</v>
      </c>
      <c r="X30" s="989">
        <v>67</v>
      </c>
      <c r="Y30" s="826">
        <v>55</v>
      </c>
      <c r="Z30" s="826">
        <v>60</v>
      </c>
      <c r="AA30" s="826">
        <v>63</v>
      </c>
      <c r="AB30" s="826">
        <v>72</v>
      </c>
      <c r="AC30" s="826" t="s">
        <v>973</v>
      </c>
      <c r="AD30" s="826" t="s">
        <v>972</v>
      </c>
    </row>
    <row r="31" spans="2:30">
      <c r="T31" s="828" t="s">
        <v>958</v>
      </c>
      <c r="U31" s="868"/>
      <c r="V31" s="868"/>
      <c r="W31" s="992">
        <v>12</v>
      </c>
      <c r="X31" s="992">
        <v>10</v>
      </c>
      <c r="Y31" s="824"/>
      <c r="Z31" s="824"/>
      <c r="AA31" s="824"/>
      <c r="AB31" s="824"/>
      <c r="AC31" s="824" t="s">
        <v>269</v>
      </c>
      <c r="AD31" s="824"/>
    </row>
    <row r="32" spans="2:30">
      <c r="T32" s="828"/>
      <c r="U32" s="824"/>
      <c r="V32" s="824"/>
      <c r="W32" s="824"/>
      <c r="X32" s="824"/>
      <c r="Y32" s="824"/>
      <c r="Z32" s="824"/>
      <c r="AA32" s="824"/>
      <c r="AB32" s="824"/>
      <c r="AC32" s="824"/>
      <c r="AD32" s="824"/>
    </row>
    <row r="33" spans="9:30">
      <c r="T33" s="839" t="s">
        <v>59</v>
      </c>
      <c r="U33" s="824"/>
      <c r="V33" s="824"/>
      <c r="W33" s="824"/>
      <c r="X33" s="824"/>
      <c r="Y33" s="826"/>
      <c r="Z33" s="826"/>
      <c r="AA33" s="826"/>
      <c r="AB33" s="826"/>
      <c r="AC33" s="824"/>
      <c r="AD33" s="824"/>
    </row>
    <row r="34" spans="9:30">
      <c r="T34" s="839" t="s">
        <v>92</v>
      </c>
      <c r="U34" s="824"/>
      <c r="V34" s="824"/>
      <c r="W34" s="824"/>
      <c r="X34" s="824"/>
      <c r="Y34" s="824"/>
      <c r="Z34" s="824"/>
      <c r="AA34" s="824"/>
      <c r="AB34" s="824"/>
      <c r="AC34" s="824"/>
      <c r="AD34" s="824"/>
    </row>
    <row r="35" spans="9:30" ht="21">
      <c r="I35" s="90" t="s">
        <v>1291</v>
      </c>
      <c r="J35" s="90"/>
      <c r="K35" s="90"/>
      <c r="L35" s="90"/>
      <c r="M35" s="90"/>
      <c r="N35" s="90"/>
      <c r="T35" s="839" t="s">
        <v>58</v>
      </c>
      <c r="U35" s="824">
        <v>15</v>
      </c>
      <c r="V35" s="824">
        <v>15</v>
      </c>
      <c r="W35" s="824">
        <v>15</v>
      </c>
      <c r="X35" s="824">
        <v>15</v>
      </c>
      <c r="Y35" s="826"/>
      <c r="Z35" s="826"/>
      <c r="AA35" s="826"/>
      <c r="AB35" s="826"/>
      <c r="AC35" s="824"/>
      <c r="AD35" s="824"/>
    </row>
    <row r="36" spans="9:30">
      <c r="T36" s="828" t="s">
        <v>60</v>
      </c>
      <c r="U36" s="824">
        <v>0.5</v>
      </c>
      <c r="V36" s="824">
        <v>0.5</v>
      </c>
      <c r="W36" s="824">
        <v>0.5</v>
      </c>
      <c r="X36" s="824">
        <v>0.5</v>
      </c>
      <c r="Y36" s="824"/>
      <c r="Z36" s="824"/>
      <c r="AA36" s="824"/>
      <c r="AB36" s="824"/>
      <c r="AC36" s="824"/>
      <c r="AD36" s="824"/>
    </row>
    <row r="37" spans="9:30">
      <c r="T37" s="828"/>
      <c r="U37" s="824"/>
      <c r="V37" s="824"/>
      <c r="W37" s="824"/>
      <c r="X37" s="824"/>
      <c r="Y37" s="824"/>
      <c r="Z37" s="824"/>
      <c r="AA37" s="824"/>
      <c r="AB37" s="824"/>
      <c r="AC37" s="824"/>
      <c r="AD37" s="824"/>
    </row>
    <row r="38" spans="9:30">
      <c r="T38" s="846" t="s">
        <v>264</v>
      </c>
      <c r="U38" s="991"/>
      <c r="V38" s="991"/>
      <c r="W38" s="991"/>
      <c r="X38" s="991"/>
      <c r="Y38" s="991"/>
      <c r="Z38" s="991"/>
      <c r="AA38" s="991"/>
      <c r="AB38" s="991"/>
      <c r="AC38" s="991"/>
      <c r="AD38" s="990"/>
    </row>
    <row r="39" spans="9:30" ht="20.399999999999999">
      <c r="T39" s="867" t="s">
        <v>971</v>
      </c>
      <c r="U39" s="989">
        <v>1.9</v>
      </c>
      <c r="V39" s="989">
        <v>1.1000000000000001</v>
      </c>
      <c r="W39" s="989">
        <v>0.6</v>
      </c>
      <c r="X39" s="989">
        <v>0.4</v>
      </c>
      <c r="Y39" s="866">
        <v>0.8</v>
      </c>
      <c r="Z39" s="866">
        <v>1.5</v>
      </c>
      <c r="AA39" s="866">
        <v>0.2</v>
      </c>
      <c r="AB39" s="866">
        <v>0.8</v>
      </c>
      <c r="AC39" s="866" t="s">
        <v>243</v>
      </c>
      <c r="AD39" s="866"/>
    </row>
    <row r="40" spans="9:30">
      <c r="T40" s="860" t="s">
        <v>954</v>
      </c>
      <c r="U40" s="863">
        <f>1.6/U39*100</f>
        <v>84.21052631578948</v>
      </c>
      <c r="V40" s="863">
        <v>75</v>
      </c>
      <c r="W40" s="863">
        <v>67</v>
      </c>
      <c r="X40" s="863">
        <v>50</v>
      </c>
      <c r="Y40" s="857"/>
      <c r="Z40" s="857"/>
      <c r="AA40" s="857"/>
      <c r="AB40" s="857"/>
      <c r="AC40" s="857" t="s">
        <v>255</v>
      </c>
      <c r="AD40" s="857">
        <v>1</v>
      </c>
    </row>
    <row r="41" spans="9:30">
      <c r="T41" s="858" t="s">
        <v>952</v>
      </c>
      <c r="U41" s="863">
        <f>100-U40</f>
        <v>15.78947368421052</v>
      </c>
      <c r="V41" s="863">
        <v>25</v>
      </c>
      <c r="W41" s="863">
        <v>33</v>
      </c>
      <c r="X41" s="863">
        <v>50</v>
      </c>
      <c r="Y41" s="859"/>
      <c r="Z41" s="859"/>
      <c r="AA41" s="859"/>
      <c r="AB41" s="859"/>
      <c r="AC41" s="857"/>
      <c r="AD41" s="857"/>
    </row>
    <row r="42" spans="9:30">
      <c r="T42" s="865" t="s">
        <v>970</v>
      </c>
      <c r="U42" s="988">
        <f t="shared" ref="U42:AB42" si="0">U39*0.05*1000000</f>
        <v>95000</v>
      </c>
      <c r="V42" s="988">
        <f t="shared" si="0"/>
        <v>55000.000000000007</v>
      </c>
      <c r="W42" s="988">
        <f t="shared" si="0"/>
        <v>30000</v>
      </c>
      <c r="X42" s="988">
        <f t="shared" si="0"/>
        <v>20000.000000000004</v>
      </c>
      <c r="Y42" s="864">
        <f t="shared" si="0"/>
        <v>40000.000000000007</v>
      </c>
      <c r="Z42" s="864">
        <f t="shared" si="0"/>
        <v>75000.000000000015</v>
      </c>
      <c r="AA42" s="864">
        <f t="shared" si="0"/>
        <v>10000.000000000002</v>
      </c>
      <c r="AB42" s="864">
        <f t="shared" si="0"/>
        <v>40000.000000000007</v>
      </c>
      <c r="AC42" s="859" t="s">
        <v>969</v>
      </c>
      <c r="AD42" s="859">
        <v>15</v>
      </c>
    </row>
    <row r="43" spans="9:30">
      <c r="T43" s="860" t="s">
        <v>968</v>
      </c>
      <c r="U43" s="863">
        <v>0</v>
      </c>
      <c r="V43" s="863">
        <v>0</v>
      </c>
      <c r="W43" s="863">
        <v>0</v>
      </c>
      <c r="X43" s="862">
        <v>0</v>
      </c>
      <c r="Y43" s="857">
        <v>0</v>
      </c>
      <c r="Z43" s="857">
        <v>0</v>
      </c>
      <c r="AA43" s="857">
        <v>0</v>
      </c>
      <c r="AB43" s="857">
        <v>0</v>
      </c>
      <c r="AC43" s="857" t="s">
        <v>692</v>
      </c>
      <c r="AD43" s="857"/>
    </row>
    <row r="44" spans="9:30">
      <c r="T44" s="860"/>
      <c r="U44" s="857"/>
      <c r="V44" s="857"/>
      <c r="W44" s="857"/>
      <c r="X44" s="860"/>
      <c r="Y44" s="857"/>
      <c r="Z44" s="857"/>
      <c r="AA44" s="857"/>
      <c r="AB44" s="860"/>
      <c r="AC44" s="857"/>
      <c r="AD44" s="857"/>
    </row>
    <row r="45" spans="9:30">
      <c r="T45" s="987" t="s">
        <v>260</v>
      </c>
      <c r="U45" s="986"/>
      <c r="V45" s="986"/>
      <c r="W45" s="986"/>
      <c r="X45" s="986"/>
      <c r="Y45" s="986"/>
      <c r="Z45" s="986"/>
      <c r="AA45" s="986"/>
      <c r="AB45" s="986"/>
      <c r="AC45" s="986"/>
      <c r="AD45" s="985"/>
    </row>
    <row r="46" spans="9:30">
      <c r="T46" s="860" t="s">
        <v>967</v>
      </c>
      <c r="U46" s="857">
        <v>67</v>
      </c>
      <c r="V46" s="857">
        <v>80</v>
      </c>
      <c r="W46" s="857">
        <v>85</v>
      </c>
      <c r="X46" s="861">
        <v>90</v>
      </c>
      <c r="Y46" s="859"/>
      <c r="Z46" s="859"/>
      <c r="AA46" s="859"/>
      <c r="AB46" s="859"/>
      <c r="AC46" s="857" t="s">
        <v>393</v>
      </c>
      <c r="AD46" s="857"/>
    </row>
    <row r="47" spans="9:30" ht="20.399999999999999">
      <c r="T47" s="860" t="s">
        <v>942</v>
      </c>
      <c r="U47" s="857">
        <v>1</v>
      </c>
      <c r="V47" s="857">
        <v>0.03</v>
      </c>
      <c r="W47" s="857">
        <v>0.01</v>
      </c>
      <c r="X47" s="861">
        <v>0.01</v>
      </c>
      <c r="Y47" s="857"/>
      <c r="Z47" s="857"/>
      <c r="AA47" s="857"/>
      <c r="AB47" s="857"/>
      <c r="AC47" s="857"/>
      <c r="AD47" s="857"/>
    </row>
    <row r="48" spans="9:30" ht="20.399999999999999">
      <c r="T48" s="860" t="s">
        <v>941</v>
      </c>
      <c r="U48" s="857">
        <v>0.02</v>
      </c>
      <c r="V48" s="857">
        <v>0.02</v>
      </c>
      <c r="W48" s="857">
        <v>0.02</v>
      </c>
      <c r="X48" s="857">
        <v>0.02</v>
      </c>
      <c r="Y48" s="859"/>
      <c r="Z48" s="859"/>
      <c r="AA48" s="859"/>
      <c r="AB48" s="859"/>
      <c r="AC48" s="857" t="s">
        <v>675</v>
      </c>
      <c r="AD48" s="857"/>
    </row>
    <row r="49" spans="20:30">
      <c r="T49" s="858" t="s">
        <v>940</v>
      </c>
      <c r="U49" s="857">
        <v>5</v>
      </c>
      <c r="V49" s="857">
        <v>0.5</v>
      </c>
      <c r="W49" s="857">
        <v>0.15</v>
      </c>
      <c r="X49" s="857">
        <v>0.15</v>
      </c>
      <c r="Y49" s="857"/>
      <c r="Z49" s="857"/>
      <c r="AA49" s="857"/>
      <c r="AB49" s="857"/>
      <c r="AC49" s="857" t="s">
        <v>673</v>
      </c>
      <c r="AD49" s="857"/>
    </row>
  </sheetData>
  <mergeCells count="5">
    <mergeCell ref="U21:AD21"/>
    <mergeCell ref="Y22:Z22"/>
    <mergeCell ref="AA22:AB22"/>
    <mergeCell ref="T27:AD27"/>
    <mergeCell ref="E29:N29"/>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9A261-C1D0-4494-9604-11CF023B7BED}">
  <sheetPr>
    <tabColor theme="4" tint="-0.249977111117893"/>
  </sheetPr>
  <dimension ref="J1:AK87"/>
  <sheetViews>
    <sheetView zoomScale="70" zoomScaleNormal="70" workbookViewId="0">
      <selection activeCell="A40" sqref="A40:XFD40"/>
    </sheetView>
  </sheetViews>
  <sheetFormatPr defaultRowHeight="14.4"/>
  <cols>
    <col min="2" max="2" width="27.5546875" customWidth="1"/>
    <col min="3" max="3" width="44.6640625" customWidth="1"/>
    <col min="4" max="4" width="14.109375" customWidth="1"/>
    <col min="5" max="5" width="16" customWidth="1"/>
    <col min="6" max="6" width="14.5546875" customWidth="1"/>
    <col min="7" max="7" width="16.33203125" bestFit="1" customWidth="1"/>
    <col min="10" max="10" width="14.6640625" customWidth="1"/>
    <col min="11" max="11" width="19.33203125" customWidth="1"/>
    <col min="12" max="12" width="18.44140625" customWidth="1"/>
    <col min="13" max="13" width="18.88671875" customWidth="1"/>
    <col min="14" max="14" width="15.5546875" customWidth="1"/>
    <col min="15" max="15" width="16.33203125" customWidth="1"/>
    <col min="16" max="16" width="17.88671875" customWidth="1"/>
    <col min="17" max="17" width="15.5546875" bestFit="1" customWidth="1"/>
    <col min="18" max="18" width="16.6640625" bestFit="1" customWidth="1"/>
    <col min="19" max="19" width="48.44140625" customWidth="1"/>
    <col min="21" max="21" width="34.5546875" customWidth="1"/>
  </cols>
  <sheetData>
    <row r="1" spans="13:14">
      <c r="M1" s="158" t="s">
        <v>190</v>
      </c>
      <c r="N1" s="158">
        <v>7.45</v>
      </c>
    </row>
    <row r="25" spans="15:31">
      <c r="P25" s="259"/>
      <c r="Q25" s="259"/>
      <c r="R25" s="259"/>
      <c r="S25" s="69"/>
      <c r="T25" s="811"/>
      <c r="U25" s="853" t="s">
        <v>296</v>
      </c>
      <c r="V25" s="1428" t="s">
        <v>965</v>
      </c>
      <c r="W25" s="1429"/>
      <c r="X25" s="1429"/>
      <c r="Y25" s="1429"/>
      <c r="Z25" s="1429"/>
      <c r="AA25" s="1429"/>
      <c r="AB25" s="1429"/>
      <c r="AC25" s="1429"/>
      <c r="AD25" s="1429"/>
      <c r="AE25" s="1430"/>
    </row>
    <row r="26" spans="15:31">
      <c r="O26" s="69"/>
      <c r="P26" s="69"/>
      <c r="Q26" s="69"/>
      <c r="R26" s="69"/>
      <c r="S26" s="69">
        <f>3/76</f>
        <v>3.9473684210526314E-2</v>
      </c>
      <c r="T26" s="811"/>
      <c r="U26" s="849"/>
      <c r="V26" s="851">
        <v>2015</v>
      </c>
      <c r="W26" s="847">
        <v>2020</v>
      </c>
      <c r="X26" s="851">
        <v>2030</v>
      </c>
      <c r="Y26" s="852">
        <v>2050</v>
      </c>
      <c r="Z26" s="1428" t="s">
        <v>290</v>
      </c>
      <c r="AA26" s="1430"/>
      <c r="AB26" s="1428" t="s">
        <v>289</v>
      </c>
      <c r="AC26" s="1430"/>
      <c r="AD26" s="851" t="s">
        <v>288</v>
      </c>
      <c r="AE26" s="850" t="s">
        <v>287</v>
      </c>
    </row>
    <row r="27" spans="15:31">
      <c r="O27" s="69"/>
      <c r="P27" s="69"/>
      <c r="Q27" s="69"/>
      <c r="R27" s="69"/>
      <c r="S27" s="69"/>
      <c r="T27" s="811"/>
      <c r="U27" s="849"/>
      <c r="V27" s="848"/>
      <c r="W27" s="845"/>
      <c r="X27" s="845"/>
      <c r="Y27" s="845"/>
      <c r="Z27" s="847" t="s">
        <v>284</v>
      </c>
      <c r="AA27" s="847" t="s">
        <v>283</v>
      </c>
      <c r="AB27" s="847" t="s">
        <v>284</v>
      </c>
      <c r="AC27" s="847" t="s">
        <v>283</v>
      </c>
      <c r="AD27" s="845"/>
      <c r="AE27" s="844"/>
    </row>
    <row r="28" spans="15:31">
      <c r="O28" s="69"/>
      <c r="P28" s="69"/>
      <c r="Q28" s="69"/>
      <c r="R28" s="69"/>
      <c r="S28" s="69"/>
      <c r="T28" s="811"/>
      <c r="U28" s="846" t="s">
        <v>282</v>
      </c>
      <c r="V28" s="845"/>
      <c r="W28" s="845"/>
      <c r="X28" s="845"/>
      <c r="Y28" s="845"/>
      <c r="Z28" s="845"/>
      <c r="AA28" s="845"/>
      <c r="AB28" s="845"/>
      <c r="AC28" s="845"/>
      <c r="AD28" s="845"/>
      <c r="AE28" s="844"/>
    </row>
    <row r="29" spans="15:31">
      <c r="O29" s="69"/>
      <c r="P29" s="69"/>
      <c r="Q29" s="69"/>
      <c r="R29" s="69"/>
      <c r="S29" s="69"/>
      <c r="T29" s="811"/>
      <c r="U29" s="835" t="s">
        <v>964</v>
      </c>
      <c r="V29" s="843">
        <v>0.25</v>
      </c>
      <c r="W29" s="843">
        <v>1</v>
      </c>
      <c r="X29" s="826">
        <v>15</v>
      </c>
      <c r="Y29" s="826">
        <v>50</v>
      </c>
      <c r="Z29" s="826"/>
      <c r="AA29" s="826"/>
      <c r="AB29" s="826"/>
      <c r="AC29" s="826"/>
      <c r="AD29" s="826" t="s">
        <v>694</v>
      </c>
      <c r="AE29" s="826"/>
    </row>
    <row r="30" spans="15:31">
      <c r="O30" s="69"/>
      <c r="P30" s="69"/>
      <c r="Q30" s="69"/>
      <c r="R30" s="69"/>
      <c r="S30" s="69"/>
      <c r="T30" s="811"/>
      <c r="U30" s="824"/>
      <c r="V30" s="824"/>
      <c r="W30" s="824"/>
      <c r="X30" s="824"/>
      <c r="Y30" s="824"/>
      <c r="Z30" s="824"/>
      <c r="AA30" s="824"/>
      <c r="AB30" s="824"/>
      <c r="AC30" s="824"/>
      <c r="AD30" s="824"/>
      <c r="AE30" s="824"/>
    </row>
    <row r="31" spans="15:31">
      <c r="O31" s="69"/>
      <c r="P31" s="69"/>
      <c r="Q31" s="69"/>
      <c r="R31" s="69"/>
      <c r="S31" s="69"/>
      <c r="T31" s="811"/>
      <c r="U31" s="1431" t="s">
        <v>275</v>
      </c>
      <c r="V31" s="1432"/>
      <c r="W31" s="1432"/>
      <c r="X31" s="1432"/>
      <c r="Y31" s="1432"/>
      <c r="Z31" s="1432"/>
      <c r="AA31" s="1432"/>
      <c r="AB31" s="1432"/>
      <c r="AC31" s="1432"/>
      <c r="AD31" s="1432"/>
      <c r="AE31" s="1433"/>
    </row>
    <row r="32" spans="15:31">
      <c r="O32" s="69"/>
      <c r="P32" s="69"/>
      <c r="Q32" s="69"/>
      <c r="R32" s="69"/>
      <c r="S32" s="69"/>
      <c r="T32" s="811"/>
      <c r="U32" s="842" t="s">
        <v>963</v>
      </c>
      <c r="V32" s="826">
        <v>85</v>
      </c>
      <c r="W32" s="989">
        <v>85</v>
      </c>
      <c r="X32" s="989">
        <v>85</v>
      </c>
      <c r="Y32" s="989">
        <v>85</v>
      </c>
      <c r="Z32" s="826"/>
      <c r="AA32" s="826"/>
      <c r="AB32" s="826"/>
      <c r="AC32" s="826"/>
      <c r="AD32" s="843" t="s">
        <v>694</v>
      </c>
      <c r="AE32" s="843" t="s">
        <v>961</v>
      </c>
    </row>
    <row r="33" spans="10:31">
      <c r="O33" s="69"/>
      <c r="P33" s="69"/>
      <c r="Q33" s="69"/>
      <c r="R33" s="69"/>
      <c r="S33" s="69"/>
      <c r="T33" s="811"/>
      <c r="U33" s="842" t="s">
        <v>962</v>
      </c>
      <c r="V33" s="826">
        <v>15</v>
      </c>
      <c r="W33" s="989">
        <v>15</v>
      </c>
      <c r="X33" s="989">
        <v>15</v>
      </c>
      <c r="Y33" s="989">
        <v>15</v>
      </c>
      <c r="Z33" s="826"/>
      <c r="AA33" s="826"/>
      <c r="AB33" s="826"/>
      <c r="AC33" s="826"/>
      <c r="AD33" s="843" t="s">
        <v>694</v>
      </c>
      <c r="AE33" s="843" t="s">
        <v>961</v>
      </c>
    </row>
    <row r="34" spans="10:31">
      <c r="O34" s="69"/>
      <c r="P34" s="69"/>
      <c r="Q34" s="69"/>
      <c r="R34" s="69"/>
      <c r="S34" s="69"/>
      <c r="T34" s="811"/>
      <c r="U34" s="1431" t="s">
        <v>271</v>
      </c>
      <c r="V34" s="1432"/>
      <c r="W34" s="1432"/>
      <c r="X34" s="1432"/>
      <c r="Y34" s="1432"/>
      <c r="Z34" s="1432"/>
      <c r="AA34" s="1432"/>
      <c r="AB34" s="1432"/>
      <c r="AC34" s="1432"/>
      <c r="AD34" s="1432"/>
      <c r="AE34" s="1433"/>
    </row>
    <row r="35" spans="10:31">
      <c r="O35" s="69"/>
      <c r="P35" s="69"/>
      <c r="Q35" s="69"/>
      <c r="R35" s="69"/>
      <c r="S35" s="69"/>
      <c r="T35" s="811"/>
      <c r="U35" s="842" t="s">
        <v>960</v>
      </c>
      <c r="V35" s="826">
        <v>68</v>
      </c>
      <c r="W35" s="989">
        <v>76</v>
      </c>
      <c r="X35" s="989">
        <v>79</v>
      </c>
      <c r="Y35" s="989">
        <v>79</v>
      </c>
      <c r="Z35" s="841">
        <f>W35-W35*0.05</f>
        <v>72.2</v>
      </c>
      <c r="AA35" s="841">
        <f>W35+W35*0.05</f>
        <v>79.8</v>
      </c>
      <c r="AB35" s="841">
        <f>Y35-Y35*0.05</f>
        <v>75.05</v>
      </c>
      <c r="AC35" s="841">
        <f>Y35+Y35*0.05</f>
        <v>82.95</v>
      </c>
      <c r="AD35" s="826" t="s">
        <v>692</v>
      </c>
      <c r="AE35" s="826" t="s">
        <v>959</v>
      </c>
    </row>
    <row r="36" spans="10:31">
      <c r="O36" s="69"/>
      <c r="P36" s="69"/>
      <c r="Q36" s="69"/>
      <c r="R36" s="69"/>
      <c r="S36" s="69"/>
      <c r="T36" s="811"/>
      <c r="U36" s="828" t="s">
        <v>958</v>
      </c>
      <c r="V36" s="840">
        <v>3</v>
      </c>
      <c r="W36" s="1002">
        <v>3</v>
      </c>
      <c r="X36" s="1002">
        <v>1.5</v>
      </c>
      <c r="Y36" s="1002">
        <v>1.5</v>
      </c>
      <c r="Z36" s="824"/>
      <c r="AA36" s="824"/>
      <c r="AB36" s="824"/>
      <c r="AC36" s="824"/>
      <c r="AD36" s="824" t="s">
        <v>272</v>
      </c>
      <c r="AE36" s="824"/>
    </row>
    <row r="37" spans="10:31">
      <c r="O37" s="69"/>
      <c r="P37" s="69"/>
      <c r="Q37" s="69"/>
      <c r="R37" s="69"/>
      <c r="S37" s="69"/>
      <c r="T37" s="811"/>
      <c r="U37" s="828"/>
      <c r="V37" s="824"/>
      <c r="W37" s="824"/>
      <c r="X37" s="824"/>
      <c r="Y37" s="824"/>
      <c r="Z37" s="826"/>
      <c r="AA37" s="826"/>
      <c r="AB37" s="826"/>
      <c r="AC37" s="826"/>
      <c r="AD37" s="824"/>
      <c r="AE37" s="824"/>
    </row>
    <row r="38" spans="10:31">
      <c r="O38" s="69"/>
      <c r="P38" s="69"/>
      <c r="Q38" s="69"/>
      <c r="R38" s="69"/>
      <c r="S38" s="69"/>
      <c r="T38" s="811"/>
      <c r="U38" s="839" t="s">
        <v>59</v>
      </c>
      <c r="V38" s="824"/>
      <c r="W38" s="824"/>
      <c r="X38" s="824"/>
      <c r="Y38" s="824"/>
      <c r="Z38" s="824"/>
      <c r="AA38" s="824"/>
      <c r="AB38" s="824"/>
      <c r="AC38" s="824"/>
      <c r="AD38" s="824"/>
      <c r="AE38" s="824"/>
    </row>
    <row r="39" spans="10:31">
      <c r="O39" s="69"/>
      <c r="P39" s="69"/>
      <c r="Q39" s="69"/>
      <c r="R39" s="69"/>
      <c r="S39" s="69"/>
      <c r="T39" s="811"/>
      <c r="U39" s="839" t="s">
        <v>92</v>
      </c>
      <c r="V39" s="824"/>
      <c r="W39" s="824"/>
      <c r="X39" s="824"/>
      <c r="Y39" s="824"/>
      <c r="Z39" s="826"/>
      <c r="AA39" s="826"/>
      <c r="AB39" s="826"/>
      <c r="AC39" s="826"/>
      <c r="AD39" s="824"/>
      <c r="AE39" s="824"/>
    </row>
    <row r="40" spans="10:31">
      <c r="O40" s="69"/>
      <c r="P40" s="69"/>
      <c r="Q40" s="69"/>
      <c r="R40" s="69"/>
      <c r="S40" s="69"/>
      <c r="T40" s="811"/>
      <c r="U40" s="828" t="s">
        <v>58</v>
      </c>
      <c r="V40" s="824" t="s">
        <v>950</v>
      </c>
      <c r="W40" s="1002">
        <v>20</v>
      </c>
      <c r="X40" s="824">
        <v>20</v>
      </c>
      <c r="Y40" s="1002">
        <v>30</v>
      </c>
      <c r="Z40" s="824"/>
      <c r="AA40" s="824"/>
      <c r="AB40" s="824"/>
      <c r="AC40" s="824"/>
      <c r="AD40" s="824"/>
      <c r="AE40" s="824"/>
    </row>
    <row r="41" spans="10:31">
      <c r="O41" s="69"/>
      <c r="P41" s="69"/>
      <c r="Q41" s="69"/>
      <c r="R41" s="69"/>
      <c r="S41" s="69"/>
      <c r="T41" s="811"/>
      <c r="U41" s="828" t="s">
        <v>60</v>
      </c>
      <c r="V41" s="824">
        <v>0.5</v>
      </c>
      <c r="W41" s="1002">
        <v>0.5</v>
      </c>
      <c r="X41" s="824">
        <v>0.5</v>
      </c>
      <c r="Y41" s="824">
        <v>0.5</v>
      </c>
      <c r="Z41" s="826"/>
      <c r="AA41" s="826"/>
      <c r="AB41" s="826"/>
      <c r="AC41" s="826"/>
      <c r="AD41" s="824" t="s">
        <v>255</v>
      </c>
      <c r="AE41" s="824"/>
    </row>
    <row r="42" spans="10:31" ht="21">
      <c r="J42" s="138" t="s">
        <v>1297</v>
      </c>
      <c r="K42" s="90"/>
      <c r="L42" s="90"/>
      <c r="M42" s="90"/>
      <c r="N42" s="90"/>
      <c r="O42" s="90"/>
      <c r="P42" s="90"/>
      <c r="Q42" s="90"/>
      <c r="R42" s="90"/>
      <c r="S42" s="69"/>
      <c r="T42" s="811"/>
      <c r="U42" s="828"/>
      <c r="V42" s="824"/>
      <c r="W42" s="824"/>
      <c r="X42" s="824"/>
      <c r="Y42" s="824"/>
      <c r="Z42" s="824"/>
      <c r="AA42" s="824"/>
      <c r="AB42" s="824"/>
      <c r="AC42" s="824"/>
      <c r="AD42" s="824"/>
      <c r="AE42" s="824"/>
    </row>
    <row r="43" spans="10:31">
      <c r="S43" s="69"/>
      <c r="T43" s="811"/>
      <c r="U43" s="1434" t="s">
        <v>264</v>
      </c>
      <c r="V43" s="1435"/>
      <c r="W43" s="1435"/>
      <c r="X43" s="1435"/>
      <c r="Y43" s="1435"/>
      <c r="Z43" s="1435"/>
      <c r="AA43" s="1435"/>
      <c r="AB43" s="1435"/>
      <c r="AC43" s="1435"/>
      <c r="AD43" s="1435"/>
      <c r="AE43" s="1436"/>
    </row>
    <row r="44" spans="10:31">
      <c r="S44" s="69"/>
      <c r="T44" s="811"/>
      <c r="U44" s="838" t="s">
        <v>957</v>
      </c>
      <c r="V44" s="838"/>
      <c r="W44" s="838"/>
      <c r="X44" s="838"/>
      <c r="Y44" s="838"/>
      <c r="Z44" s="838"/>
      <c r="AA44" s="838"/>
      <c r="AB44" s="838"/>
      <c r="AC44" s="838"/>
      <c r="AD44" s="838"/>
      <c r="AE44" s="838"/>
    </row>
    <row r="45" spans="10:31" ht="20.399999999999999">
      <c r="S45" s="69"/>
      <c r="T45" s="811"/>
      <c r="U45" s="835" t="s">
        <v>956</v>
      </c>
      <c r="V45" s="834" t="s">
        <v>950</v>
      </c>
      <c r="W45" s="1001">
        <v>2.2000000000000002</v>
      </c>
      <c r="X45" s="1001">
        <v>0.6</v>
      </c>
      <c r="Y45" s="1000">
        <v>0.4</v>
      </c>
      <c r="Z45" s="837">
        <v>1.35</v>
      </c>
      <c r="AA45" s="836">
        <v>3</v>
      </c>
      <c r="AB45" s="826">
        <v>0.25</v>
      </c>
      <c r="AC45" s="826">
        <v>1.5</v>
      </c>
      <c r="AD45" s="826" t="s">
        <v>389</v>
      </c>
      <c r="AE45" s="826" t="s">
        <v>955</v>
      </c>
    </row>
    <row r="46" spans="10:31">
      <c r="N46" t="s">
        <v>1296</v>
      </c>
      <c r="O46">
        <v>7.45</v>
      </c>
      <c r="S46" s="69"/>
      <c r="T46" s="811"/>
      <c r="U46" s="828" t="s">
        <v>954</v>
      </c>
      <c r="V46" s="834" t="s">
        <v>950</v>
      </c>
      <c r="W46" s="832">
        <v>45</v>
      </c>
      <c r="X46" s="832">
        <v>37</v>
      </c>
      <c r="Y46" s="831">
        <v>35</v>
      </c>
      <c r="Z46" s="824"/>
      <c r="AA46" s="824"/>
      <c r="AB46" s="824"/>
      <c r="AC46" s="824"/>
      <c r="AD46" s="824" t="s">
        <v>953</v>
      </c>
      <c r="AE46" s="824"/>
    </row>
    <row r="47" spans="10:31">
      <c r="N47" t="s">
        <v>1295</v>
      </c>
      <c r="O47">
        <v>2.2000000000000002</v>
      </c>
      <c r="P47">
        <v>2020</v>
      </c>
      <c r="S47" s="69"/>
      <c r="T47" s="811"/>
      <c r="U47" s="825" t="s">
        <v>952</v>
      </c>
      <c r="V47" s="834" t="s">
        <v>950</v>
      </c>
      <c r="W47" s="832">
        <v>55</v>
      </c>
      <c r="X47" s="832">
        <v>63</v>
      </c>
      <c r="Y47" s="832">
        <v>65</v>
      </c>
      <c r="Z47" s="826"/>
      <c r="AA47" s="826"/>
      <c r="AB47" s="826"/>
      <c r="AC47" s="826"/>
      <c r="AD47" s="824" t="s">
        <v>673</v>
      </c>
      <c r="AE47" s="824"/>
    </row>
    <row r="48" spans="10:31">
      <c r="O48">
        <v>0.6</v>
      </c>
      <c r="P48">
        <v>2030</v>
      </c>
      <c r="T48" s="811"/>
      <c r="U48" s="835" t="s">
        <v>951</v>
      </c>
      <c r="V48" s="834" t="s">
        <v>950</v>
      </c>
      <c r="W48" s="988">
        <f>0.03*(W45*10^6)</f>
        <v>66000</v>
      </c>
      <c r="X48" s="988">
        <f>0.03*(X45*10^6)</f>
        <v>18000</v>
      </c>
      <c r="Y48" s="988">
        <f>0.03*(Y45*10^6)</f>
        <v>12000</v>
      </c>
      <c r="Z48" s="830">
        <f>0.02*(W45*10^6)</f>
        <v>44000</v>
      </c>
      <c r="AA48" s="830">
        <f>0.05*(W45*10^6)</f>
        <v>110000</v>
      </c>
      <c r="AB48" s="830">
        <f>0.02*(Y45*10^6)</f>
        <v>8000</v>
      </c>
      <c r="AC48" s="830">
        <f>0.05*(Y45*10^6)</f>
        <v>20000</v>
      </c>
      <c r="AD48" s="826" t="s">
        <v>949</v>
      </c>
      <c r="AE48" s="824" t="s">
        <v>948</v>
      </c>
    </row>
    <row r="49" spans="10:31">
      <c r="O49">
        <v>0.4</v>
      </c>
      <c r="P49">
        <v>2050</v>
      </c>
      <c r="T49" s="811"/>
      <c r="U49" s="833" t="s">
        <v>947</v>
      </c>
      <c r="V49" s="832">
        <v>0</v>
      </c>
      <c r="W49" s="832">
        <v>0</v>
      </c>
      <c r="X49" s="832">
        <v>0</v>
      </c>
      <c r="Y49" s="831">
        <v>0</v>
      </c>
      <c r="Z49" s="830"/>
      <c r="AA49" s="830"/>
      <c r="AB49" s="830"/>
      <c r="AC49" s="830"/>
      <c r="AD49" s="824"/>
      <c r="AE49" s="824"/>
    </row>
    <row r="50" spans="10:31">
      <c r="T50" s="811"/>
      <c r="U50" s="828"/>
      <c r="V50" s="824"/>
      <c r="W50" s="829"/>
      <c r="X50" s="829"/>
      <c r="Y50" s="829"/>
      <c r="Z50" s="824"/>
      <c r="AA50" s="824"/>
      <c r="AB50" s="824"/>
      <c r="AC50" s="828"/>
      <c r="AD50" s="824"/>
      <c r="AE50" s="824"/>
    </row>
    <row r="51" spans="10:31">
      <c r="T51" s="811"/>
      <c r="U51" s="1434" t="s">
        <v>260</v>
      </c>
      <c r="V51" s="1435"/>
      <c r="W51" s="1435"/>
      <c r="X51" s="1435"/>
      <c r="Y51" s="1435"/>
      <c r="Z51" s="1435"/>
      <c r="AA51" s="1435"/>
      <c r="AB51" s="1435"/>
      <c r="AC51" s="1435"/>
      <c r="AD51" s="1435"/>
      <c r="AE51" s="1436"/>
    </row>
    <row r="52" spans="10:31">
      <c r="T52" s="811"/>
      <c r="U52" s="828" t="s">
        <v>946</v>
      </c>
      <c r="V52" s="824">
        <v>775</v>
      </c>
      <c r="W52" s="824">
        <v>750</v>
      </c>
      <c r="X52" s="824">
        <v>675</v>
      </c>
      <c r="Y52" s="827">
        <v>650</v>
      </c>
      <c r="Z52" s="826"/>
      <c r="AA52" s="826"/>
      <c r="AB52" s="826"/>
      <c r="AC52" s="826"/>
      <c r="AD52" s="824" t="s">
        <v>945</v>
      </c>
      <c r="AE52" s="824" t="s">
        <v>944</v>
      </c>
    </row>
    <row r="53" spans="10:31" ht="31.2">
      <c r="J53" s="999" t="s">
        <v>1294</v>
      </c>
      <c r="T53" s="811"/>
      <c r="U53" s="828" t="s">
        <v>943</v>
      </c>
      <c r="V53" s="824"/>
      <c r="W53" s="824">
        <v>5</v>
      </c>
      <c r="X53" s="824">
        <v>7</v>
      </c>
      <c r="Y53" s="827">
        <v>10</v>
      </c>
      <c r="Z53" s="826"/>
      <c r="AA53" s="826"/>
      <c r="AB53" s="826"/>
      <c r="AC53" s="826"/>
      <c r="AD53" s="824"/>
      <c r="AE53" s="824"/>
    </row>
    <row r="54" spans="10:31">
      <c r="T54" s="811"/>
      <c r="U54" s="828" t="s">
        <v>942</v>
      </c>
      <c r="V54" s="824">
        <v>1</v>
      </c>
      <c r="W54" s="824">
        <v>1</v>
      </c>
      <c r="X54" s="824">
        <v>1</v>
      </c>
      <c r="Y54" s="827">
        <v>1</v>
      </c>
      <c r="Z54" s="824"/>
      <c r="AA54" s="824"/>
      <c r="AB54" s="824"/>
      <c r="AC54" s="824"/>
      <c r="AD54" s="824"/>
      <c r="AE54" s="824"/>
    </row>
    <row r="55" spans="10:31">
      <c r="T55" s="811"/>
      <c r="U55" s="828" t="s">
        <v>941</v>
      </c>
      <c r="V55" s="824">
        <v>1</v>
      </c>
      <c r="W55" s="824">
        <v>1</v>
      </c>
      <c r="X55" s="824">
        <v>1</v>
      </c>
      <c r="Y55" s="827">
        <v>1</v>
      </c>
      <c r="Z55" s="826"/>
      <c r="AA55" s="826"/>
      <c r="AB55" s="826"/>
      <c r="AC55" s="826"/>
      <c r="AD55" s="824"/>
      <c r="AE55" s="824"/>
    </row>
    <row r="56" spans="10:31">
      <c r="T56" s="823"/>
      <c r="U56" s="825" t="s">
        <v>940</v>
      </c>
      <c r="V56" s="824">
        <v>60</v>
      </c>
      <c r="W56" s="824">
        <v>60</v>
      </c>
      <c r="X56" s="824"/>
      <c r="Y56" s="824"/>
      <c r="Z56" s="824"/>
      <c r="AA56" s="824"/>
      <c r="AB56" s="824"/>
      <c r="AC56" s="824"/>
      <c r="AD56" s="824"/>
      <c r="AE56" s="824"/>
    </row>
    <row r="57" spans="10:31">
      <c r="T57" s="811"/>
      <c r="U57" s="823"/>
      <c r="V57" s="822"/>
      <c r="W57" s="822"/>
      <c r="X57" s="822"/>
      <c r="Y57" s="822"/>
      <c r="Z57" s="822"/>
      <c r="AA57" s="822"/>
      <c r="AB57" s="822"/>
      <c r="AC57" s="822"/>
      <c r="AD57" s="821"/>
      <c r="AE57" s="821"/>
    </row>
    <row r="58" spans="10:31">
      <c r="T58" s="811"/>
      <c r="U58" s="819" t="s">
        <v>695</v>
      </c>
      <c r="V58" s="822"/>
      <c r="W58" s="822"/>
      <c r="X58" s="822"/>
      <c r="Y58" s="822"/>
      <c r="Z58" s="822"/>
      <c r="AA58" s="822"/>
      <c r="AB58" s="822"/>
      <c r="AC58" s="822"/>
      <c r="AD58" s="821"/>
      <c r="AE58" s="821"/>
    </row>
    <row r="59" spans="10:31">
      <c r="T59" s="820" t="s">
        <v>694</v>
      </c>
      <c r="U59" s="1389" t="s">
        <v>939</v>
      </c>
      <c r="V59" s="1389"/>
      <c r="W59" s="1389"/>
      <c r="X59" s="1389"/>
      <c r="Y59" s="1389"/>
      <c r="Z59" s="1389"/>
      <c r="AA59" s="1389"/>
      <c r="AB59" s="1389"/>
      <c r="AC59" s="1389"/>
      <c r="AD59" s="1389"/>
      <c r="AE59" s="1389"/>
    </row>
    <row r="60" spans="10:31">
      <c r="T60" s="820" t="s">
        <v>692</v>
      </c>
      <c r="U60" s="1389" t="s">
        <v>938</v>
      </c>
      <c r="V60" s="1389"/>
      <c r="W60" s="1389"/>
      <c r="X60" s="1389"/>
      <c r="Y60" s="1389"/>
      <c r="Z60" s="1389"/>
      <c r="AA60" s="1389"/>
      <c r="AB60" s="1389"/>
      <c r="AC60" s="1389"/>
      <c r="AD60" s="1389"/>
      <c r="AE60" s="1389"/>
    </row>
    <row r="61" spans="10:31">
      <c r="T61" s="820" t="s">
        <v>272</v>
      </c>
      <c r="U61" s="1389" t="s">
        <v>937</v>
      </c>
      <c r="V61" s="1389"/>
      <c r="W61" s="1389"/>
      <c r="X61" s="1389"/>
      <c r="Y61" s="1389"/>
      <c r="Z61" s="1389"/>
      <c r="AA61" s="1389"/>
      <c r="AB61" s="1389"/>
      <c r="AC61" s="1389"/>
      <c r="AD61" s="1389"/>
      <c r="AE61" s="1389"/>
    </row>
    <row r="62" spans="10:31">
      <c r="T62" s="820" t="s">
        <v>269</v>
      </c>
      <c r="U62" s="1389" t="s">
        <v>936</v>
      </c>
      <c r="V62" s="1389"/>
      <c r="W62" s="1389"/>
      <c r="X62" s="1389"/>
      <c r="Y62" s="1389"/>
      <c r="Z62" s="1389"/>
      <c r="AA62" s="1389"/>
      <c r="AB62" s="1389"/>
      <c r="AC62" s="1389"/>
      <c r="AD62" s="1389"/>
      <c r="AE62" s="1389"/>
    </row>
    <row r="63" spans="10:31">
      <c r="T63" s="820" t="s">
        <v>266</v>
      </c>
      <c r="U63" s="1389" t="s">
        <v>935</v>
      </c>
      <c r="V63" s="1389"/>
      <c r="W63" s="1389"/>
      <c r="X63" s="1389"/>
      <c r="Y63" s="1389"/>
      <c r="Z63" s="1389"/>
      <c r="AA63" s="1389"/>
      <c r="AB63" s="1389"/>
      <c r="AC63" s="1389"/>
      <c r="AD63" s="1389"/>
      <c r="AE63" s="1389"/>
    </row>
    <row r="64" spans="10:31">
      <c r="T64" s="820" t="s">
        <v>255</v>
      </c>
      <c r="U64" s="1389" t="s">
        <v>934</v>
      </c>
      <c r="V64" s="1389"/>
      <c r="W64" s="1389"/>
      <c r="X64" s="1389"/>
      <c r="Y64" s="1389"/>
      <c r="Z64" s="1389"/>
      <c r="AA64" s="1389"/>
      <c r="AB64" s="1389"/>
      <c r="AC64" s="1389"/>
      <c r="AD64" s="1389"/>
      <c r="AE64" s="1389"/>
    </row>
    <row r="65" spans="20:37">
      <c r="T65" s="820" t="s">
        <v>389</v>
      </c>
      <c r="U65" s="1438" t="s">
        <v>933</v>
      </c>
      <c r="V65" s="1438"/>
      <c r="W65" s="1438"/>
      <c r="X65" s="1438"/>
      <c r="Y65" s="1438"/>
      <c r="Z65" s="1438"/>
      <c r="AA65" s="1438"/>
      <c r="AB65" s="1438"/>
      <c r="AC65" s="1438"/>
      <c r="AD65" s="1438"/>
      <c r="AE65" s="1438"/>
      <c r="AF65" s="1438"/>
      <c r="AG65" s="1438"/>
      <c r="AH65" s="1438"/>
      <c r="AI65" s="1438"/>
      <c r="AJ65" s="1438"/>
      <c r="AK65" s="1438"/>
    </row>
    <row r="66" spans="20:37">
      <c r="T66" s="820" t="s">
        <v>393</v>
      </c>
      <c r="U66" s="1438" t="s">
        <v>932</v>
      </c>
      <c r="V66" s="1438"/>
      <c r="W66" s="1438"/>
      <c r="X66" s="1438"/>
      <c r="Y66" s="1438"/>
      <c r="Z66" s="1438"/>
      <c r="AA66" s="1438"/>
      <c r="AB66" s="1438"/>
      <c r="AC66" s="1438"/>
      <c r="AD66" s="1438"/>
      <c r="AE66" s="1438"/>
      <c r="AF66" s="1438"/>
      <c r="AG66" s="1438"/>
      <c r="AH66" s="1438"/>
      <c r="AI66" s="1438"/>
      <c r="AJ66" s="1438"/>
      <c r="AK66" s="1438"/>
    </row>
    <row r="67" spans="20:37">
      <c r="T67" s="820" t="s">
        <v>675</v>
      </c>
      <c r="U67" s="1438" t="s">
        <v>931</v>
      </c>
      <c r="V67" s="1438"/>
      <c r="W67" s="1438"/>
      <c r="X67" s="1438"/>
      <c r="Y67" s="1438"/>
      <c r="Z67" s="1438"/>
      <c r="AA67" s="1438"/>
      <c r="AB67" s="1438"/>
      <c r="AC67" s="1438"/>
      <c r="AD67" s="1438"/>
      <c r="AE67" s="1438"/>
    </row>
    <row r="68" spans="20:37">
      <c r="T68" s="820" t="s">
        <v>673</v>
      </c>
      <c r="U68" s="1438" t="s">
        <v>930</v>
      </c>
      <c r="V68" s="1438"/>
      <c r="W68" s="1438"/>
      <c r="X68" s="1438"/>
      <c r="Y68" s="1438"/>
      <c r="Z68" s="1438"/>
      <c r="AA68" s="1438"/>
      <c r="AB68" s="1438"/>
      <c r="AC68" s="1438"/>
      <c r="AD68" s="1438"/>
      <c r="AE68" s="1438"/>
    </row>
    <row r="69" spans="20:37">
      <c r="T69" s="820" t="s">
        <v>671</v>
      </c>
      <c r="U69" s="1438" t="s">
        <v>929</v>
      </c>
      <c r="V69" s="1438"/>
      <c r="W69" s="1438"/>
      <c r="X69" s="1438"/>
      <c r="Y69" s="1438"/>
      <c r="Z69" s="1438"/>
      <c r="AA69" s="1438"/>
      <c r="AB69" s="1438"/>
      <c r="AC69" s="1438"/>
      <c r="AD69" s="1438"/>
      <c r="AE69" s="1438"/>
    </row>
    <row r="70" spans="20:37">
      <c r="T70" s="820" t="s">
        <v>786</v>
      </c>
      <c r="U70" s="1437" t="s">
        <v>928</v>
      </c>
      <c r="V70" s="1437"/>
      <c r="W70" s="1437"/>
      <c r="X70" s="1437"/>
      <c r="Y70" s="1437"/>
      <c r="Z70" s="1437"/>
      <c r="AA70" s="1437"/>
      <c r="AB70" s="1437"/>
      <c r="AC70" s="1437"/>
      <c r="AD70" s="1437"/>
      <c r="AE70" s="1437"/>
    </row>
    <row r="71" spans="20:37">
      <c r="T71" s="811"/>
      <c r="U71" s="811"/>
      <c r="V71" s="811"/>
      <c r="W71" s="811"/>
      <c r="X71" s="811"/>
      <c r="Y71" s="811"/>
      <c r="Z71" s="811"/>
      <c r="AA71" s="811"/>
      <c r="AB71" s="811"/>
      <c r="AC71" s="811"/>
      <c r="AD71" s="811"/>
      <c r="AE71" s="811"/>
    </row>
    <row r="72" spans="20:37">
      <c r="U72" s="819" t="s">
        <v>669</v>
      </c>
      <c r="V72" s="811"/>
      <c r="W72" s="811"/>
      <c r="X72" s="811"/>
      <c r="Y72" s="811"/>
      <c r="Z72" s="811"/>
      <c r="AA72" s="811"/>
      <c r="AB72" s="811"/>
      <c r="AC72" s="811"/>
      <c r="AD72" s="811"/>
      <c r="AE72" s="811"/>
    </row>
    <row r="73" spans="20:37">
      <c r="T73" s="816" t="s">
        <v>927</v>
      </c>
      <c r="U73" s="815" t="s">
        <v>926</v>
      </c>
      <c r="V73" s="811"/>
      <c r="W73" s="811"/>
      <c r="X73" s="811"/>
      <c r="Y73" s="811"/>
      <c r="Z73" s="811"/>
      <c r="AA73" s="811"/>
      <c r="AB73" s="811"/>
      <c r="AC73" s="811"/>
      <c r="AD73" s="811"/>
      <c r="AE73" s="811"/>
    </row>
    <row r="74" spans="20:37">
      <c r="T74" s="816" t="s">
        <v>925</v>
      </c>
      <c r="U74" s="818" t="s">
        <v>924</v>
      </c>
      <c r="V74" s="811"/>
      <c r="W74" s="811"/>
      <c r="X74" s="811"/>
      <c r="Y74" s="811"/>
      <c r="Z74" s="811"/>
      <c r="AA74" s="811"/>
      <c r="AB74" s="811"/>
      <c r="AC74" s="811"/>
      <c r="AD74" s="811"/>
      <c r="AE74" s="811"/>
    </row>
    <row r="75" spans="20:37">
      <c r="T75" s="816" t="s">
        <v>923</v>
      </c>
      <c r="U75" s="818" t="s">
        <v>922</v>
      </c>
      <c r="V75" s="811"/>
      <c r="W75" s="811"/>
      <c r="X75" s="811"/>
      <c r="Y75" s="811"/>
      <c r="Z75" s="811"/>
      <c r="AA75" s="811"/>
      <c r="AB75" s="811"/>
      <c r="AC75" s="811"/>
      <c r="AD75" s="811"/>
      <c r="AE75" s="811"/>
    </row>
    <row r="76" spans="20:37">
      <c r="T76" s="816" t="s">
        <v>921</v>
      </c>
      <c r="U76" s="815" t="s">
        <v>920</v>
      </c>
      <c r="V76" s="811"/>
      <c r="W76" s="811"/>
      <c r="X76" s="811"/>
      <c r="Y76" s="811"/>
      <c r="Z76" s="811"/>
      <c r="AA76" s="811"/>
      <c r="AB76" s="811"/>
      <c r="AC76" s="811"/>
      <c r="AD76" s="811"/>
      <c r="AE76" s="811"/>
    </row>
    <row r="77" spans="20:37">
      <c r="T77" s="816" t="s">
        <v>919</v>
      </c>
      <c r="U77" s="815" t="s">
        <v>918</v>
      </c>
      <c r="V77" s="811"/>
      <c r="W77" s="811"/>
      <c r="X77" s="811"/>
      <c r="Y77" s="811"/>
      <c r="Z77" s="811"/>
      <c r="AA77" s="811"/>
      <c r="AB77" s="811"/>
      <c r="AC77" s="811"/>
      <c r="AD77" s="811"/>
      <c r="AE77" s="811"/>
    </row>
    <row r="78" spans="20:37">
      <c r="T78" s="816" t="s">
        <v>917</v>
      </c>
      <c r="U78" s="815" t="s">
        <v>916</v>
      </c>
      <c r="V78" s="811"/>
      <c r="W78" s="811"/>
      <c r="X78" s="811"/>
      <c r="Y78" s="811"/>
      <c r="Z78" s="811"/>
      <c r="AA78" s="811"/>
      <c r="AB78" s="811"/>
      <c r="AC78" s="811"/>
      <c r="AD78" s="811"/>
      <c r="AE78" s="811"/>
    </row>
    <row r="79" spans="20:37">
      <c r="T79" s="816" t="s">
        <v>915</v>
      </c>
      <c r="U79" s="815" t="s">
        <v>914</v>
      </c>
      <c r="V79" s="811"/>
      <c r="W79" s="811"/>
      <c r="X79" s="811"/>
      <c r="Y79" s="811"/>
      <c r="Z79" s="811"/>
      <c r="AA79" s="811"/>
      <c r="AB79" s="811"/>
      <c r="AC79" s="811"/>
      <c r="AD79" s="811"/>
      <c r="AE79" s="811"/>
    </row>
    <row r="80" spans="20:37">
      <c r="T80" s="816" t="s">
        <v>913</v>
      </c>
      <c r="U80" s="815" t="s">
        <v>912</v>
      </c>
      <c r="V80" s="811"/>
      <c r="W80" s="811"/>
      <c r="X80" s="811"/>
      <c r="Y80" s="811"/>
      <c r="Z80" s="811"/>
      <c r="AA80" s="811"/>
      <c r="AB80" s="811"/>
      <c r="AC80" s="811"/>
      <c r="AD80" s="811"/>
      <c r="AE80" s="811"/>
    </row>
    <row r="81" spans="20:31">
      <c r="T81" s="816" t="s">
        <v>911</v>
      </c>
      <c r="U81" s="815" t="s">
        <v>910</v>
      </c>
      <c r="V81" s="811"/>
      <c r="W81" s="811"/>
      <c r="X81" s="811"/>
      <c r="Y81" s="811"/>
      <c r="Z81" s="811"/>
      <c r="AA81" s="811"/>
      <c r="AB81" s="811"/>
      <c r="AC81" s="811"/>
      <c r="AD81" s="811"/>
      <c r="AE81" s="811"/>
    </row>
    <row r="82" spans="20:31">
      <c r="T82" s="816" t="s">
        <v>909</v>
      </c>
      <c r="U82" s="815" t="s">
        <v>908</v>
      </c>
      <c r="V82" s="811"/>
      <c r="W82" s="811"/>
      <c r="X82" s="811"/>
      <c r="Y82" s="811"/>
      <c r="Z82" s="811"/>
      <c r="AA82" s="811"/>
      <c r="AB82" s="811"/>
      <c r="AC82" s="811"/>
      <c r="AD82" s="811"/>
      <c r="AE82" s="811"/>
    </row>
    <row r="83" spans="20:31">
      <c r="T83" s="816" t="s">
        <v>907</v>
      </c>
      <c r="U83" s="815" t="s">
        <v>906</v>
      </c>
      <c r="V83" s="811"/>
      <c r="W83" s="811"/>
      <c r="X83" s="811"/>
      <c r="Y83" s="811"/>
      <c r="Z83" s="811"/>
      <c r="AA83" s="811"/>
      <c r="AB83" s="811"/>
      <c r="AC83" s="811"/>
      <c r="AD83" s="811"/>
      <c r="AE83" s="811"/>
    </row>
    <row r="84" spans="20:31">
      <c r="T84" s="816" t="s">
        <v>905</v>
      </c>
      <c r="U84" s="815" t="s">
        <v>904</v>
      </c>
      <c r="V84" s="817"/>
      <c r="W84" s="811"/>
      <c r="X84" s="811"/>
      <c r="Y84" s="811"/>
      <c r="Z84" s="811"/>
      <c r="AA84" s="811"/>
      <c r="AB84" s="811"/>
      <c r="AC84" s="811"/>
      <c r="AD84" s="811"/>
      <c r="AE84" s="811"/>
    </row>
    <row r="85" spans="20:31">
      <c r="T85" s="816" t="s">
        <v>903</v>
      </c>
      <c r="U85" s="815" t="s">
        <v>902</v>
      </c>
      <c r="V85" s="811"/>
      <c r="W85" s="811"/>
      <c r="X85" s="811"/>
      <c r="Y85" s="811"/>
      <c r="Z85" s="811"/>
      <c r="AA85" s="811"/>
      <c r="AB85" s="811"/>
      <c r="AC85" s="811"/>
      <c r="AD85" s="811"/>
      <c r="AE85" s="811"/>
    </row>
    <row r="86" spans="20:31">
      <c r="T86" s="816" t="s">
        <v>901</v>
      </c>
      <c r="U86" s="815" t="s">
        <v>900</v>
      </c>
      <c r="V86" s="815"/>
      <c r="W86" s="811"/>
      <c r="X86" s="811"/>
      <c r="Y86" s="811"/>
      <c r="Z86" s="811"/>
      <c r="AA86" s="811"/>
      <c r="AB86" s="811"/>
      <c r="AC86" s="811"/>
      <c r="AD86" s="811"/>
      <c r="AE86" s="811"/>
    </row>
    <row r="87" spans="20:31">
      <c r="T87" s="811"/>
      <c r="U87" s="814" t="s">
        <v>899</v>
      </c>
      <c r="V87" s="813"/>
      <c r="W87" s="812"/>
      <c r="X87" s="812"/>
      <c r="Y87" s="812"/>
      <c r="Z87" s="812"/>
      <c r="AA87" s="812"/>
      <c r="AB87" s="811"/>
      <c r="AC87" s="811"/>
      <c r="AD87" s="811"/>
      <c r="AE87" s="811"/>
    </row>
  </sheetData>
  <mergeCells count="19">
    <mergeCell ref="U70:AE70"/>
    <mergeCell ref="U64:AE64"/>
    <mergeCell ref="U65:AK65"/>
    <mergeCell ref="U66:AK66"/>
    <mergeCell ref="U67:AE67"/>
    <mergeCell ref="U68:AE68"/>
    <mergeCell ref="U69:AE69"/>
    <mergeCell ref="U61:AE61"/>
    <mergeCell ref="U62:AE62"/>
    <mergeCell ref="U63:AE63"/>
    <mergeCell ref="V25:AE25"/>
    <mergeCell ref="Z26:AA26"/>
    <mergeCell ref="AB26:AC26"/>
    <mergeCell ref="U31:AE31"/>
    <mergeCell ref="U34:AE34"/>
    <mergeCell ref="U43:AE43"/>
    <mergeCell ref="U51:AE51"/>
    <mergeCell ref="U59:AE59"/>
    <mergeCell ref="U60:AE6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41</vt:i4>
      </vt:variant>
    </vt:vector>
  </HeadingPairs>
  <TitlesOfParts>
    <vt:vector size="94" baseType="lpstr">
      <vt:lpstr>LOG</vt:lpstr>
      <vt:lpstr>SUP_COMM</vt:lpstr>
      <vt:lpstr>SUP_Proc</vt:lpstr>
      <vt:lpstr>Other CO2 sources</vt:lpstr>
      <vt:lpstr>SUP_PtL_Methanol_Route</vt:lpstr>
      <vt:lpstr>SUP_Methanol by ETL</vt:lpstr>
      <vt:lpstr>SUP_DEA_ELECTRO</vt:lpstr>
      <vt:lpstr>SUP_H2_Production</vt:lpstr>
      <vt:lpstr>SUP_Ammonia</vt:lpstr>
      <vt:lpstr>SUP_Biofuels</vt:lpstr>
      <vt:lpstr>SUP_MethanationBGA</vt:lpstr>
      <vt:lpstr>SUP_Biogas</vt:lpstr>
      <vt:lpstr>SUP_H2_Delivery</vt:lpstr>
      <vt:lpstr>Data_CO2 sources DK</vt:lpstr>
      <vt:lpstr>Data_LHV fuels</vt:lpstr>
      <vt:lpstr>Data_H2_Production</vt:lpstr>
      <vt:lpstr>Data_H2_Delivery</vt:lpstr>
      <vt:lpstr>Data_Brændselscelle</vt:lpstr>
      <vt:lpstr>DATA_Methanol by BTL</vt:lpstr>
      <vt:lpstr>81 Biogas Plant, Basic conf.</vt:lpstr>
      <vt:lpstr>81 Biogas Plant, Add. Straw</vt:lpstr>
      <vt:lpstr>81 Biogas Plant, Add. Org Waste</vt:lpstr>
      <vt:lpstr>82 Biogas, upgrading</vt:lpstr>
      <vt:lpstr>83 Gasif. Fixed Bed, Producer </vt:lpstr>
      <vt:lpstr>84 Gasif. CFB, Bio-SNG</vt:lpstr>
      <vt:lpstr>85 Gasif Ent Flow FT liq fu</vt:lpstr>
      <vt:lpstr>86 AEC 1MW</vt:lpstr>
      <vt:lpstr>86 AEC 100MW</vt:lpstr>
      <vt:lpstr>86 PEMEC 1MW</vt:lpstr>
      <vt:lpstr>86 PEMEC 100MW</vt:lpstr>
      <vt:lpstr>86 SOEC 1MW</vt:lpstr>
      <vt:lpstr>89 Vegetable oil FAME</vt:lpstr>
      <vt:lpstr>90 UCO &amp; animal fat FAME</vt:lpstr>
      <vt:lpstr>91 Hydrogenated veg oil</vt:lpstr>
      <vt:lpstr>92 HVO jet fuel</vt:lpstr>
      <vt:lpstr>93 1st generation ethanol</vt:lpstr>
      <vt:lpstr>94 Pyrolysis oils</vt:lpstr>
      <vt:lpstr>95 Cellulosic ethanol</vt:lpstr>
      <vt:lpstr>97 Methanol from biomass gasif.</vt:lpstr>
      <vt:lpstr>98 Methanol from power</vt:lpstr>
      <vt:lpstr>99 SNG from methan. of biogas</vt:lpstr>
      <vt:lpstr>100 Hydrothermal liquifaction</vt:lpstr>
      <vt:lpstr>101 Catalytic Hydropyrolysis 2</vt:lpstr>
      <vt:lpstr>101 Catalytic Hydropyrolysis 1</vt:lpstr>
      <vt:lpstr>101 Catalytic Hydropyrolysi (2)</vt:lpstr>
      <vt:lpstr>101 Catalytic Hydropyrolysi (3)</vt:lpstr>
      <vt:lpstr>102 Hydrogen to Jet</vt:lpstr>
      <vt:lpstr>102 Power to Jet</vt:lpstr>
      <vt:lpstr>103 Hydrogen to Ammonia</vt:lpstr>
      <vt:lpstr>104 Methane pyrolysis, MBR</vt:lpstr>
      <vt:lpstr>104 Methane pyrolysis, Plasma</vt:lpstr>
      <vt:lpstr>Data_PEMEC</vt:lpstr>
      <vt:lpstr>Data_SOEC</vt:lpstr>
      <vt:lpstr>'102 Hydrogen to Jet'!_Ref27922520</vt:lpstr>
      <vt:lpstr>'102 Hydrogen to Jet'!_Ref27922536</vt:lpstr>
      <vt:lpstr>'102 Hydrogen to Jet'!_Ref27922576</vt:lpstr>
      <vt:lpstr>'102 Hydrogen to Jet'!_Ref27922596</vt:lpstr>
      <vt:lpstr>'102 Hydrogen to Jet'!_Ref27922635</vt:lpstr>
      <vt:lpstr>'91 Hydrogenated veg oil'!_Toc520721076</vt:lpstr>
      <vt:lpstr>'92 HVO jet fuel'!_Toc520721099</vt:lpstr>
      <vt:lpstr>'93 1st generation ethanol'!_Toc520721122</vt:lpstr>
      <vt:lpstr>'94 Pyrolysis oils'!_Toc520721145</vt:lpstr>
      <vt:lpstr>'95 Cellulosic ethanol'!_Toc520721168</vt:lpstr>
      <vt:lpstr>'97 Methanol from biomass gasif.'!_Toc520721214</vt:lpstr>
      <vt:lpstr>'103 Hydrogen to Ammonia'!_Toc520721237</vt:lpstr>
      <vt:lpstr>'98 Methanol from power'!_Toc520721237</vt:lpstr>
      <vt:lpstr>'99 SNG from methan. of biogas'!_Toc520721259</vt:lpstr>
      <vt:lpstr>'100 Hydrothermal liquifaction'!_Toc520721282</vt:lpstr>
      <vt:lpstr>sheet23</vt:lpstr>
      <vt:lpstr>sheet24</vt:lpstr>
      <vt:lpstr>sheet25</vt:lpstr>
      <vt:lpstr>sheet26</vt:lpstr>
      <vt:lpstr>'104 Methane pyrolysis, MBR'!sheet3</vt:lpstr>
      <vt:lpstr>'104 Methane pyrolysis, Plasma'!sheet3</vt:lpstr>
      <vt:lpstr>'86 AEC 100MW'!sheet3</vt:lpstr>
      <vt:lpstr>'86 AEC 1MW'!sheet3</vt:lpstr>
      <vt:lpstr>'86 PEMEC 100MW'!sheet3</vt:lpstr>
      <vt:lpstr>'86 PEMEC 1MW'!sheet3</vt:lpstr>
      <vt:lpstr>'86 SOEC 1MW'!sheet3</vt:lpstr>
      <vt:lpstr>sheet8</vt:lpstr>
      <vt:lpstr>Start12</vt:lpstr>
      <vt:lpstr>Start13</vt:lpstr>
      <vt:lpstr>Start14</vt:lpstr>
      <vt:lpstr>Start15</vt:lpstr>
      <vt:lpstr>Start16</vt:lpstr>
      <vt:lpstr>Start17</vt:lpstr>
      <vt:lpstr>Start18</vt:lpstr>
      <vt:lpstr>Start19</vt:lpstr>
      <vt:lpstr>Start20</vt:lpstr>
      <vt:lpstr>Start21</vt:lpstr>
      <vt:lpstr>Start22</vt:lpstr>
      <vt:lpstr>Start23</vt:lpstr>
      <vt:lpstr>Start24</vt:lpstr>
      <vt:lpstr>Start25</vt:lpstr>
    </vt:vector>
  </TitlesOfParts>
  <Company>Statens 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Steffen Dockweiler</dc:creator>
  <cp:lastModifiedBy>Mikkel Bosack</cp:lastModifiedBy>
  <dcterms:created xsi:type="dcterms:W3CDTF">2017-11-21T09:52:11Z</dcterms:created>
  <dcterms:modified xsi:type="dcterms:W3CDTF">2021-09-15T07:47:31Z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772579371929168</vt:r8>
  </property>
</Properties>
</file>