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24226"/>
  <mc:AlternateContent xmlns:mc="http://schemas.openxmlformats.org/markup-compatibility/2006">
    <mc:Choice Requires="x15">
      <x15ac:absPath xmlns:x15ac="http://schemas.microsoft.com/office/spreadsheetml/2010/11/ac" url="C:\VEDA\VEDA_Models\~g2v_TIMES-DK\KRAKA2\SubRES_TMPL\"/>
    </mc:Choice>
  </mc:AlternateContent>
  <xr:revisionPtr revIDLastSave="0" documentId="13_ncr:1_{15A6E8D1-CA89-4771-8E47-CB2ACE4B7341}" xr6:coauthVersionLast="47" xr6:coauthVersionMax="47" xr10:uidLastSave="{00000000-0000-0000-0000-000000000000}"/>
  <bookViews>
    <workbookView xWindow="-108" yWindow="-108" windowWidth="41496" windowHeight="16896" firstSheet="7" activeTab="11"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DEA_ELECTRO" sheetId="84" r:id="rId7"/>
    <sheet name="SUP_H2_Production" sheetId="47" r:id="rId8"/>
    <sheet name="SUP_Ammonia" sheetId="46"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5 Gasif Ent Flow FT liq fu" sheetId="88" r:id="rId26"/>
    <sheet name="86 AEC 1MW" sheetId="89" r:id="rId27"/>
    <sheet name="86 AEC 100MW" sheetId="90" r:id="rId28"/>
    <sheet name="86 PEMEC 1MW" sheetId="91" r:id="rId29"/>
    <sheet name="86 PEMEC 100MW" sheetId="92" r:id="rId30"/>
    <sheet name="86 SOEC 1MW" sheetId="93" r:id="rId31"/>
    <sheet name="89 Vegetable oil FAME" sheetId="65" r:id="rId32"/>
    <sheet name="90 UCO &amp; animal fat FAME" sheetId="66" r:id="rId33"/>
    <sheet name="91 Hydrogenated veg oil" sheetId="67" r:id="rId34"/>
    <sheet name="92 HVO jet fuel" sheetId="68" r:id="rId35"/>
    <sheet name="93 1st generation ethanol" sheetId="69" r:id="rId36"/>
    <sheet name="94 Pyrolysis oils" sheetId="70" r:id="rId37"/>
    <sheet name="95 Cellulosic ethanol" sheetId="71" r:id="rId38"/>
    <sheet name="97 Methanol from biomass gasif." sheetId="72" r:id="rId39"/>
    <sheet name="98 Methanol from power" sheetId="73" r:id="rId40"/>
    <sheet name="99 SNG from methan. of biogas" sheetId="74" r:id="rId41"/>
    <sheet name="100 Hydrothermal liquifaction" sheetId="75" r:id="rId42"/>
    <sheet name="101 Catalytic Hydropyrolysis 2" sheetId="76" r:id="rId43"/>
    <sheet name="101 Catalytic Hydropyrolysis 1" sheetId="77" r:id="rId44"/>
    <sheet name="101 Catalytic Hydropyrolysi (2)" sheetId="85" r:id="rId45"/>
    <sheet name="101 Catalytic Hydropyrolysi (3)" sheetId="86" r:id="rId46"/>
    <sheet name="102 Hydrogen to Jet" sheetId="82" r:id="rId47"/>
    <sheet name="102 Power to Jet" sheetId="83" r:id="rId48"/>
    <sheet name="103 Hydrogen to Ammonia" sheetId="94" r:id="rId49"/>
    <sheet name="104 Methane pyrolysis, MBR" sheetId="95" r:id="rId50"/>
    <sheet name="104 Methane pyrolysis, Plasma" sheetId="96" r:id="rId51"/>
    <sheet name="Data_PEMEC" sheetId="78" r:id="rId52"/>
    <sheet name="Data_SOEC" sheetId="79" r:id="rId53"/>
  </sheets>
  <externalReferences>
    <externalReference r:id="rId54"/>
    <externalReference r:id="rId55"/>
    <externalReference r:id="rId56"/>
    <externalReference r:id="rId57"/>
    <externalReference r:id="rId58"/>
    <externalReference r:id="rId59"/>
    <externalReference r:id="rId60"/>
  </externalReferences>
  <definedNames>
    <definedName name="_Ref27922520" localSheetId="46">'102 Hydrogen to Jet'!$C$50</definedName>
    <definedName name="_Ref27922536" localSheetId="46">'102 Hydrogen to Jet'!$C$49</definedName>
    <definedName name="_Ref27922576" localSheetId="46">'102 Hydrogen to Jet'!$C$48</definedName>
    <definedName name="_Ref27922596" localSheetId="46">'102 Hydrogen to Jet'!$C$47</definedName>
    <definedName name="_Ref27922635" localSheetId="46">'102 Hydrogen to Jet'!$C$46</definedName>
    <definedName name="_Toc520721030" localSheetId="31">'89 Vegetable oil FAME'!#REF!</definedName>
    <definedName name="_Toc520721076" localSheetId="33">'91 Hydrogenated veg oil'!$C$56</definedName>
    <definedName name="_Toc520721099" localSheetId="34">'92 HVO jet fuel'!$C$56</definedName>
    <definedName name="_Toc520721122" localSheetId="35">'93 1st generation ethanol'!$C$50</definedName>
    <definedName name="_Toc520721145" localSheetId="36">'94 Pyrolysis oils'!$C$45</definedName>
    <definedName name="_Toc520721168" localSheetId="37">'95 Cellulosic ethanol'!$C$45</definedName>
    <definedName name="_Toc520721214" localSheetId="38">'97 Methanol from biomass gasif.'!$C$43</definedName>
    <definedName name="_Toc520721237" localSheetId="48">'103 Hydrogen to Ammonia'!$B$52</definedName>
    <definedName name="_Toc520721237" localSheetId="39">'98 Methanol from power'!$C$48</definedName>
    <definedName name="_Toc520721259" localSheetId="40">'99 SNG from methan. of biogas'!$B$47</definedName>
    <definedName name="_Toc520721282" localSheetId="41">'100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dex" localSheetId="48">#REF!</definedName>
    <definedName name="PlantDesc1">'[1]TIMES-DK codes'!$B$12:$C$48</definedName>
    <definedName name="PlantDesc2">'[1]TIMES-DK codes'!$D$12:$E$40</definedName>
    <definedName name="PlantName_1">[1]Plants1!$A$14:$A$1884</definedName>
    <definedName name="rSØK">'[5]General ass. and conv.'!$C$3</definedName>
    <definedName name="Sheet" localSheetId="48">#REF!</definedName>
    <definedName name="sheet10" localSheetId="48">#REF!</definedName>
    <definedName name="sheet10">#REF!</definedName>
    <definedName name="sheet11" localSheetId="48">#REF!</definedName>
    <definedName name="sheet11">#REF!</definedName>
    <definedName name="sheet12" localSheetId="48">#REF!</definedName>
    <definedName name="sheet13" localSheetId="48">#REF!</definedName>
    <definedName name="sheet14" localSheetId="48">#REF!</definedName>
    <definedName name="sheet15" localSheetId="48">#REF!</definedName>
    <definedName name="sheet16" localSheetId="48">#REF!</definedName>
    <definedName name="sheet17" localSheetId="48">#REF!</definedName>
    <definedName name="sheet18" localSheetId="48">#REF!</definedName>
    <definedName name="sheet19" localSheetId="48">#REF!</definedName>
    <definedName name="sheet2" localSheetId="48">#REF!</definedName>
    <definedName name="sheet20" localSheetId="48">'103 Hydrogen to Ammonia'!#REF!</definedName>
    <definedName name="sheet21" localSheetId="48">#REF!</definedName>
    <definedName name="sheet22" localSheetId="48">#REF!</definedName>
    <definedName name="sheet23" localSheetId="48">#REF!</definedName>
    <definedName name="sheet23">'101 Catalytic Hydropyrolysi (2)'!$C$3</definedName>
    <definedName name="sheet24" localSheetId="48">#REF!</definedName>
    <definedName name="sheet24">'101 Catalytic Hydropyrolysi (3)'!$C$3</definedName>
    <definedName name="sheet25" localSheetId="48">#REF!</definedName>
    <definedName name="sheet25">'102 Hydrogen to Jet'!$D$2</definedName>
    <definedName name="sheet26" localSheetId="48">#REF!</definedName>
    <definedName name="sheet26">'102 Power to Jet'!$D$2</definedName>
    <definedName name="sheet3" localSheetId="48">#REF!</definedName>
    <definedName name="sheet3" localSheetId="49">'104 Methane pyrolysis, MBR'!$C$3</definedName>
    <definedName name="sheet3" localSheetId="50">'104 Methane pyrolysis, Plasma'!$C$3</definedName>
    <definedName name="sheet3" localSheetId="27">'86 AEC 100MW'!$C$3</definedName>
    <definedName name="sheet3" localSheetId="26">'86 AEC 1MW'!$C$3</definedName>
    <definedName name="sheet3" localSheetId="29">'86 PEMEC 100MW'!$C$3</definedName>
    <definedName name="sheet3" localSheetId="28">'86 PEMEC 1MW'!$C$3</definedName>
    <definedName name="sheet3" localSheetId="30">'86 SOEC 1MW'!$C$3</definedName>
    <definedName name="sheet4" localSheetId="48">#REF!</definedName>
    <definedName name="sheet5" localSheetId="48">#REF!</definedName>
    <definedName name="sheet6" localSheetId="48">#REF!</definedName>
    <definedName name="sheet7" localSheetId="48">#REF!</definedName>
    <definedName name="sheet8" localSheetId="48">#REF!</definedName>
    <definedName name="sheet8">'85 Gasif Ent Flow FT liq fu'!$D$3</definedName>
    <definedName name="sheet9" localSheetId="48">#REF!</definedName>
    <definedName name="sheet9">#REF!</definedName>
    <definedName name="Start10" localSheetId="48">#REF!</definedName>
    <definedName name="Start10" localSheetId="25">#REF!</definedName>
    <definedName name="Start10">#REF!</definedName>
    <definedName name="Start11" localSheetId="48">#REF!</definedName>
    <definedName name="Start11" localSheetId="25">#REF!</definedName>
    <definedName name="Start11">#REF!</definedName>
    <definedName name="Start12" localSheetId="48">#REF!</definedName>
    <definedName name="Start12" localSheetId="25">'[6]89 Vegetable oil FAME'!#REF!</definedName>
    <definedName name="Start12">'89 Vegetable oil FAME'!$I$1</definedName>
    <definedName name="Start13" localSheetId="48">#REF!</definedName>
    <definedName name="Start13" localSheetId="25">'[6]90 UCO &amp; animal fat FAME'!#REF!</definedName>
    <definedName name="Start13">'90 UCO &amp; animal fat FAME'!$I$1</definedName>
    <definedName name="Start14" localSheetId="48">#REF!</definedName>
    <definedName name="Start14" localSheetId="25">'[6]91 Hydrogenated veg oil'!#REF!</definedName>
    <definedName name="Start14">'91 Hydrogenated veg oil'!$I$1</definedName>
    <definedName name="Start15" localSheetId="48">#REF!</definedName>
    <definedName name="Start15" localSheetId="25">'[6]92 HVO jet fuel'!#REF!</definedName>
    <definedName name="Start15">'92 HVO jet fuel'!$I$1</definedName>
    <definedName name="Start16" localSheetId="48">#REF!</definedName>
    <definedName name="Start16" localSheetId="25">'[6]93 1st generation ethanol'!#REF!</definedName>
    <definedName name="Start16">'93 1st generation ethanol'!$I$1</definedName>
    <definedName name="Start17" localSheetId="48">#REF!</definedName>
    <definedName name="Start17" localSheetId="25">'[6]94 Pyrolysis oils'!#REF!</definedName>
    <definedName name="Start17">'94 Pyrolysis oils'!$I$1</definedName>
    <definedName name="Start18" localSheetId="48">#REF!</definedName>
    <definedName name="Start18" localSheetId="25">'[6]95 Cellulosic ethanol'!#REF!</definedName>
    <definedName name="Start18">'95 Cellulosic ethanol'!$I$1</definedName>
    <definedName name="Start19" localSheetId="48">#REF!</definedName>
    <definedName name="Start19" localSheetId="25">'[6]97 Methanol from biomass gasif.'!#REF!</definedName>
    <definedName name="Start19">'97 Methanol from biomass gasif.'!$I$1</definedName>
    <definedName name="Start2" localSheetId="48">#REF!</definedName>
    <definedName name="Start2" localSheetId="25">'[6]81 Biogas Plant, Basic conf.'!#REF!</definedName>
    <definedName name="Start2">'[7]81 Biogas Plant, Basic conf.'!#REF!</definedName>
    <definedName name="Start20" localSheetId="48">'103 Hydrogen to Ammonia'!#REF!</definedName>
    <definedName name="Start20" localSheetId="25">'[6]98 Methanol from power'!#REF!</definedName>
    <definedName name="Start20">'98 Methanol from power'!$I$1</definedName>
    <definedName name="Start21" localSheetId="48">#REF!</definedName>
    <definedName name="Start21" localSheetId="25">'[6]99 SNG from methan. of biogas'!#REF!</definedName>
    <definedName name="Start21">'99 SNG from methan. of biogas'!$H$1</definedName>
    <definedName name="Start22" localSheetId="48">#REF!</definedName>
    <definedName name="Start22" localSheetId="25">'[6]100 Hydrothermal liquifaction'!#REF!</definedName>
    <definedName name="Start22">'100 Hydrothermal liquifaction'!$I$1</definedName>
    <definedName name="Start23" localSheetId="48">#REF!</definedName>
    <definedName name="Start23" localSheetId="25">'[6]101 Catalytic Hydropyrolysis 2'!#REF!</definedName>
    <definedName name="Start23">'101 Catalytic Hydropyrolysis 2'!$I$1</definedName>
    <definedName name="Start24" localSheetId="48">#REF!</definedName>
    <definedName name="Start24" localSheetId="25">'[6]101 Catalytic Hydropyrolysis 1'!#REF!</definedName>
    <definedName name="Start24">'101 Catalytic Hydropyrolysis 1'!$I$1</definedName>
    <definedName name="Start25" localSheetId="48">#REF!</definedName>
    <definedName name="Start25" localSheetId="25">'[6]102 Hydrogen to Jet'!#REF!</definedName>
    <definedName name="Start25">'101 Catalytic Hydropyrolysis 1'!$I$1</definedName>
    <definedName name="Start26" localSheetId="48">#REF!</definedName>
    <definedName name="Start26" localSheetId="25">'[6]102 Power to Jet'!#REF!</definedName>
    <definedName name="Start26">'102 Power to Jet'!#REF!</definedName>
    <definedName name="Start3" localSheetId="48">#REF!</definedName>
    <definedName name="Start3" localSheetId="49">'104 Methane pyrolysis, MBR'!#REF!</definedName>
    <definedName name="Start3" localSheetId="50">'104 Methane pyrolysis, Plasma'!#REF!</definedName>
    <definedName name="Start3" localSheetId="25">'[6]81 Biogas Plant, Add. Straw'!#REF!</definedName>
    <definedName name="Start3" localSheetId="27">'86 AEC 100MW'!#REF!</definedName>
    <definedName name="Start3" localSheetId="26">'86 AEC 1MW'!#REF!</definedName>
    <definedName name="Start3" localSheetId="29">'86 PEMEC 100MW'!#REF!</definedName>
    <definedName name="Start3" localSheetId="28">'86 PEMEC 1MW'!#REF!</definedName>
    <definedName name="Start3" localSheetId="30">'86 SOEC 1MW'!#REF!</definedName>
    <definedName name="Start3">'[7]81 Biogas Plant, Add. Straw'!#REF!</definedName>
    <definedName name="Start4" localSheetId="48">#REF!</definedName>
    <definedName name="Start4" localSheetId="25">'[6]81 Biogas Plant, Add. Org Waste'!#REF!</definedName>
    <definedName name="Start4">'[7]81 Biogas Plant, Add. Org Waste'!#REF!</definedName>
    <definedName name="Start5" localSheetId="48">#REF!</definedName>
    <definedName name="Start5" localSheetId="25">'[6]82 Biogas, upgrading'!#REF!</definedName>
    <definedName name="Start5">'[7]82 Biogas, upgrading'!#REF!</definedName>
    <definedName name="Start6" localSheetId="48">#REF!</definedName>
    <definedName name="Start6" localSheetId="25">'[6]83 Gasif. Fixed Bed, Producer '!#REF!</definedName>
    <definedName name="Start6">'[7]83 Gasif. Fixed Bed, Producer '!#REF!</definedName>
    <definedName name="Start7" localSheetId="48">#REF!</definedName>
    <definedName name="Start7" localSheetId="25">'[6]84 Gasif. CFB, Bio-SNG'!#REF!</definedName>
    <definedName name="Start7">'[7]84 Gasif. CFB, Bio-SNG'!#REF!</definedName>
    <definedName name="Start8" localSheetId="48">#REF!</definedName>
    <definedName name="Start8" localSheetId="25">'85 Gasif Ent Flow FT liq fu'!#REF!</definedName>
    <definedName name="Start8">'[7]85 Gasif. Ent. Flow FT, liq fu '!#REF!</definedName>
    <definedName name="Start9" localSheetId="48">#REF!</definedName>
    <definedName name="Start9" localSheetId="25">#REF!</definedName>
    <definedName name="Start9">#REF!</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6" i="84" l="1"/>
  <c r="J53" i="84"/>
  <c r="J50" i="84"/>
  <c r="J48" i="84"/>
  <c r="K49" i="84" s="1"/>
  <c r="J47" i="84"/>
  <c r="J43" i="84"/>
  <c r="J39" i="84"/>
  <c r="J35" i="84"/>
  <c r="J31" i="84"/>
  <c r="K14" i="84"/>
  <c r="K18" i="84"/>
  <c r="K22" i="84"/>
  <c r="K26" i="84"/>
  <c r="K30" i="84"/>
  <c r="J27" i="84"/>
  <c r="J23" i="84"/>
  <c r="J20" i="84"/>
  <c r="J19" i="84"/>
  <c r="J16" i="84"/>
  <c r="J15" i="84"/>
  <c r="J11" i="84"/>
  <c r="K34" i="84"/>
  <c r="K38" i="84"/>
  <c r="K42" i="84"/>
  <c r="K46" i="84"/>
  <c r="K52" i="84"/>
  <c r="K55" i="84"/>
  <c r="K58" i="84"/>
  <c r="M37" i="49"/>
  <c r="M38" i="49" s="1"/>
  <c r="M26" i="49"/>
  <c r="M27" i="49" s="1"/>
  <c r="M14" i="49"/>
  <c r="M15" i="49" s="1"/>
  <c r="S41" i="49"/>
  <c r="R41" i="49"/>
  <c r="S40" i="49"/>
  <c r="R40" i="49"/>
  <c r="S39" i="49"/>
  <c r="R39" i="49"/>
  <c r="O46" i="49"/>
  <c r="O8" i="49"/>
  <c r="O34" i="49"/>
  <c r="O33" i="49"/>
  <c r="O32" i="49"/>
  <c r="O31" i="49"/>
  <c r="O19" i="49"/>
  <c r="AK24" i="49"/>
  <c r="O23" i="49"/>
  <c r="O22" i="49"/>
  <c r="O21" i="49"/>
  <c r="O20" i="49"/>
  <c r="X16" i="57"/>
  <c r="R19" i="49"/>
  <c r="R8" i="49"/>
  <c r="AF15" i="49"/>
  <c r="AF13" i="49"/>
  <c r="AF12" i="49"/>
  <c r="AF10" i="49"/>
  <c r="AF9" i="49"/>
  <c r="AF8" i="49"/>
  <c r="AM16" i="49"/>
  <c r="AE15" i="49" l="1"/>
  <c r="AE13" i="49"/>
  <c r="AE12" i="49"/>
  <c r="AE11" i="49"/>
  <c r="AE10" i="49"/>
  <c r="AE9" i="49"/>
  <c r="AE8" i="49"/>
  <c r="AA21" i="49" l="1"/>
  <c r="AA22" i="49" s="1"/>
  <c r="O11" i="49"/>
  <c r="O10" i="49"/>
  <c r="O9" i="49"/>
  <c r="L12" i="49" l="1"/>
  <c r="L13" i="49"/>
  <c r="R16" i="49"/>
  <c r="S8" i="49"/>
  <c r="R2" i="49" s="1"/>
  <c r="S2" i="49" l="1"/>
  <c r="S1" i="49" s="1"/>
  <c r="D44" i="41"/>
  <c r="D45" i="41"/>
  <c r="D46" i="41"/>
  <c r="D47" i="41"/>
  <c r="D48" i="41"/>
  <c r="D49" i="41"/>
  <c r="D50" i="41"/>
  <c r="D51" i="41"/>
  <c r="D52" i="41"/>
  <c r="D53" i="41"/>
  <c r="D54" i="41"/>
  <c r="D55" i="41"/>
  <c r="D56" i="41"/>
  <c r="D57" i="41"/>
  <c r="C57" i="41"/>
  <c r="C56" i="41"/>
  <c r="C55" i="41"/>
  <c r="C54" i="41"/>
  <c r="C53" i="41"/>
  <c r="C52" i="41"/>
  <c r="C51" i="41"/>
  <c r="C50" i="41"/>
  <c r="C49" i="41"/>
  <c r="C48" i="41"/>
  <c r="C47" i="41"/>
  <c r="C46" i="41"/>
  <c r="C45" i="41"/>
  <c r="C44" i="41"/>
  <c r="D237" i="81"/>
  <c r="R269" i="81" l="1"/>
  <c r="G268" i="81"/>
  <c r="G276" i="81" s="1"/>
  <c r="R261" i="81"/>
  <c r="R253" i="81"/>
  <c r="G251" i="81"/>
  <c r="G259" i="81" s="1"/>
  <c r="G267" i="81" s="1"/>
  <c r="G275" i="81" s="1"/>
  <c r="G250" i="81"/>
  <c r="G258" i="81" s="1"/>
  <c r="G266" i="81" s="1"/>
  <c r="G274" i="81" s="1"/>
  <c r="G249" i="81"/>
  <c r="G257" i="81" s="1"/>
  <c r="G265" i="81" s="1"/>
  <c r="G273" i="81" s="1"/>
  <c r="E248" i="81"/>
  <c r="E256" i="81" s="1"/>
  <c r="E264" i="81" s="1"/>
  <c r="E272" i="81" s="1"/>
  <c r="E247" i="81"/>
  <c r="E255" i="81" s="1"/>
  <c r="E263" i="81" s="1"/>
  <c r="E271" i="81" s="1"/>
  <c r="E246" i="81"/>
  <c r="E254" i="81" s="1"/>
  <c r="E262" i="81" s="1"/>
  <c r="E270" i="81" s="1"/>
  <c r="R245" i="81"/>
  <c r="F245" i="81"/>
  <c r="F253" i="81" s="1"/>
  <c r="F261" i="81" s="1"/>
  <c r="F269" i="81" s="1"/>
  <c r="E245" i="81"/>
  <c r="E253" i="81" s="1"/>
  <c r="E261" i="81" s="1"/>
  <c r="E269" i="81" s="1"/>
  <c r="R237" i="81"/>
  <c r="I237" i="81"/>
  <c r="C237" i="81"/>
  <c r="D157" i="81"/>
  <c r="R189" i="81" l="1"/>
  <c r="R181" i="81"/>
  <c r="R173" i="81"/>
  <c r="G169" i="81"/>
  <c r="G177" i="81" s="1"/>
  <c r="G185" i="81" s="1"/>
  <c r="G193" i="81" s="1"/>
  <c r="E168" i="81"/>
  <c r="E176" i="81" s="1"/>
  <c r="E184" i="81" s="1"/>
  <c r="E192" i="81" s="1"/>
  <c r="E167" i="81"/>
  <c r="E175" i="81" s="1"/>
  <c r="E183" i="81" s="1"/>
  <c r="E191" i="81" s="1"/>
  <c r="E166" i="81"/>
  <c r="E174" i="81" s="1"/>
  <c r="E182" i="81" s="1"/>
  <c r="E190" i="81" s="1"/>
  <c r="R165" i="81"/>
  <c r="F165" i="81"/>
  <c r="F173" i="81" s="1"/>
  <c r="F181" i="81" s="1"/>
  <c r="F189" i="81" s="1"/>
  <c r="E165" i="81"/>
  <c r="E173" i="81" s="1"/>
  <c r="E181" i="81" s="1"/>
  <c r="E189" i="81" s="1"/>
  <c r="R157" i="81"/>
  <c r="I157" i="81"/>
  <c r="C157" i="81"/>
  <c r="E303" i="81"/>
  <c r="E307" i="81" s="1"/>
  <c r="E311" i="81" s="1"/>
  <c r="E315" i="81" s="1"/>
  <c r="E302" i="81"/>
  <c r="E306" i="81" s="1"/>
  <c r="E310" i="81" s="1"/>
  <c r="E314" i="81" s="1"/>
  <c r="E301" i="81"/>
  <c r="E305" i="81" s="1"/>
  <c r="E309" i="81" s="1"/>
  <c r="E313" i="81" s="1"/>
  <c r="E283" i="81"/>
  <c r="E287" i="81" s="1"/>
  <c r="E291" i="81" s="1"/>
  <c r="E295" i="81" s="1"/>
  <c r="E282" i="81"/>
  <c r="E286" i="81" s="1"/>
  <c r="E290" i="81" s="1"/>
  <c r="E294" i="81" s="1"/>
  <c r="E281" i="81"/>
  <c r="E285" i="81" s="1"/>
  <c r="E289" i="81" s="1"/>
  <c r="E293" i="81" s="1"/>
  <c r="D67" i="81"/>
  <c r="C67" i="81" s="1"/>
  <c r="R87" i="81"/>
  <c r="R82" i="81"/>
  <c r="R77" i="81"/>
  <c r="G76" i="81"/>
  <c r="G81" i="81" s="1"/>
  <c r="G86" i="81" s="1"/>
  <c r="G91" i="81" s="1"/>
  <c r="E75" i="81"/>
  <c r="E80" i="81" s="1"/>
  <c r="E85" i="81" s="1"/>
  <c r="E90" i="81" s="1"/>
  <c r="E74" i="81"/>
  <c r="E79" i="81" s="1"/>
  <c r="E84" i="81" s="1"/>
  <c r="E89" i="81" s="1"/>
  <c r="E73" i="81"/>
  <c r="E78" i="81" s="1"/>
  <c r="E83" i="81" s="1"/>
  <c r="E88" i="81" s="1"/>
  <c r="R72" i="81"/>
  <c r="F72" i="81"/>
  <c r="F77" i="81" s="1"/>
  <c r="F82" i="81" s="1"/>
  <c r="F87" i="81" s="1"/>
  <c r="E72" i="81"/>
  <c r="E77" i="81" s="1"/>
  <c r="E82" i="81" s="1"/>
  <c r="E87" i="81" s="1"/>
  <c r="R67" i="81"/>
  <c r="I67" i="81"/>
  <c r="L29" i="81"/>
  <c r="L28" i="81"/>
  <c r="L27" i="81"/>
  <c r="Q26" i="81"/>
  <c r="P26" i="81" a="1"/>
  <c r="P26" i="81" s="1"/>
  <c r="O26" i="81" a="1"/>
  <c r="O26" i="81" s="1"/>
  <c r="N26" i="81" a="1"/>
  <c r="N26" i="81" s="1"/>
  <c r="M26" i="81"/>
  <c r="K26" i="81"/>
  <c r="L25" i="81"/>
  <c r="L24" i="81"/>
  <c r="L23" i="81"/>
  <c r="Q22" i="81"/>
  <c r="P22" i="81" a="1"/>
  <c r="P22" i="81" s="1"/>
  <c r="O22" i="81" a="1"/>
  <c r="O22" i="81" s="1"/>
  <c r="N22" i="81" a="1"/>
  <c r="N22" i="81" s="1"/>
  <c r="M22" i="81"/>
  <c r="K22" i="81"/>
  <c r="L21" i="81"/>
  <c r="L20" i="81"/>
  <c r="L19" i="81"/>
  <c r="Q18" i="81"/>
  <c r="P18" i="81" a="1"/>
  <c r="P18" i="81" s="1"/>
  <c r="O18" i="81" a="1"/>
  <c r="O18" i="81" s="1"/>
  <c r="N18" i="81" a="1"/>
  <c r="N18" i="81" s="1"/>
  <c r="M18" i="81"/>
  <c r="K18" i="81"/>
  <c r="R14" i="81"/>
  <c r="Q14" i="81"/>
  <c r="P14" i="81" a="1"/>
  <c r="P14" i="81" s="1"/>
  <c r="O14" i="81" a="1"/>
  <c r="O14" i="81" s="1"/>
  <c r="N14" i="81" a="1"/>
  <c r="N14" i="81" s="1"/>
  <c r="M14" i="81"/>
  <c r="L17" i="81"/>
  <c r="L16" i="81"/>
  <c r="L15" i="81"/>
  <c r="K14" i="81"/>
  <c r="R26" i="81"/>
  <c r="R22" i="81"/>
  <c r="R18" i="81"/>
  <c r="K10" i="81"/>
  <c r="L13" i="81"/>
  <c r="L12" i="81"/>
  <c r="L11" i="81"/>
  <c r="M10" i="81"/>
  <c r="Q10" i="81"/>
  <c r="P10" i="81" a="1"/>
  <c r="P10" i="81" s="1"/>
  <c r="O10" i="81" a="1"/>
  <c r="O10" i="81" s="1"/>
  <c r="N10" i="81" a="1"/>
  <c r="N10" i="81" s="1"/>
  <c r="D10" i="81"/>
  <c r="R10" i="81"/>
  <c r="I10" i="81"/>
  <c r="B26" i="88"/>
  <c r="B25" i="88"/>
  <c r="C10" i="81" l="1"/>
  <c r="C43" i="41" s="1"/>
  <c r="D43" i="41"/>
  <c r="G182" i="47"/>
  <c r="D18" i="41"/>
  <c r="D19" i="41"/>
  <c r="D20" i="41"/>
  <c r="D21" i="41"/>
  <c r="D22" i="41"/>
  <c r="D23" i="41"/>
  <c r="D24" i="41"/>
  <c r="D25" i="41"/>
  <c r="D26" i="41"/>
  <c r="D27" i="41"/>
  <c r="D28" i="41"/>
  <c r="D29" i="41"/>
  <c r="D30" i="41"/>
  <c r="D31" i="41"/>
  <c r="D32" i="41"/>
  <c r="D33" i="41"/>
  <c r="D34" i="41"/>
  <c r="D35" i="41"/>
  <c r="D36" i="41"/>
  <c r="C36" i="41"/>
  <c r="C35" i="41"/>
  <c r="C34" i="41"/>
  <c r="C33" i="41"/>
  <c r="C32" i="41"/>
  <c r="C31" i="41"/>
  <c r="C30" i="41"/>
  <c r="C29" i="41"/>
  <c r="C28" i="41"/>
  <c r="C27" i="41"/>
  <c r="C26" i="41"/>
  <c r="C25" i="41"/>
  <c r="C24" i="41"/>
  <c r="C23" i="41"/>
  <c r="C22" i="41"/>
  <c r="C21" i="41"/>
  <c r="C20" i="41"/>
  <c r="C19" i="41"/>
  <c r="C18" i="41"/>
  <c r="Q243" i="47"/>
  <c r="P243" i="47"/>
  <c r="O243" i="47"/>
  <c r="I243" i="47"/>
  <c r="B243" i="47"/>
  <c r="Q242" i="47"/>
  <c r="P242" i="47"/>
  <c r="O242" i="47"/>
  <c r="I242" i="47"/>
  <c r="B242" i="47"/>
  <c r="Q241" i="47"/>
  <c r="P241" i="47"/>
  <c r="O241" i="47"/>
  <c r="I241" i="47"/>
  <c r="B241" i="47"/>
  <c r="J240" i="47"/>
  <c r="Q239" i="47"/>
  <c r="P239" i="47"/>
  <c r="O239" i="47"/>
  <c r="I239" i="47"/>
  <c r="B239" i="47"/>
  <c r="P237" i="47"/>
  <c r="O237" i="47"/>
  <c r="I237" i="47"/>
  <c r="B237" i="47"/>
  <c r="J236" i="47"/>
  <c r="Q235" i="47"/>
  <c r="Q237" i="47" s="1"/>
  <c r="P235" i="47"/>
  <c r="O235" i="47"/>
  <c r="I235" i="47"/>
  <c r="B235" i="47"/>
  <c r="Q233" i="47"/>
  <c r="P233" i="47"/>
  <c r="O233" i="47"/>
  <c r="I233" i="47"/>
  <c r="B233" i="47"/>
  <c r="Q231" i="47"/>
  <c r="P231" i="47"/>
  <c r="O231" i="47"/>
  <c r="I231" i="47"/>
  <c r="B231" i="47"/>
  <c r="Q229" i="47"/>
  <c r="P229" i="47"/>
  <c r="O229" i="47"/>
  <c r="I229" i="47"/>
  <c r="B229" i="47"/>
  <c r="Q227" i="47"/>
  <c r="P227" i="47"/>
  <c r="O227" i="47"/>
  <c r="I227" i="47"/>
  <c r="B227" i="47"/>
  <c r="Q225" i="47"/>
  <c r="P225" i="47"/>
  <c r="O225" i="47"/>
  <c r="I225" i="47"/>
  <c r="Q223" i="47"/>
  <c r="P223" i="47"/>
  <c r="O223" i="47"/>
  <c r="I223" i="47"/>
  <c r="B223" i="47"/>
  <c r="J222" i="47"/>
  <c r="Q221" i="47"/>
  <c r="P221" i="47"/>
  <c r="O221" i="47"/>
  <c r="I221" i="47"/>
  <c r="B221" i="47"/>
  <c r="Q219" i="47"/>
  <c r="P219" i="47"/>
  <c r="O219" i="47"/>
  <c r="I219" i="47"/>
  <c r="B219" i="47"/>
  <c r="J218" i="47"/>
  <c r="Q217" i="47"/>
  <c r="P217" i="47"/>
  <c r="O217" i="47"/>
  <c r="I217" i="47"/>
  <c r="B217" i="47"/>
  <c r="AG204" i="47"/>
  <c r="AF204" i="47"/>
  <c r="AE204" i="47"/>
  <c r="AD204" i="47"/>
  <c r="AG203" i="47"/>
  <c r="AF203" i="47"/>
  <c r="AG202" i="47"/>
  <c r="AG201" i="47"/>
  <c r="AF201" i="47"/>
  <c r="AE201" i="47"/>
  <c r="AD201" i="47"/>
  <c r="AG200" i="47"/>
  <c r="AF200" i="47"/>
  <c r="AE200" i="47"/>
  <c r="AD200" i="47"/>
  <c r="AG198" i="47"/>
  <c r="AF198" i="47"/>
  <c r="AE198" i="47"/>
  <c r="AG197" i="47"/>
  <c r="AF197" i="47"/>
  <c r="AE197" i="47"/>
  <c r="AG196" i="47"/>
  <c r="AF196" i="47"/>
  <c r="AE196" i="47"/>
  <c r="AG193" i="47"/>
  <c r="AF193" i="47"/>
  <c r="AE193" i="47"/>
  <c r="AD193" i="47"/>
  <c r="L193" i="47"/>
  <c r="H193" i="47"/>
  <c r="AG192" i="47"/>
  <c r="AF192" i="47"/>
  <c r="AE192" i="47"/>
  <c r="AD192" i="47"/>
  <c r="L192" i="47"/>
  <c r="K192" i="47"/>
  <c r="H192" i="47"/>
  <c r="AG191" i="47"/>
  <c r="AF191" i="47"/>
  <c r="AE191" i="47"/>
  <c r="AD191" i="47"/>
  <c r="R191" i="47"/>
  <c r="Q191" i="47"/>
  <c r="P191" i="47"/>
  <c r="O191" i="47"/>
  <c r="J191" i="47"/>
  <c r="H191" i="47"/>
  <c r="L190" i="47"/>
  <c r="K190" i="47"/>
  <c r="H190" i="47"/>
  <c r="K189" i="47"/>
  <c r="H189" i="47"/>
  <c r="AG188" i="47"/>
  <c r="AF188" i="47"/>
  <c r="AE188" i="47"/>
  <c r="AD188" i="47"/>
  <c r="R188" i="47"/>
  <c r="Q188" i="47"/>
  <c r="P188" i="47"/>
  <c r="O188" i="47"/>
  <c r="J188" i="47"/>
  <c r="H188" i="47"/>
  <c r="AG187" i="47"/>
  <c r="AF187" i="47"/>
  <c r="AE187" i="47"/>
  <c r="AD187" i="47"/>
  <c r="L187" i="47"/>
  <c r="AG186" i="47"/>
  <c r="AF186" i="47"/>
  <c r="AE186" i="47"/>
  <c r="AD186" i="47"/>
  <c r="L186" i="47"/>
  <c r="K186" i="47"/>
  <c r="H186" i="47"/>
  <c r="AG185" i="47"/>
  <c r="AF185" i="47"/>
  <c r="AF202" i="47" s="1"/>
  <c r="AE185" i="47"/>
  <c r="AE203" i="47" s="1"/>
  <c r="AD185" i="47"/>
  <c r="AD203" i="47" s="1"/>
  <c r="R185" i="47"/>
  <c r="Q185" i="47"/>
  <c r="P185" i="47"/>
  <c r="O185" i="47"/>
  <c r="N185" i="47"/>
  <c r="N188" i="47" s="1"/>
  <c r="N191" i="47" s="1"/>
  <c r="J185" i="47"/>
  <c r="H185" i="47"/>
  <c r="L184" i="47"/>
  <c r="H184" i="47"/>
  <c r="H187" i="47" s="1"/>
  <c r="L183" i="47"/>
  <c r="K183" i="47"/>
  <c r="H183" i="47"/>
  <c r="R182" i="47"/>
  <c r="Q182" i="47"/>
  <c r="P182" i="47"/>
  <c r="O182" i="47"/>
  <c r="J182" i="47"/>
  <c r="H182" i="47"/>
  <c r="E182" i="47"/>
  <c r="AG181" i="47"/>
  <c r="AF181" i="47"/>
  <c r="AE181" i="47"/>
  <c r="AD181" i="47"/>
  <c r="AE202" i="47" l="1"/>
  <c r="AD202" i="47"/>
  <c r="M140" i="47" l="1"/>
  <c r="M139" i="47"/>
  <c r="M143" i="47" s="1"/>
  <c r="S138" i="47"/>
  <c r="S141" i="47" s="1"/>
  <c r="R138" i="47"/>
  <c r="R141" i="47" s="1"/>
  <c r="Q138" i="47"/>
  <c r="Q141" i="47" s="1"/>
  <c r="O138" i="47"/>
  <c r="O141" i="47" s="1"/>
  <c r="N138" i="47"/>
  <c r="N141" i="47" s="1"/>
  <c r="L138" i="47"/>
  <c r="L142" i="47" s="1"/>
  <c r="M138" i="47"/>
  <c r="M142" i="47" s="1"/>
  <c r="K138" i="47"/>
  <c r="K141" i="47" s="1"/>
  <c r="J10" i="47"/>
  <c r="J19" i="47" s="1"/>
  <c r="K10" i="47"/>
  <c r="K112" i="47" s="1"/>
  <c r="L10" i="47"/>
  <c r="L28" i="47" s="1"/>
  <c r="M10" i="47"/>
  <c r="M19" i="47" s="1"/>
  <c r="N10" i="47"/>
  <c r="N79" i="47" s="1"/>
  <c r="P10" i="47"/>
  <c r="Q10" i="47"/>
  <c r="R10" i="47"/>
  <c r="P30" i="46"/>
  <c r="P28" i="46"/>
  <c r="P26" i="46"/>
  <c r="P24" i="46"/>
  <c r="P22" i="46"/>
  <c r="P20" i="46"/>
  <c r="P18" i="46"/>
  <c r="P16" i="46"/>
  <c r="C8" i="46"/>
  <c r="C16" i="46"/>
  <c r="C24" i="46"/>
  <c r="B24" i="46"/>
  <c r="B16" i="46"/>
  <c r="B8" i="46"/>
  <c r="N30" i="46"/>
  <c r="N28" i="46"/>
  <c r="N26" i="46"/>
  <c r="L25" i="46"/>
  <c r="L27" i="46" s="1"/>
  <c r="L29" i="46" s="1"/>
  <c r="L31" i="46" s="1"/>
  <c r="O24" i="46"/>
  <c r="O26" i="46" s="1"/>
  <c r="O28" i="46" s="1"/>
  <c r="O30" i="46" s="1"/>
  <c r="N24" i="46"/>
  <c r="K24" i="46"/>
  <c r="K26" i="46" s="1"/>
  <c r="K28" i="46" s="1"/>
  <c r="K30" i="46" s="1"/>
  <c r="Q18" i="46"/>
  <c r="Q20" i="46"/>
  <c r="Q22" i="46"/>
  <c r="Q16" i="46"/>
  <c r="O16" i="46"/>
  <c r="O18" i="46" s="1"/>
  <c r="O20" i="46" s="1"/>
  <c r="O22" i="46" s="1"/>
  <c r="N22" i="46"/>
  <c r="N20" i="46"/>
  <c r="N18" i="46"/>
  <c r="N16" i="46"/>
  <c r="M17" i="46"/>
  <c r="L17" i="46"/>
  <c r="L19" i="46" s="1"/>
  <c r="L21" i="46" s="1"/>
  <c r="L23" i="46" s="1"/>
  <c r="K16" i="46"/>
  <c r="K18" i="46" s="1"/>
  <c r="K20" i="46" s="1"/>
  <c r="K22" i="46" s="1"/>
  <c r="S30" i="46"/>
  <c r="R30" i="46"/>
  <c r="Q30" i="46"/>
  <c r="S28" i="46"/>
  <c r="R28" i="46"/>
  <c r="Q28" i="46"/>
  <c r="I28" i="46"/>
  <c r="I30" i="46" s="1"/>
  <c r="F28" i="46"/>
  <c r="F30" i="46" s="1"/>
  <c r="E28" i="46"/>
  <c r="E30" i="46" s="1"/>
  <c r="T26" i="46"/>
  <c r="T28" i="46" s="1"/>
  <c r="T30" i="46" s="1"/>
  <c r="S26" i="46"/>
  <c r="R26" i="46"/>
  <c r="Q26" i="46"/>
  <c r="T24" i="46"/>
  <c r="S24" i="46"/>
  <c r="R24" i="46"/>
  <c r="Q24" i="46"/>
  <c r="S22" i="46"/>
  <c r="R22" i="46"/>
  <c r="S20" i="46"/>
  <c r="R20" i="46"/>
  <c r="I20" i="46"/>
  <c r="I22" i="46" s="1"/>
  <c r="F20" i="46"/>
  <c r="F22" i="46" s="1"/>
  <c r="E20" i="46"/>
  <c r="E22" i="46" s="1"/>
  <c r="T18" i="46"/>
  <c r="T20" i="46" s="1"/>
  <c r="T22" i="46" s="1"/>
  <c r="S18" i="46"/>
  <c r="R18" i="46"/>
  <c r="M19" i="46"/>
  <c r="M21" i="46" s="1"/>
  <c r="M23" i="46" s="1"/>
  <c r="T16" i="46"/>
  <c r="S16" i="46"/>
  <c r="R16" i="46"/>
  <c r="S14" i="46"/>
  <c r="S12" i="46"/>
  <c r="S10" i="46"/>
  <c r="S8" i="46"/>
  <c r="R14" i="46"/>
  <c r="R12" i="46"/>
  <c r="R10" i="46"/>
  <c r="R8" i="46"/>
  <c r="Q14" i="46"/>
  <c r="Q12" i="46"/>
  <c r="Q10" i="46"/>
  <c r="Q8" i="46"/>
  <c r="M9" i="46"/>
  <c r="M11" i="46" s="1"/>
  <c r="M13" i="46" s="1"/>
  <c r="M15" i="46" s="1"/>
  <c r="L9" i="46"/>
  <c r="L11" i="46" s="1"/>
  <c r="L13" i="46" s="1"/>
  <c r="L15" i="46" s="1"/>
  <c r="K8" i="46"/>
  <c r="K10" i="46" s="1"/>
  <c r="K12" i="46" s="1"/>
  <c r="K14" i="46" s="1"/>
  <c r="O14" i="46"/>
  <c r="O12" i="46"/>
  <c r="O10" i="46"/>
  <c r="O8" i="46"/>
  <c r="N14" i="46"/>
  <c r="N12" i="46"/>
  <c r="N10" i="46"/>
  <c r="N8" i="46"/>
  <c r="T10" i="46"/>
  <c r="T8" i="46"/>
  <c r="N156" i="47" l="1"/>
  <c r="O156" i="47"/>
  <c r="K158" i="47"/>
  <c r="R158" i="47" s="1"/>
  <c r="N158" i="47"/>
  <c r="O158" i="47"/>
  <c r="K154" i="47"/>
  <c r="R154" i="47" s="1"/>
  <c r="K160" i="47"/>
  <c r="R160" i="47" s="1"/>
  <c r="O160" i="47"/>
  <c r="K162" i="47"/>
  <c r="R162" i="47" s="1"/>
  <c r="O152" i="47"/>
  <c r="K156" i="47"/>
  <c r="R156" i="47" s="1"/>
  <c r="O150" i="47"/>
  <c r="K152" i="47"/>
  <c r="R152" i="47" s="1"/>
  <c r="O162" i="47"/>
  <c r="N162" i="47"/>
  <c r="K144" i="47"/>
  <c r="R144" i="47" s="1"/>
  <c r="N146" i="47"/>
  <c r="K148" i="47"/>
  <c r="R148" i="47" s="1"/>
  <c r="N144" i="47"/>
  <c r="O144" i="47"/>
  <c r="K146" i="47"/>
  <c r="Q146" i="47" s="1"/>
  <c r="O148" i="47"/>
  <c r="O146" i="47"/>
  <c r="K150" i="47"/>
  <c r="R150" i="47" s="1"/>
  <c r="N150" i="47"/>
  <c r="L155" i="47"/>
  <c r="L145" i="47"/>
  <c r="L157" i="47"/>
  <c r="L147" i="47"/>
  <c r="L159" i="47"/>
  <c r="N148" i="47"/>
  <c r="N160" i="47"/>
  <c r="Q162" i="47"/>
  <c r="L151" i="47"/>
  <c r="K164" i="47"/>
  <c r="R164" i="47" s="1"/>
  <c r="N164" i="47"/>
  <c r="L149" i="47"/>
  <c r="N152" i="47"/>
  <c r="O164" i="47"/>
  <c r="L153" i="47"/>
  <c r="O154" i="47"/>
  <c r="L161" i="47"/>
  <c r="L163" i="47"/>
  <c r="L165" i="47"/>
  <c r="N154" i="47"/>
  <c r="N61" i="47"/>
  <c r="L74" i="47"/>
  <c r="L64" i="47"/>
  <c r="N119" i="47"/>
  <c r="N115" i="47"/>
  <c r="N113" i="47"/>
  <c r="N37" i="47"/>
  <c r="N77" i="47"/>
  <c r="M65" i="47"/>
  <c r="N63" i="47"/>
  <c r="N127" i="47"/>
  <c r="N121" i="47"/>
  <c r="N39" i="47"/>
  <c r="N111" i="47"/>
  <c r="N103" i="47"/>
  <c r="N33" i="47"/>
  <c r="N57" i="47"/>
  <c r="M121" i="47"/>
  <c r="M115" i="47"/>
  <c r="L36" i="47"/>
  <c r="L102" i="47"/>
  <c r="N31" i="47"/>
  <c r="M55" i="47"/>
  <c r="N99" i="47"/>
  <c r="N27" i="47"/>
  <c r="M111" i="47"/>
  <c r="N97" i="47"/>
  <c r="M27" i="47"/>
  <c r="N95" i="47"/>
  <c r="N25" i="47"/>
  <c r="N75" i="47"/>
  <c r="L46" i="47"/>
  <c r="N93" i="47"/>
  <c r="L18" i="47"/>
  <c r="M93" i="47"/>
  <c r="N13" i="47"/>
  <c r="N51" i="47"/>
  <c r="L92" i="47"/>
  <c r="N11" i="47"/>
  <c r="N71" i="47"/>
  <c r="N55" i="47"/>
  <c r="N85" i="47"/>
  <c r="N129" i="47"/>
  <c r="N53" i="47"/>
  <c r="M37" i="47"/>
  <c r="M83" i="47"/>
  <c r="J31" i="47"/>
  <c r="P31" i="47" s="1"/>
  <c r="K130" i="47"/>
  <c r="J77" i="47"/>
  <c r="J55" i="47"/>
  <c r="N29" i="47"/>
  <c r="J113" i="47"/>
  <c r="J129" i="47"/>
  <c r="J27" i="47"/>
  <c r="J95" i="47"/>
  <c r="J93" i="47"/>
  <c r="P93" i="47" s="1"/>
  <c r="J111" i="47"/>
  <c r="N73" i="47"/>
  <c r="N49" i="47"/>
  <c r="N23" i="47"/>
  <c r="J127" i="47"/>
  <c r="Q127" i="47" s="1"/>
  <c r="N69" i="47"/>
  <c r="N47" i="47"/>
  <c r="N21" i="47"/>
  <c r="J21" i="47"/>
  <c r="J79" i="47"/>
  <c r="P79" i="47" s="1"/>
  <c r="N109" i="47"/>
  <c r="J69" i="47"/>
  <c r="P69" i="47" s="1"/>
  <c r="J125" i="47"/>
  <c r="P125" i="47" s="1"/>
  <c r="J109" i="47"/>
  <c r="Q109" i="47" s="1"/>
  <c r="J91" i="47"/>
  <c r="Q91" i="47" s="1"/>
  <c r="N67" i="47"/>
  <c r="N45" i="47"/>
  <c r="N19" i="47"/>
  <c r="J51" i="47"/>
  <c r="P51" i="47" s="1"/>
  <c r="J75" i="47"/>
  <c r="N125" i="47"/>
  <c r="N91" i="47"/>
  <c r="K124" i="47"/>
  <c r="N107" i="47"/>
  <c r="N89" i="47"/>
  <c r="J67" i="47"/>
  <c r="Q67" i="47" s="1"/>
  <c r="N43" i="47"/>
  <c r="J49" i="47"/>
  <c r="Q49" i="47" s="1"/>
  <c r="N123" i="47"/>
  <c r="J107" i="47"/>
  <c r="P107" i="47" s="1"/>
  <c r="J89" i="47"/>
  <c r="P89" i="47" s="1"/>
  <c r="N65" i="47"/>
  <c r="N41" i="47"/>
  <c r="N17" i="47"/>
  <c r="J123" i="47"/>
  <c r="Q123" i="47" s="1"/>
  <c r="N87" i="47"/>
  <c r="J41" i="47"/>
  <c r="P41" i="47" s="1"/>
  <c r="N15" i="47"/>
  <c r="J87" i="47"/>
  <c r="P87" i="47" s="1"/>
  <c r="J65" i="47"/>
  <c r="P65" i="47" s="1"/>
  <c r="N105" i="47"/>
  <c r="J39" i="47"/>
  <c r="Q39" i="47" s="1"/>
  <c r="J101" i="47"/>
  <c r="Q101" i="47" s="1"/>
  <c r="J33" i="47"/>
  <c r="P33" i="47" s="1"/>
  <c r="J121" i="47"/>
  <c r="P121" i="47" s="1"/>
  <c r="J105" i="47"/>
  <c r="K120" i="47"/>
  <c r="J85" i="47"/>
  <c r="J11" i="47"/>
  <c r="P11" i="47" s="1"/>
  <c r="J97" i="47"/>
  <c r="P97" i="47" s="1"/>
  <c r="J37" i="47"/>
  <c r="P37" i="47" s="1"/>
  <c r="J103" i="47"/>
  <c r="N83" i="47"/>
  <c r="J63" i="47"/>
  <c r="Q63" i="47" s="1"/>
  <c r="J119" i="47"/>
  <c r="Q119" i="47" s="1"/>
  <c r="N117" i="47"/>
  <c r="N81" i="47"/>
  <c r="N59" i="47"/>
  <c r="N35" i="47"/>
  <c r="J83" i="47"/>
  <c r="Q83" i="47" s="1"/>
  <c r="J61" i="47"/>
  <c r="P61" i="47" s="1"/>
  <c r="J117" i="47"/>
  <c r="P117" i="47" s="1"/>
  <c r="N101" i="47"/>
  <c r="J59" i="47"/>
  <c r="P59" i="47" s="1"/>
  <c r="J35" i="47"/>
  <c r="Q35" i="47" s="1"/>
  <c r="J115" i="47"/>
  <c r="P115" i="47" s="1"/>
  <c r="Q19" i="47"/>
  <c r="P19" i="47"/>
  <c r="K110" i="47"/>
  <c r="M101" i="47"/>
  <c r="L82" i="47"/>
  <c r="M73" i="47"/>
  <c r="L54" i="47"/>
  <c r="M45" i="47"/>
  <c r="L26" i="47"/>
  <c r="M17" i="47"/>
  <c r="J73" i="47"/>
  <c r="J45" i="47"/>
  <c r="J17" i="47"/>
  <c r="L44" i="47"/>
  <c r="L90" i="47"/>
  <c r="J81" i="47"/>
  <c r="J53" i="47"/>
  <c r="J25" i="47"/>
  <c r="M129" i="47"/>
  <c r="M119" i="47"/>
  <c r="L72" i="47"/>
  <c r="L16" i="47"/>
  <c r="M127" i="47"/>
  <c r="K108" i="47"/>
  <c r="M99" i="47"/>
  <c r="L80" i="47"/>
  <c r="M71" i="47"/>
  <c r="L52" i="47"/>
  <c r="M43" i="47"/>
  <c r="L24" i="47"/>
  <c r="M15" i="47"/>
  <c r="M91" i="47"/>
  <c r="M63" i="47"/>
  <c r="M35" i="47"/>
  <c r="M109" i="47"/>
  <c r="M81" i="47"/>
  <c r="L62" i="47"/>
  <c r="M25" i="47"/>
  <c r="J99" i="47"/>
  <c r="J71" i="47"/>
  <c r="J43" i="47"/>
  <c r="J15" i="47"/>
  <c r="L100" i="47"/>
  <c r="K118" i="47"/>
  <c r="M53" i="47"/>
  <c r="L34" i="47"/>
  <c r="K126" i="47"/>
  <c r="M117" i="47"/>
  <c r="L98" i="47"/>
  <c r="M89" i="47"/>
  <c r="L70" i="47"/>
  <c r="M61" i="47"/>
  <c r="L42" i="47"/>
  <c r="M33" i="47"/>
  <c r="L14" i="47"/>
  <c r="K128" i="47"/>
  <c r="K116" i="47"/>
  <c r="M107" i="47"/>
  <c r="L88" i="47"/>
  <c r="M79" i="47"/>
  <c r="L60" i="47"/>
  <c r="M51" i="47"/>
  <c r="L32" i="47"/>
  <c r="M23" i="47"/>
  <c r="J23" i="47"/>
  <c r="M125" i="47"/>
  <c r="L106" i="47"/>
  <c r="M97" i="47"/>
  <c r="L78" i="47"/>
  <c r="M69" i="47"/>
  <c r="L50" i="47"/>
  <c r="M41" i="47"/>
  <c r="L22" i="47"/>
  <c r="M13" i="47"/>
  <c r="J13" i="47"/>
  <c r="L96" i="47"/>
  <c r="M87" i="47"/>
  <c r="L68" i="47"/>
  <c r="M59" i="47"/>
  <c r="L40" i="47"/>
  <c r="M31" i="47"/>
  <c r="L12" i="47"/>
  <c r="K114" i="47"/>
  <c r="M105" i="47"/>
  <c r="L86" i="47"/>
  <c r="M77" i="47"/>
  <c r="L58" i="47"/>
  <c r="M49" i="47"/>
  <c r="L30" i="47"/>
  <c r="M21" i="47"/>
  <c r="M123" i="47"/>
  <c r="L104" i="47"/>
  <c r="M95" i="47"/>
  <c r="L76" i="47"/>
  <c r="M67" i="47"/>
  <c r="L48" i="47"/>
  <c r="M39" i="47"/>
  <c r="L20" i="47"/>
  <c r="M11" i="47"/>
  <c r="M113" i="47"/>
  <c r="L94" i="47"/>
  <c r="L66" i="47"/>
  <c r="M57" i="47"/>
  <c r="L38" i="47"/>
  <c r="K122" i="47"/>
  <c r="M85" i="47"/>
  <c r="J29" i="47"/>
  <c r="M29" i="47"/>
  <c r="J57" i="47"/>
  <c r="M103" i="47"/>
  <c r="L84" i="47"/>
  <c r="M75" i="47"/>
  <c r="L56" i="47"/>
  <c r="M47" i="47"/>
  <c r="J47" i="47"/>
  <c r="O12" i="94"/>
  <c r="O14" i="94"/>
  <c r="N12" i="94"/>
  <c r="N14" i="94" s="1"/>
  <c r="F36" i="96"/>
  <c r="G36" i="96" s="1"/>
  <c r="E36" i="96"/>
  <c r="D36" i="96"/>
  <c r="B36" i="96"/>
  <c r="H31" i="96"/>
  <c r="G31" i="96"/>
  <c r="E31" i="96"/>
  <c r="F31" i="96" s="1"/>
  <c r="F30" i="96"/>
  <c r="E30" i="96"/>
  <c r="D30" i="96"/>
  <c r="J18" i="96"/>
  <c r="I18" i="96"/>
  <c r="H18" i="96"/>
  <c r="G18" i="96"/>
  <c r="J17" i="96"/>
  <c r="I17" i="96"/>
  <c r="H17" i="96"/>
  <c r="G17" i="96"/>
  <c r="F14" i="96"/>
  <c r="E14" i="96"/>
  <c r="D14" i="96"/>
  <c r="F36" i="95"/>
  <c r="G36" i="95" s="1"/>
  <c r="E36" i="95"/>
  <c r="D36" i="95"/>
  <c r="B36" i="95"/>
  <c r="H31" i="95"/>
  <c r="G31" i="95"/>
  <c r="F31" i="95"/>
  <c r="I31" i="95" s="1"/>
  <c r="E31" i="95"/>
  <c r="F30" i="95"/>
  <c r="E30" i="95"/>
  <c r="D30" i="95"/>
  <c r="J19" i="95"/>
  <c r="I19" i="95"/>
  <c r="H19" i="95"/>
  <c r="J18" i="95"/>
  <c r="I18" i="95"/>
  <c r="H18" i="95"/>
  <c r="G18" i="95"/>
  <c r="J17" i="95"/>
  <c r="I17" i="95"/>
  <c r="H17" i="95"/>
  <c r="G17" i="95"/>
  <c r="J28" i="94"/>
  <c r="I28" i="94"/>
  <c r="H28" i="94"/>
  <c r="G28" i="94"/>
  <c r="J16" i="94"/>
  <c r="I16" i="94"/>
  <c r="J15" i="94"/>
  <c r="I15" i="94"/>
  <c r="J12" i="94"/>
  <c r="I12" i="94"/>
  <c r="J11" i="94"/>
  <c r="I11" i="94"/>
  <c r="J10" i="94"/>
  <c r="I10" i="94"/>
  <c r="D7" i="94"/>
  <c r="F7" i="94" s="1"/>
  <c r="F39" i="93"/>
  <c r="G39" i="93" s="1"/>
  <c r="E39" i="93"/>
  <c r="D39" i="93"/>
  <c r="B39" i="93"/>
  <c r="I29" i="93"/>
  <c r="H29" i="93"/>
  <c r="J28" i="93"/>
  <c r="I28" i="93"/>
  <c r="H28" i="93"/>
  <c r="G28" i="93"/>
  <c r="F28" i="93"/>
  <c r="D28" i="93"/>
  <c r="E28" i="93" s="1"/>
  <c r="C28" i="93"/>
  <c r="J20" i="93"/>
  <c r="J29" i="93" s="1"/>
  <c r="I20" i="93"/>
  <c r="H20" i="93"/>
  <c r="G20" i="93"/>
  <c r="G29" i="93" s="1"/>
  <c r="F20" i="93"/>
  <c r="F29" i="93" s="1"/>
  <c r="J18" i="93"/>
  <c r="H18" i="93"/>
  <c r="J17" i="93"/>
  <c r="I17" i="93"/>
  <c r="I18" i="93" s="1"/>
  <c r="H17" i="93"/>
  <c r="G17" i="93"/>
  <c r="G18" i="93" s="1"/>
  <c r="C17" i="93"/>
  <c r="F16" i="93"/>
  <c r="D16" i="93"/>
  <c r="D17" i="93" s="1"/>
  <c r="D18" i="93" s="1"/>
  <c r="C16" i="93"/>
  <c r="C20" i="93" s="1"/>
  <c r="J13" i="93"/>
  <c r="I13" i="93"/>
  <c r="H13" i="93"/>
  <c r="G13" i="93"/>
  <c r="F13" i="93"/>
  <c r="J11" i="93"/>
  <c r="I11" i="93"/>
  <c r="H11" i="93"/>
  <c r="G11" i="93"/>
  <c r="F11" i="93"/>
  <c r="E11" i="93"/>
  <c r="D11" i="93"/>
  <c r="C11" i="93"/>
  <c r="J7" i="93"/>
  <c r="I7" i="93"/>
  <c r="H7" i="93"/>
  <c r="G7" i="93"/>
  <c r="C7" i="93"/>
  <c r="E40" i="92"/>
  <c r="F40" i="92" s="1"/>
  <c r="G40" i="92" s="1"/>
  <c r="D40" i="92"/>
  <c r="B40" i="92"/>
  <c r="J30" i="92"/>
  <c r="H30" i="92"/>
  <c r="G30" i="92"/>
  <c r="J21" i="92"/>
  <c r="I21" i="92"/>
  <c r="I12" i="92" s="1"/>
  <c r="H21" i="92"/>
  <c r="H16" i="92" s="1"/>
  <c r="H17" i="92" s="1"/>
  <c r="H19" i="92" s="1"/>
  <c r="G21" i="92"/>
  <c r="G12" i="92" s="1"/>
  <c r="I17" i="92"/>
  <c r="I19" i="92" s="1"/>
  <c r="G17" i="92"/>
  <c r="G19" i="92" s="1"/>
  <c r="J16" i="92"/>
  <c r="J17" i="92" s="1"/>
  <c r="J19" i="92" s="1"/>
  <c r="I16" i="92"/>
  <c r="G16" i="92"/>
  <c r="F15" i="92"/>
  <c r="F21" i="92" s="1"/>
  <c r="E15" i="92"/>
  <c r="E21" i="92" s="1"/>
  <c r="D15" i="92"/>
  <c r="D21" i="92" s="1"/>
  <c r="C15" i="92"/>
  <c r="C21" i="92" s="1"/>
  <c r="J12" i="92"/>
  <c r="H12" i="92"/>
  <c r="J7" i="92"/>
  <c r="I7" i="92"/>
  <c r="H7" i="92"/>
  <c r="G7" i="92"/>
  <c r="D7" i="92"/>
  <c r="C7" i="92"/>
  <c r="F40" i="91"/>
  <c r="G40" i="91" s="1"/>
  <c r="E40" i="91"/>
  <c r="D40" i="91"/>
  <c r="B40" i="91"/>
  <c r="J30" i="91"/>
  <c r="H30" i="91"/>
  <c r="G30" i="91"/>
  <c r="J21" i="91"/>
  <c r="I21" i="91"/>
  <c r="I30" i="91" s="1"/>
  <c r="H21" i="91"/>
  <c r="H16" i="91" s="1"/>
  <c r="H17" i="91" s="1"/>
  <c r="H19" i="91" s="1"/>
  <c r="G21" i="91"/>
  <c r="G16" i="91" s="1"/>
  <c r="G17" i="91" s="1"/>
  <c r="G19" i="91" s="1"/>
  <c r="J16" i="91"/>
  <c r="J17" i="91" s="1"/>
  <c r="J19" i="91" s="1"/>
  <c r="F15" i="91"/>
  <c r="F21" i="91" s="1"/>
  <c r="D15" i="91"/>
  <c r="E15" i="91" s="1"/>
  <c r="C15" i="91"/>
  <c r="C21" i="91" s="1"/>
  <c r="J12" i="91"/>
  <c r="H12" i="91"/>
  <c r="G12" i="91"/>
  <c r="J7" i="91"/>
  <c r="I7" i="91"/>
  <c r="H7" i="91"/>
  <c r="G7" i="91"/>
  <c r="F7" i="91"/>
  <c r="D7" i="91"/>
  <c r="C7" i="91"/>
  <c r="G40" i="90"/>
  <c r="F40" i="90"/>
  <c r="E40" i="90"/>
  <c r="D40" i="90"/>
  <c r="B40" i="90"/>
  <c r="J30" i="90"/>
  <c r="I30" i="90"/>
  <c r="H30" i="90"/>
  <c r="G30" i="90"/>
  <c r="J21" i="90"/>
  <c r="J12" i="90" s="1"/>
  <c r="I21" i="90"/>
  <c r="I12" i="90" s="1"/>
  <c r="H21" i="90"/>
  <c r="H12" i="90" s="1"/>
  <c r="G21" i="90"/>
  <c r="J16" i="90"/>
  <c r="J17" i="90" s="1"/>
  <c r="J19" i="90" s="1"/>
  <c r="I16" i="90"/>
  <c r="I17" i="90" s="1"/>
  <c r="I19" i="90" s="1"/>
  <c r="G16" i="90"/>
  <c r="G17" i="90" s="1"/>
  <c r="G19" i="90" s="1"/>
  <c r="F15" i="90"/>
  <c r="F7" i="90" s="1"/>
  <c r="F30" i="90" s="1"/>
  <c r="E15" i="90"/>
  <c r="D15" i="90"/>
  <c r="C15" i="90"/>
  <c r="G12" i="90"/>
  <c r="J7" i="90"/>
  <c r="I7" i="90"/>
  <c r="H7" i="90"/>
  <c r="G7" i="90"/>
  <c r="F40" i="89"/>
  <c r="G40" i="89" s="1"/>
  <c r="E40" i="89"/>
  <c r="D40" i="89"/>
  <c r="B40" i="89"/>
  <c r="G30" i="89"/>
  <c r="J21" i="89"/>
  <c r="J12" i="89" s="1"/>
  <c r="I21" i="89"/>
  <c r="H21" i="89"/>
  <c r="H12" i="89" s="1"/>
  <c r="G21" i="89"/>
  <c r="G16" i="89" s="1"/>
  <c r="G17" i="89" s="1"/>
  <c r="G19" i="89" s="1"/>
  <c r="F21" i="89"/>
  <c r="F16" i="89" s="1"/>
  <c r="D21" i="89"/>
  <c r="D12" i="89" s="1"/>
  <c r="I17" i="89"/>
  <c r="I19" i="89" s="1"/>
  <c r="J16" i="89"/>
  <c r="J17" i="89" s="1"/>
  <c r="J19" i="89" s="1"/>
  <c r="I16" i="89"/>
  <c r="F15" i="89"/>
  <c r="D15" i="89"/>
  <c r="E15" i="89" s="1"/>
  <c r="C15" i="89"/>
  <c r="C21" i="89" s="1"/>
  <c r="I12" i="89"/>
  <c r="G12" i="89"/>
  <c r="J7" i="89"/>
  <c r="J30" i="89" s="1"/>
  <c r="I7" i="89"/>
  <c r="I30" i="89" s="1"/>
  <c r="H7" i="89"/>
  <c r="H30" i="89" s="1"/>
  <c r="G7" i="89"/>
  <c r="C7" i="89"/>
  <c r="C30" i="89" s="1"/>
  <c r="G15" i="88"/>
  <c r="H14" i="88"/>
  <c r="F14" i="88"/>
  <c r="G14" i="88" s="1"/>
  <c r="H13" i="88"/>
  <c r="F13" i="88"/>
  <c r="H12" i="88"/>
  <c r="F12" i="88"/>
  <c r="G12" i="88" s="1"/>
  <c r="G13" i="88" l="1"/>
  <c r="Q93" i="47"/>
  <c r="Q154" i="47"/>
  <c r="P123" i="47"/>
  <c r="R146" i="47"/>
  <c r="Q144" i="47"/>
  <c r="Q158" i="47"/>
  <c r="Q150" i="47"/>
  <c r="Q152" i="47"/>
  <c r="Q148" i="47"/>
  <c r="Q160" i="47"/>
  <c r="Q156" i="47"/>
  <c r="Q41" i="47"/>
  <c r="Q121" i="47"/>
  <c r="Q65" i="47"/>
  <c r="Q69" i="47"/>
  <c r="Q107" i="47"/>
  <c r="Q164" i="47"/>
  <c r="P67" i="47"/>
  <c r="P101" i="47"/>
  <c r="Q31" i="47"/>
  <c r="Q51" i="47"/>
  <c r="Q89" i="47"/>
  <c r="P39" i="47"/>
  <c r="Q79" i="47"/>
  <c r="P49" i="47"/>
  <c r="Q37" i="47"/>
  <c r="Q125" i="47"/>
  <c r="Q11" i="47"/>
  <c r="Q97" i="47"/>
  <c r="Q117" i="47"/>
  <c r="Q87" i="47"/>
  <c r="Q59" i="47"/>
  <c r="Q115" i="47"/>
  <c r="Q61" i="47"/>
  <c r="P109" i="47"/>
  <c r="P105" i="47"/>
  <c r="Q105" i="47"/>
  <c r="Q75" i="47"/>
  <c r="P75" i="47"/>
  <c r="Q111" i="47"/>
  <c r="P111" i="47"/>
  <c r="P127" i="47"/>
  <c r="P95" i="47"/>
  <c r="Q95" i="47"/>
  <c r="P103" i="47"/>
  <c r="Q103" i="47"/>
  <c r="P119" i="47"/>
  <c r="Q27" i="47"/>
  <c r="P27" i="47"/>
  <c r="P129" i="47"/>
  <c r="Q129" i="47"/>
  <c r="P113" i="47"/>
  <c r="Q113" i="47"/>
  <c r="Q33" i="47"/>
  <c r="P83" i="47"/>
  <c r="P21" i="47"/>
  <c r="Q21" i="47"/>
  <c r="Q55" i="47"/>
  <c r="P55" i="47"/>
  <c r="P77" i="47"/>
  <c r="Q77" i="47"/>
  <c r="P63" i="47"/>
  <c r="P85" i="47"/>
  <c r="Q85" i="47"/>
  <c r="P91" i="47"/>
  <c r="P35" i="47"/>
  <c r="P23" i="47"/>
  <c r="Q23" i="47"/>
  <c r="P47" i="47"/>
  <c r="Q47" i="47"/>
  <c r="P15" i="47"/>
  <c r="Q15" i="47"/>
  <c r="P25" i="47"/>
  <c r="Q25" i="47"/>
  <c r="P43" i="47"/>
  <c r="Q43" i="47"/>
  <c r="P53" i="47"/>
  <c r="Q53" i="47"/>
  <c r="P71" i="47"/>
  <c r="Q71" i="47"/>
  <c r="P81" i="47"/>
  <c r="Q81" i="47"/>
  <c r="P99" i="47"/>
  <c r="Q99" i="47"/>
  <c r="P17" i="47"/>
  <c r="Q17" i="47"/>
  <c r="P45" i="47"/>
  <c r="Q45" i="47"/>
  <c r="P57" i="47"/>
  <c r="Q57" i="47"/>
  <c r="Q73" i="47"/>
  <c r="P73" i="47"/>
  <c r="P29" i="47"/>
  <c r="Q29" i="47"/>
  <c r="P13" i="47"/>
  <c r="Q13" i="47"/>
  <c r="J31" i="96"/>
  <c r="I31" i="96"/>
  <c r="E7" i="94"/>
  <c r="J31" i="95"/>
  <c r="E21" i="89"/>
  <c r="E7" i="89"/>
  <c r="E30" i="89" s="1"/>
  <c r="D30" i="92"/>
  <c r="D16" i="92"/>
  <c r="D17" i="92" s="1"/>
  <c r="D19" i="92" s="1"/>
  <c r="D12" i="92"/>
  <c r="C30" i="92"/>
  <c r="C16" i="92"/>
  <c r="C17" i="92" s="1"/>
  <c r="C19" i="92" s="1"/>
  <c r="C12" i="92"/>
  <c r="E16" i="92"/>
  <c r="E12" i="92"/>
  <c r="E30" i="92"/>
  <c r="C16" i="89"/>
  <c r="C17" i="89" s="1"/>
  <c r="C19" i="89" s="1"/>
  <c r="C12" i="89"/>
  <c r="F16" i="92"/>
  <c r="F12" i="92"/>
  <c r="F30" i="92"/>
  <c r="C30" i="91"/>
  <c r="C16" i="91"/>
  <c r="C17" i="91" s="1"/>
  <c r="C19" i="91" s="1"/>
  <c r="C12" i="91"/>
  <c r="F17" i="89"/>
  <c r="F19" i="89" s="1"/>
  <c r="E7" i="91"/>
  <c r="E21" i="91"/>
  <c r="C13" i="93"/>
  <c r="C29" i="93"/>
  <c r="F30" i="91"/>
  <c r="F16" i="91"/>
  <c r="F17" i="91" s="1"/>
  <c r="F19" i="91" s="1"/>
  <c r="F12" i="91"/>
  <c r="D16" i="89"/>
  <c r="D17" i="89" s="1"/>
  <c r="D19" i="89" s="1"/>
  <c r="H16" i="89"/>
  <c r="H17" i="89" s="1"/>
  <c r="H19" i="89" s="1"/>
  <c r="C21" i="90"/>
  <c r="D20" i="93"/>
  <c r="D21" i="90"/>
  <c r="D7" i="89"/>
  <c r="D30" i="89" s="1"/>
  <c r="E7" i="92"/>
  <c r="E17" i="92"/>
  <c r="E19" i="92" s="1"/>
  <c r="I30" i="92"/>
  <c r="F21" i="90"/>
  <c r="F7" i="92"/>
  <c r="F17" i="92"/>
  <c r="F19" i="92" s="1"/>
  <c r="F7" i="89"/>
  <c r="F30" i="89" s="1"/>
  <c r="I12" i="91"/>
  <c r="H16" i="90"/>
  <c r="H17" i="90" s="1"/>
  <c r="H19" i="90" s="1"/>
  <c r="E16" i="93"/>
  <c r="C7" i="90"/>
  <c r="C30" i="90" s="1"/>
  <c r="D7" i="93"/>
  <c r="D7" i="90"/>
  <c r="D30" i="90" s="1"/>
  <c r="E21" i="90"/>
  <c r="D21" i="91"/>
  <c r="F12" i="89"/>
  <c r="E7" i="90"/>
  <c r="E30" i="90" s="1"/>
  <c r="F7" i="93"/>
  <c r="F17" i="93"/>
  <c r="F18" i="93" s="1"/>
  <c r="I16" i="91"/>
  <c r="I17" i="91" s="1"/>
  <c r="I19" i="91" s="1"/>
  <c r="C18" i="93"/>
  <c r="E30" i="91" l="1"/>
  <c r="E16" i="91"/>
  <c r="E17" i="91" s="1"/>
  <c r="E19" i="91" s="1"/>
  <c r="E12" i="91"/>
  <c r="E17" i="93"/>
  <c r="E18" i="93" s="1"/>
  <c r="E7" i="93"/>
  <c r="E20" i="93"/>
  <c r="D12" i="90"/>
  <c r="D16" i="90"/>
  <c r="D17" i="90" s="1"/>
  <c r="D19" i="90" s="1"/>
  <c r="E16" i="90"/>
  <c r="E17" i="90" s="1"/>
  <c r="E19" i="90" s="1"/>
  <c r="E12" i="90"/>
  <c r="C12" i="90"/>
  <c r="C16" i="90"/>
  <c r="C17" i="90" s="1"/>
  <c r="C19" i="90" s="1"/>
  <c r="D30" i="91"/>
  <c r="D12" i="91"/>
  <c r="D16" i="91"/>
  <c r="D17" i="91" s="1"/>
  <c r="D19" i="91" s="1"/>
  <c r="F12" i="90"/>
  <c r="F16" i="90"/>
  <c r="F17" i="90" s="1"/>
  <c r="F19" i="90" s="1"/>
  <c r="E16" i="89"/>
  <c r="E17" i="89" s="1"/>
  <c r="E19" i="89" s="1"/>
  <c r="E12" i="89"/>
  <c r="D29" i="93"/>
  <c r="D13" i="93"/>
  <c r="E29" i="93" l="1"/>
  <c r="E13" i="93"/>
  <c r="F21" i="77" l="1"/>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351" i="81" l="1"/>
  <c r="L356" i="81" s="1"/>
  <c r="L361" i="81" s="1"/>
  <c r="L366" i="81" s="1"/>
  <c r="L350" i="81"/>
  <c r="L355" i="81" s="1"/>
  <c r="L360" i="81" s="1"/>
  <c r="L365" i="81" s="1"/>
  <c r="U19" i="49" l="1"/>
  <c r="U31" i="49"/>
  <c r="V30" i="52"/>
  <c r="U30" i="52"/>
  <c r="V29" i="52"/>
  <c r="U29" i="52"/>
  <c r="Q56" i="84" l="1"/>
  <c r="Q53" i="84"/>
  <c r="F52" i="84"/>
  <c r="F55" i="84" s="1"/>
  <c r="F58" i="84" s="1"/>
  <c r="D51" i="84"/>
  <c r="D54" i="84" s="1"/>
  <c r="D57" i="84" s="1"/>
  <c r="Q50" i="84"/>
  <c r="E50" i="84"/>
  <c r="E53" i="84" s="1"/>
  <c r="E56" i="84" s="1"/>
  <c r="D50" i="84"/>
  <c r="D53" i="84" s="1"/>
  <c r="D56" i="84" s="1"/>
  <c r="Q47" i="84"/>
  <c r="C47" i="84"/>
  <c r="B47" i="84" s="1"/>
  <c r="C42" i="41" s="1"/>
  <c r="Q43" i="84"/>
  <c r="Q39" i="84"/>
  <c r="F38" i="84"/>
  <c r="F42" i="84" s="1"/>
  <c r="F46" i="84" s="1"/>
  <c r="D37" i="84"/>
  <c r="D41" i="84" s="1"/>
  <c r="D45" i="84" s="1"/>
  <c r="D36" i="84"/>
  <c r="D40" i="84" s="1"/>
  <c r="D44" i="84" s="1"/>
  <c r="Q35" i="84"/>
  <c r="E35" i="84"/>
  <c r="E39" i="84" s="1"/>
  <c r="E43" i="84" s="1"/>
  <c r="D35" i="84"/>
  <c r="D39" i="84" s="1"/>
  <c r="D43" i="84" s="1"/>
  <c r="Q31" i="84"/>
  <c r="C31" i="84"/>
  <c r="B31" i="84" s="1"/>
  <c r="C41" i="41" s="1"/>
  <c r="Q27" i="84"/>
  <c r="Q23" i="84"/>
  <c r="Q19" i="84"/>
  <c r="F18" i="84"/>
  <c r="F22" i="84" s="1"/>
  <c r="F26" i="84" s="1"/>
  <c r="F30" i="84" s="1"/>
  <c r="D17" i="84"/>
  <c r="D21" i="84" s="1"/>
  <c r="D25" i="84" s="1"/>
  <c r="D29" i="84" s="1"/>
  <c r="D16" i="84"/>
  <c r="D20" i="84" s="1"/>
  <c r="D24" i="84" s="1"/>
  <c r="D28" i="84" s="1"/>
  <c r="Q15" i="84"/>
  <c r="E15" i="84"/>
  <c r="E19" i="84" s="1"/>
  <c r="E23" i="84" s="1"/>
  <c r="E27" i="84" s="1"/>
  <c r="D15" i="84"/>
  <c r="D19" i="84" s="1"/>
  <c r="D23" i="84" s="1"/>
  <c r="D27" i="84" s="1"/>
  <c r="Q11" i="84"/>
  <c r="H11" i="84"/>
  <c r="C11" i="84"/>
  <c r="B11" i="84" s="1"/>
  <c r="C40" i="41" s="1"/>
  <c r="O9" i="84"/>
  <c r="N9" i="84"/>
  <c r="M9" i="84"/>
  <c r="P8" i="84"/>
  <c r="W6" i="84"/>
  <c r="V6" i="84"/>
  <c r="U6" i="84"/>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D42" i="41" l="1"/>
  <c r="D41" i="41"/>
  <c r="D40" i="41"/>
  <c r="E64" i="77"/>
  <c r="E58" i="77"/>
  <c r="E59" i="77" s="1"/>
  <c r="E67" i="77"/>
  <c r="F67" i="76"/>
  <c r="G65" i="76"/>
  <c r="E76" i="76"/>
  <c r="F69" i="76"/>
  <c r="F71" i="76" s="1"/>
  <c r="G69" i="76"/>
  <c r="G71" i="76" s="1"/>
  <c r="E67" i="76"/>
  <c r="F64" i="76"/>
  <c r="G64" i="76" s="1"/>
  <c r="G66" i="76" s="1"/>
  <c r="G79" i="76" s="1"/>
  <c r="G80" i="76" s="1"/>
  <c r="E68" i="76"/>
  <c r="E70" i="76" s="1"/>
  <c r="G67" i="76"/>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34" i="81"/>
  <c r="G37" i="81" s="1"/>
  <c r="G40" i="81" s="1"/>
  <c r="D30" i="81"/>
  <c r="C30" i="81" s="1"/>
  <c r="D42" i="81"/>
  <c r="E24" i="48" l="1"/>
  <c r="E20" i="48"/>
  <c r="E16" i="48"/>
  <c r="E15" i="48"/>
  <c r="E19" i="48" s="1"/>
  <c r="E23" i="48" s="1"/>
  <c r="E12" i="48"/>
  <c r="E11" i="48"/>
  <c r="W5" i="81" l="1"/>
  <c r="X5" i="81"/>
  <c r="Y5" i="81"/>
  <c r="Q7" i="81"/>
  <c r="N8" i="81"/>
  <c r="O8" i="81"/>
  <c r="P8" i="81"/>
  <c r="E33" i="81"/>
  <c r="E36" i="81" s="1"/>
  <c r="E39" i="81" s="1"/>
  <c r="F33" i="81"/>
  <c r="F36" i="81" s="1"/>
  <c r="F39" i="81" s="1"/>
  <c r="H33" i="81"/>
  <c r="H36" i="81" s="1"/>
  <c r="H39" i="81" s="1"/>
  <c r="U33" i="81"/>
  <c r="U36" i="81" s="1"/>
  <c r="U39" i="81" s="1"/>
  <c r="V33" i="81"/>
  <c r="V36" i="81" s="1"/>
  <c r="V39" i="81" s="1"/>
  <c r="G35" i="81"/>
  <c r="G38" i="81" s="1"/>
  <c r="G41" i="81" s="1"/>
  <c r="C42" i="81"/>
  <c r="I42" i="81"/>
  <c r="E47" i="81"/>
  <c r="E52" i="81" s="1"/>
  <c r="E57" i="81" s="1"/>
  <c r="E62" i="81" s="1"/>
  <c r="F47" i="81"/>
  <c r="F52" i="81" s="1"/>
  <c r="F57" i="81" s="1"/>
  <c r="F62" i="81" s="1"/>
  <c r="E48" i="81"/>
  <c r="E53" i="81" s="1"/>
  <c r="E58" i="81" s="1"/>
  <c r="E63" i="81" s="1"/>
  <c r="E49" i="81"/>
  <c r="E54" i="81" s="1"/>
  <c r="E59" i="81" s="1"/>
  <c r="E64" i="81" s="1"/>
  <c r="E50" i="81"/>
  <c r="E55" i="81" s="1"/>
  <c r="E60" i="81" s="1"/>
  <c r="E65" i="81" s="1"/>
  <c r="G51" i="81"/>
  <c r="G56" i="81" s="1"/>
  <c r="G61" i="81" s="1"/>
  <c r="G66" i="81" s="1"/>
  <c r="D92" i="81"/>
  <c r="C92" i="81" s="1"/>
  <c r="I92" i="81"/>
  <c r="E97" i="81"/>
  <c r="E102" i="81" s="1"/>
  <c r="E107" i="81" s="1"/>
  <c r="E112" i="81" s="1"/>
  <c r="F97" i="81"/>
  <c r="F102" i="81" s="1"/>
  <c r="F107" i="81" s="1"/>
  <c r="F112" i="81" s="1"/>
  <c r="E98" i="81"/>
  <c r="E103" i="81" s="1"/>
  <c r="E108" i="81" s="1"/>
  <c r="E113" i="81" s="1"/>
  <c r="E99" i="81"/>
  <c r="E104" i="81" s="1"/>
  <c r="E109" i="81" s="1"/>
  <c r="E114" i="81" s="1"/>
  <c r="E100" i="81"/>
  <c r="E105" i="81" s="1"/>
  <c r="E110" i="81" s="1"/>
  <c r="E115" i="81" s="1"/>
  <c r="G101" i="81"/>
  <c r="G106" i="81" s="1"/>
  <c r="G111" i="81" s="1"/>
  <c r="G116" i="81" s="1"/>
  <c r="D117" i="81"/>
  <c r="C117" i="81" s="1"/>
  <c r="I117" i="81"/>
  <c r="E125" i="81"/>
  <c r="E133" i="81" s="1"/>
  <c r="E141" i="81" s="1"/>
  <c r="E149" i="81" s="1"/>
  <c r="F125" i="81"/>
  <c r="F133" i="81" s="1"/>
  <c r="F141" i="81" s="1"/>
  <c r="F149" i="81" s="1"/>
  <c r="E126" i="81"/>
  <c r="E134" i="81" s="1"/>
  <c r="E142" i="81" s="1"/>
  <c r="E150" i="81" s="1"/>
  <c r="E127" i="81"/>
  <c r="E135" i="81" s="1"/>
  <c r="E143" i="81" s="1"/>
  <c r="E151" i="81" s="1"/>
  <c r="E128" i="81"/>
  <c r="E136" i="81" s="1"/>
  <c r="E144" i="81" s="1"/>
  <c r="E152" i="81" s="1"/>
  <c r="G129" i="81"/>
  <c r="G137" i="81" s="1"/>
  <c r="G145" i="81" s="1"/>
  <c r="G153" i="81" s="1"/>
  <c r="D197" i="81"/>
  <c r="C197" i="81" s="1"/>
  <c r="I197" i="81"/>
  <c r="E205" i="81"/>
  <c r="E213" i="81" s="1"/>
  <c r="E221" i="81" s="1"/>
  <c r="E229" i="81" s="1"/>
  <c r="F205" i="81"/>
  <c r="F213" i="81" s="1"/>
  <c r="F221" i="81" s="1"/>
  <c r="F229" i="81" s="1"/>
  <c r="E206" i="81"/>
  <c r="E214" i="81" s="1"/>
  <c r="E222" i="81" s="1"/>
  <c r="E230" i="81" s="1"/>
  <c r="E207" i="81"/>
  <c r="E215" i="81" s="1"/>
  <c r="E223" i="81" s="1"/>
  <c r="E231" i="81" s="1"/>
  <c r="E208" i="81"/>
  <c r="E216" i="81" s="1"/>
  <c r="E224" i="81" s="1"/>
  <c r="E232" i="81" s="1"/>
  <c r="G209" i="81"/>
  <c r="G217" i="81" s="1"/>
  <c r="G225" i="81" s="1"/>
  <c r="G233" i="81" s="1"/>
  <c r="G210" i="81"/>
  <c r="G218" i="81" s="1"/>
  <c r="G226" i="81" s="1"/>
  <c r="G234" i="81" s="1"/>
  <c r="G211" i="81"/>
  <c r="G219" i="81" s="1"/>
  <c r="G227" i="81" s="1"/>
  <c r="G235" i="81" s="1"/>
  <c r="G228" i="81"/>
  <c r="G236" i="81" s="1"/>
  <c r="D277" i="81"/>
  <c r="C277" i="81" s="1"/>
  <c r="I277" i="81"/>
  <c r="K277" i="81"/>
  <c r="M277" i="81"/>
  <c r="N277" i="81"/>
  <c r="O277" i="81"/>
  <c r="P277" i="81"/>
  <c r="Q277" i="81"/>
  <c r="S277" i="81"/>
  <c r="K278" i="81"/>
  <c r="K279" i="81"/>
  <c r="L280" i="81"/>
  <c r="I281" i="81"/>
  <c r="K281" i="81"/>
  <c r="M281" i="81"/>
  <c r="N281" i="81"/>
  <c r="O281" i="81"/>
  <c r="P281" i="81"/>
  <c r="Q281" i="81"/>
  <c r="S281" i="81"/>
  <c r="K282" i="81"/>
  <c r="K283" i="81"/>
  <c r="L284" i="81"/>
  <c r="I285" i="81"/>
  <c r="K285" i="81"/>
  <c r="M285" i="81"/>
  <c r="N285" i="81"/>
  <c r="O285" i="81"/>
  <c r="P285" i="81"/>
  <c r="Q285" i="81"/>
  <c r="S285" i="81"/>
  <c r="K286" i="81"/>
  <c r="K287" i="81"/>
  <c r="L288" i="81"/>
  <c r="I289" i="81"/>
  <c r="K289" i="81"/>
  <c r="M289" i="81"/>
  <c r="N289" i="81"/>
  <c r="O289" i="81"/>
  <c r="P289" i="81"/>
  <c r="Q289" i="81"/>
  <c r="S289" i="81"/>
  <c r="K290" i="81"/>
  <c r="K291" i="81"/>
  <c r="L292" i="81"/>
  <c r="I293" i="81"/>
  <c r="K293" i="81"/>
  <c r="M293" i="81"/>
  <c r="N293" i="81"/>
  <c r="O293" i="81"/>
  <c r="P293" i="81"/>
  <c r="Q293" i="81"/>
  <c r="S293" i="81"/>
  <c r="K294" i="81"/>
  <c r="K295" i="81"/>
  <c r="L296" i="81"/>
  <c r="D297" i="81"/>
  <c r="C297" i="81" s="1"/>
  <c r="I297" i="81"/>
  <c r="K297" i="81"/>
  <c r="M297" i="81"/>
  <c r="N297" i="81"/>
  <c r="O297" i="81"/>
  <c r="P297" i="81" a="1"/>
  <c r="P297" i="81" s="1"/>
  <c r="Q297" i="81"/>
  <c r="S297" i="81"/>
  <c r="K298" i="81"/>
  <c r="K299" i="81"/>
  <c r="L300" i="81"/>
  <c r="F301" i="81"/>
  <c r="F305" i="81" s="1"/>
  <c r="F309" i="81" s="1"/>
  <c r="F313" i="81" s="1"/>
  <c r="I301" i="81"/>
  <c r="K301" i="81"/>
  <c r="M301" i="81"/>
  <c r="N301" i="81"/>
  <c r="O301" i="81"/>
  <c r="P301" i="81"/>
  <c r="Q301" i="81"/>
  <c r="S301" i="81"/>
  <c r="K302" i="81"/>
  <c r="K303" i="81"/>
  <c r="L304" i="81"/>
  <c r="I305" i="81"/>
  <c r="K305" i="81"/>
  <c r="M305" i="81"/>
  <c r="N305" i="81"/>
  <c r="O305" i="81"/>
  <c r="P305" i="81"/>
  <c r="Q305" i="81"/>
  <c r="S305" i="81"/>
  <c r="K306" i="81"/>
  <c r="K307" i="81"/>
  <c r="L308" i="81"/>
  <c r="I309" i="81"/>
  <c r="K309" i="81"/>
  <c r="M309" i="81"/>
  <c r="N309" i="81"/>
  <c r="O309" i="81"/>
  <c r="P309" i="81"/>
  <c r="Q309" i="81"/>
  <c r="S309" i="81"/>
  <c r="K310" i="81"/>
  <c r="K311" i="81"/>
  <c r="L312" i="81"/>
  <c r="I313" i="81"/>
  <c r="K313" i="81"/>
  <c r="M313" i="81"/>
  <c r="N313" i="81"/>
  <c r="O313" i="81"/>
  <c r="P313" i="81"/>
  <c r="Q313" i="81"/>
  <c r="S313" i="81"/>
  <c r="K314" i="81"/>
  <c r="K315" i="81"/>
  <c r="L316" i="81"/>
  <c r="D317" i="81"/>
  <c r="C317" i="81" s="1"/>
  <c r="I317" i="81"/>
  <c r="W317" i="81"/>
  <c r="W319" i="81" s="1"/>
  <c r="W321" i="81" s="1"/>
  <c r="W323" i="81" s="1"/>
  <c r="W325" i="81" s="1"/>
  <c r="X317" i="81"/>
  <c r="Y318" i="81"/>
  <c r="Y320" i="81" s="1"/>
  <c r="I319" i="81"/>
  <c r="I321" i="81"/>
  <c r="I323" i="81"/>
  <c r="I325" i="81"/>
  <c r="D327" i="81"/>
  <c r="C327" i="81" s="1"/>
  <c r="I327" i="81"/>
  <c r="F329" i="81"/>
  <c r="F331" i="81" s="1"/>
  <c r="F333" i="81" s="1"/>
  <c r="D335" i="81"/>
  <c r="C335" i="81" s="1"/>
  <c r="I335" i="81"/>
  <c r="F338" i="81"/>
  <c r="F341" i="81" s="1"/>
  <c r="F344" i="81" s="1"/>
  <c r="D347" i="81"/>
  <c r="I347" i="81"/>
  <c r="E352" i="81"/>
  <c r="E357" i="81" s="1"/>
  <c r="E362" i="81" s="1"/>
  <c r="F352" i="81"/>
  <c r="F357" i="81" s="1"/>
  <c r="F362" i="81" s="1"/>
  <c r="E353" i="81"/>
  <c r="E358" i="81" s="1"/>
  <c r="E363" i="81" s="1"/>
  <c r="G354" i="81"/>
  <c r="G359" i="81" s="1"/>
  <c r="G364" i="81" s="1"/>
  <c r="G355" i="81"/>
  <c r="G360" i="81" s="1"/>
  <c r="G365" i="81" s="1"/>
  <c r="G356" i="81"/>
  <c r="G361" i="81" s="1"/>
  <c r="G366"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R9" i="61"/>
  <c r="T9" i="61" s="1"/>
  <c r="R10" i="61"/>
  <c r="N25" i="60"/>
  <c r="O25" i="60"/>
  <c r="P25" i="60"/>
  <c r="P15" i="58"/>
  <c r="Q15" i="58"/>
  <c r="R15" i="58" s="1"/>
  <c r="T15" i="58"/>
  <c r="X19" i="58" s="1"/>
  <c r="U15" i="58"/>
  <c r="V15" i="58"/>
  <c r="W15" i="58"/>
  <c r="X15" i="58"/>
  <c r="P16" i="58"/>
  <c r="Q16" i="58"/>
  <c r="R16" i="58"/>
  <c r="S16" i="58"/>
  <c r="T16" i="58"/>
  <c r="U16" i="58"/>
  <c r="V16" i="58"/>
  <c r="W16" i="58"/>
  <c r="X16" i="58"/>
  <c r="R31"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M66" i="49"/>
  <c r="T64" i="49"/>
  <c r="S64" i="49"/>
  <c r="R64" i="49"/>
  <c r="Q64" i="49"/>
  <c r="K64" i="49"/>
  <c r="L65" i="49" s="1"/>
  <c r="I64" i="49"/>
  <c r="M63" i="49"/>
  <c r="T61" i="49"/>
  <c r="S61" i="49"/>
  <c r="R61" i="49"/>
  <c r="Q61" i="49"/>
  <c r="K61" i="49"/>
  <c r="L62" i="49" s="1"/>
  <c r="I61" i="49"/>
  <c r="M60" i="49"/>
  <c r="T58" i="49"/>
  <c r="S58" i="49"/>
  <c r="R58" i="49"/>
  <c r="Q58" i="49"/>
  <c r="K58" i="49"/>
  <c r="L59" i="49" s="1"/>
  <c r="I58" i="49"/>
  <c r="M57" i="49"/>
  <c r="T55" i="49"/>
  <c r="S55" i="49"/>
  <c r="R55" i="49"/>
  <c r="Q55" i="49"/>
  <c r="K55" i="49"/>
  <c r="L56" i="49" s="1"/>
  <c r="I55" i="49"/>
  <c r="E44" i="49"/>
  <c r="E43" i="49"/>
  <c r="AD33" i="49"/>
  <c r="AB33" i="49"/>
  <c r="I42" i="49"/>
  <c r="H42" i="49"/>
  <c r="G42" i="49"/>
  <c r="B42" i="49" s="1"/>
  <c r="E42" i="49"/>
  <c r="AF32" i="49"/>
  <c r="AC31" i="49"/>
  <c r="K31" i="49" s="1"/>
  <c r="K32" i="49" s="1"/>
  <c r="K33" i="49" s="1"/>
  <c r="K34" i="49" s="1"/>
  <c r="AF30" i="49"/>
  <c r="AF29" i="49"/>
  <c r="AF28" i="49"/>
  <c r="AF27" i="49"/>
  <c r="AF26" i="49"/>
  <c r="AF25" i="49"/>
  <c r="N31" i="49"/>
  <c r="B31" i="49"/>
  <c r="AI24" i="49"/>
  <c r="AM23" i="49"/>
  <c r="AJ22" i="49"/>
  <c r="K19" i="49" s="1"/>
  <c r="AM21" i="49"/>
  <c r="AM20" i="49"/>
  <c r="AM19" i="49"/>
  <c r="O45" i="49"/>
  <c r="AM18" i="49"/>
  <c r="AM17" i="49"/>
  <c r="O43" i="49"/>
  <c r="AD16" i="49"/>
  <c r="AB16" i="49"/>
  <c r="U42" i="49"/>
  <c r="Q19" i="49"/>
  <c r="Q42" i="49" s="1"/>
  <c r="N19" i="49"/>
  <c r="N42" i="49" s="1"/>
  <c r="B19" i="49"/>
  <c r="R18" i="49"/>
  <c r="I18" i="49"/>
  <c r="I30" i="49" s="1"/>
  <c r="AC14" i="49"/>
  <c r="R17" i="49"/>
  <c r="I17" i="49"/>
  <c r="I29" i="49" s="1"/>
  <c r="I16" i="49"/>
  <c r="I28" i="49" s="1"/>
  <c r="AF11" i="49"/>
  <c r="U8" i="49"/>
  <c r="Q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T12" i="46"/>
  <c r="T14" i="46" s="1"/>
  <c r="I12" i="46"/>
  <c r="I14" i="46" s="1"/>
  <c r="F12" i="46"/>
  <c r="F14" i="46" s="1"/>
  <c r="E12" i="46"/>
  <c r="E14" i="46" s="1"/>
  <c r="S2" i="46"/>
  <c r="K20" i="49" l="1"/>
  <c r="K42" i="49"/>
  <c r="AM22" i="49"/>
  <c r="K8" i="49"/>
  <c r="K9" i="49" s="1"/>
  <c r="AE14" i="49"/>
  <c r="AF31" i="49"/>
  <c r="AM24" i="49"/>
  <c r="AM25" i="49" s="1"/>
  <c r="AF14" i="49"/>
  <c r="AF16" i="49" s="1"/>
  <c r="AF17" i="49" s="1"/>
  <c r="B32" i="88"/>
  <c r="B28" i="88"/>
  <c r="B16" i="88"/>
  <c r="B10" i="88"/>
  <c r="W10" i="81" s="1"/>
  <c r="B6" i="88"/>
  <c r="B31" i="88"/>
  <c r="B27" i="88"/>
  <c r="B24" i="88"/>
  <c r="B21" i="88"/>
  <c r="B9" i="88"/>
  <c r="B30" i="88"/>
  <c r="B17" i="88"/>
  <c r="B14" i="88"/>
  <c r="Y12" i="81" s="1"/>
  <c r="B11" i="88"/>
  <c r="B7" i="88"/>
  <c r="B33" i="88"/>
  <c r="B29" i="88"/>
  <c r="B23" i="88"/>
  <c r="B22" i="88"/>
  <c r="B20" i="88"/>
  <c r="B18" i="88"/>
  <c r="B15" i="88"/>
  <c r="Y13" i="81" s="1"/>
  <c r="B13" i="88"/>
  <c r="Y11" i="81" s="1"/>
  <c r="B8" i="88"/>
  <c r="B34" i="88"/>
  <c r="B19" i="88"/>
  <c r="B12" i="88"/>
  <c r="X10" i="81" s="1"/>
  <c r="B35" i="88"/>
  <c r="C347" i="81"/>
  <c r="O44" i="49"/>
  <c r="B21" i="83"/>
  <c r="B20" i="83"/>
  <c r="B17" i="83"/>
  <c r="B16" i="83"/>
  <c r="B16" i="82"/>
  <c r="B15" i="83"/>
  <c r="B15" i="82"/>
  <c r="B30" i="82"/>
  <c r="B27" i="83"/>
  <c r="B21" i="82"/>
  <c r="B20" i="82"/>
  <c r="B19" i="83"/>
  <c r="B19" i="82"/>
  <c r="B18" i="83"/>
  <c r="B18" i="82"/>
  <c r="B10" i="83"/>
  <c r="U48" i="84" s="1"/>
  <c r="B29" i="83"/>
  <c r="B26" i="83"/>
  <c r="B17" i="82"/>
  <c r="B12" i="83"/>
  <c r="V47" i="84" s="1"/>
  <c r="V50" i="84" s="1"/>
  <c r="V53" i="84" s="1"/>
  <c r="V56" i="84" s="1"/>
  <c r="B10" i="82"/>
  <c r="U32" i="84" s="1"/>
  <c r="B32" i="82"/>
  <c r="B14" i="83"/>
  <c r="B14" i="82"/>
  <c r="W34" i="84" s="1"/>
  <c r="B13" i="83"/>
  <c r="W49" i="84" s="1"/>
  <c r="B13" i="82"/>
  <c r="V31" i="84" s="1"/>
  <c r="V35" i="84" s="1"/>
  <c r="V39" i="84" s="1"/>
  <c r="V43" i="84" s="1"/>
  <c r="B12" i="82"/>
  <c r="B32" i="83"/>
  <c r="B26" i="82"/>
  <c r="B11" i="83"/>
  <c r="B11" i="82"/>
  <c r="U33" i="84" s="1"/>
  <c r="B5" i="83"/>
  <c r="B28" i="82"/>
  <c r="B9" i="83"/>
  <c r="U47" i="84" s="1"/>
  <c r="B9" i="82"/>
  <c r="U31" i="84" s="1"/>
  <c r="B8" i="83"/>
  <c r="B8" i="82"/>
  <c r="B7" i="82"/>
  <c r="B6" i="83"/>
  <c r="B27" i="82"/>
  <c r="B7" i="83"/>
  <c r="B6" i="82"/>
  <c r="B5" i="82"/>
  <c r="B29" i="82"/>
  <c r="B25" i="83"/>
  <c r="B31" i="83"/>
  <c r="B31" i="82"/>
  <c r="B21" i="73"/>
  <c r="B30" i="83"/>
  <c r="B28" i="83"/>
  <c r="B17" i="73"/>
  <c r="B16" i="73"/>
  <c r="B18" i="73"/>
  <c r="B15" i="73"/>
  <c r="B11" i="73"/>
  <c r="U13" i="84" s="1"/>
  <c r="B14" i="73"/>
  <c r="W14" i="84" s="1"/>
  <c r="B22" i="73"/>
  <c r="B13" i="73"/>
  <c r="V11" i="84" s="1"/>
  <c r="V15" i="84" s="1"/>
  <c r="V19" i="84" s="1"/>
  <c r="V23" i="84" s="1"/>
  <c r="V27" i="84" s="1"/>
  <c r="B12" i="73"/>
  <c r="B10" i="73"/>
  <c r="U12" i="84" s="1"/>
  <c r="B9" i="73"/>
  <c r="U11"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319" i="81"/>
  <c r="Y322" i="81"/>
  <c r="S15" i="58"/>
  <c r="Z15" i="58"/>
  <c r="Z19" i="58" s="1"/>
  <c r="Z18" i="58"/>
  <c r="R42" i="49"/>
  <c r="Z15" i="57"/>
  <c r="Z16" i="57" s="1"/>
  <c r="R29" i="49" s="1"/>
  <c r="R52" i="49" s="1"/>
  <c r="I24" i="50"/>
  <c r="I26" i="50" s="1"/>
  <c r="J14" i="50"/>
  <c r="W17" i="57"/>
  <c r="S18" i="49"/>
  <c r="W17" i="58"/>
  <c r="AA15" i="57"/>
  <c r="AA16" i="57" s="1"/>
  <c r="R30" i="49" s="1"/>
  <c r="R53" i="49" s="1"/>
  <c r="AA18" i="57"/>
  <c r="V17" i="57"/>
  <c r="V17" i="58"/>
  <c r="S17" i="49"/>
  <c r="S16" i="49"/>
  <c r="U17" i="58"/>
  <c r="Y17" i="58" s="1"/>
  <c r="U17" i="57"/>
  <c r="Y17" i="57" s="1"/>
  <c r="S28" i="49" s="1"/>
  <c r="S51" i="49" s="1"/>
  <c r="T17" i="58"/>
  <c r="X17" i="58" s="1"/>
  <c r="S31" i="49" s="1"/>
  <c r="T17" i="57"/>
  <c r="X17" i="57" s="1"/>
  <c r="S19" i="49" s="1"/>
  <c r="S42" i="49" s="1"/>
  <c r="Z19" i="57"/>
  <c r="X19" i="57"/>
  <c r="Y16" i="57"/>
  <c r="R28" i="49" s="1"/>
  <c r="R51" i="49" s="1"/>
  <c r="Y18" i="57"/>
  <c r="L24" i="49" s="1"/>
  <c r="L47" i="49" s="1"/>
  <c r="Y15" i="58"/>
  <c r="Y16" i="58" s="1"/>
  <c r="Y19" i="57"/>
  <c r="L25" i="49" s="1"/>
  <c r="L48" i="49" s="1"/>
  <c r="J24" i="50"/>
  <c r="I52" i="49"/>
  <c r="I40" i="49"/>
  <c r="I53" i="49"/>
  <c r="I41" i="49"/>
  <c r="I51" i="49"/>
  <c r="I39" i="49"/>
  <c r="L23" i="48"/>
  <c r="L19" i="48"/>
  <c r="Q31" i="49"/>
  <c r="U57" i="48"/>
  <c r="O42" i="49"/>
  <c r="M49" i="49" s="1"/>
  <c r="M50" i="49" s="1"/>
  <c r="K21" i="49" l="1"/>
  <c r="K43" i="49"/>
  <c r="AF33" i="49"/>
  <c r="AF34" i="49" s="1"/>
  <c r="K10" i="49"/>
  <c r="K11" i="49" s="1"/>
  <c r="K39" i="81"/>
  <c r="L40" i="81" s="1"/>
  <c r="K36" i="81"/>
  <c r="K33" i="81"/>
  <c r="K30" i="81"/>
  <c r="L31" i="81" s="1"/>
  <c r="W38" i="84"/>
  <c r="U36" i="84"/>
  <c r="J32" i="84"/>
  <c r="W52" i="84"/>
  <c r="U51" i="84"/>
  <c r="P43" i="84"/>
  <c r="N43" i="84"/>
  <c r="O43" i="84"/>
  <c r="R31" i="84"/>
  <c r="R35" i="84" s="1"/>
  <c r="R39" i="84" s="1"/>
  <c r="R43" i="84" s="1"/>
  <c r="M43" i="84"/>
  <c r="P31" i="84"/>
  <c r="O31" i="84"/>
  <c r="N31" i="84"/>
  <c r="M31" i="84"/>
  <c r="L31" i="84"/>
  <c r="L35" i="84" s="1"/>
  <c r="L39" i="84" s="1"/>
  <c r="L43" i="84" s="1"/>
  <c r="N35" i="84"/>
  <c r="P35" i="84"/>
  <c r="O35" i="84"/>
  <c r="M35" i="84"/>
  <c r="P39" i="84"/>
  <c r="O39" i="84"/>
  <c r="N39" i="84"/>
  <c r="M39" i="84"/>
  <c r="N27" i="84"/>
  <c r="M27" i="84"/>
  <c r="L27" i="84"/>
  <c r="R15" i="84"/>
  <c r="P15" i="84"/>
  <c r="O15" i="84"/>
  <c r="N15" i="84"/>
  <c r="M15" i="84"/>
  <c r="O27" i="84"/>
  <c r="L15" i="84"/>
  <c r="R19" i="84"/>
  <c r="P27" i="84"/>
  <c r="P19" i="84"/>
  <c r="O19" i="84"/>
  <c r="N19" i="84"/>
  <c r="M19" i="84"/>
  <c r="L19" i="84"/>
  <c r="L11" i="84"/>
  <c r="R23" i="84"/>
  <c r="P23" i="84"/>
  <c r="O23" i="84"/>
  <c r="N23" i="84"/>
  <c r="R11" i="84"/>
  <c r="M23" i="84"/>
  <c r="L23" i="84"/>
  <c r="P11" i="84"/>
  <c r="R27" i="84"/>
  <c r="O11" i="84"/>
  <c r="N11" i="84"/>
  <c r="M11" i="84"/>
  <c r="U35" i="84"/>
  <c r="U50" i="84"/>
  <c r="W18" i="84"/>
  <c r="U15" i="84"/>
  <c r="J12" i="84"/>
  <c r="U16" i="84"/>
  <c r="P53" i="84"/>
  <c r="O53" i="84"/>
  <c r="N53" i="84"/>
  <c r="M53" i="84"/>
  <c r="R47" i="84"/>
  <c r="R50" i="84" s="1"/>
  <c r="R53" i="84" s="1"/>
  <c r="R56" i="84" s="1"/>
  <c r="P47" i="84"/>
  <c r="O47" i="84"/>
  <c r="N47" i="84"/>
  <c r="M47" i="84"/>
  <c r="L47" i="84"/>
  <c r="L50" i="84" s="1"/>
  <c r="L53" i="84" s="1"/>
  <c r="L56" i="84" s="1"/>
  <c r="O56" i="84"/>
  <c r="P56" i="84"/>
  <c r="N56" i="84"/>
  <c r="M56" i="84"/>
  <c r="P50" i="84"/>
  <c r="O50" i="84"/>
  <c r="N50" i="84"/>
  <c r="M50" i="84"/>
  <c r="U37" i="84"/>
  <c r="J33" i="84"/>
  <c r="J13" i="84"/>
  <c r="U17" i="84"/>
  <c r="L34" i="81"/>
  <c r="L37" i="81"/>
  <c r="M30" i="81"/>
  <c r="M33" i="81"/>
  <c r="M36" i="81"/>
  <c r="M39" i="81"/>
  <c r="Q30" i="81"/>
  <c r="Q39" i="81"/>
  <c r="Q33" i="81"/>
  <c r="N33" i="81"/>
  <c r="N30" i="81"/>
  <c r="N39" i="81"/>
  <c r="O39" i="81"/>
  <c r="Q36" i="81"/>
  <c r="N36" i="81"/>
  <c r="O33" i="81"/>
  <c r="O30" i="81"/>
  <c r="O36" i="81"/>
  <c r="P36" i="81"/>
  <c r="P30" i="81"/>
  <c r="P33" i="81"/>
  <c r="P39" i="81"/>
  <c r="X321" i="81"/>
  <c r="Y324" i="81"/>
  <c r="Z17" i="57"/>
  <c r="S29" i="49" s="1"/>
  <c r="S52" i="49" s="1"/>
  <c r="AA17" i="57"/>
  <c r="S30" i="49" s="1"/>
  <c r="S53" i="49" s="1"/>
  <c r="AA19" i="57"/>
  <c r="L60" i="48"/>
  <c r="L64" i="48" s="1"/>
  <c r="L68" i="48" s="1"/>
  <c r="L72" i="48" s="1"/>
  <c r="J13" i="50"/>
  <c r="Z18" i="57"/>
  <c r="AA15" i="58"/>
  <c r="AA18" i="58" s="1"/>
  <c r="B12" i="77"/>
  <c r="X347" i="81" s="1"/>
  <c r="X352" i="81" s="1"/>
  <c r="X357" i="81" s="1"/>
  <c r="X362" i="81" s="1"/>
  <c r="B33" i="77"/>
  <c r="B28" i="76"/>
  <c r="B26" i="75"/>
  <c r="B26" i="71"/>
  <c r="B26" i="70"/>
  <c r="B26" i="69"/>
  <c r="B21" i="68"/>
  <c r="B16" i="66"/>
  <c r="B14" i="65"/>
  <c r="X42" i="81" s="1"/>
  <c r="B36" i="77"/>
  <c r="B19" i="67"/>
  <c r="B30" i="69"/>
  <c r="B9" i="77"/>
  <c r="W347" i="81" s="1"/>
  <c r="B13" i="77"/>
  <c r="Y349" i="81" s="1"/>
  <c r="B34" i="77"/>
  <c r="B29" i="76"/>
  <c r="B27" i="75"/>
  <c r="B27" i="71"/>
  <c r="B27" i="70"/>
  <c r="B27" i="69"/>
  <c r="B22" i="68"/>
  <c r="B17" i="66"/>
  <c r="B15" i="65"/>
  <c r="Y46" i="81" s="1"/>
  <c r="Y71" i="81" s="1"/>
  <c r="Y76" i="81" s="1"/>
  <c r="Y81" i="81" s="1"/>
  <c r="Y86" i="81" s="1"/>
  <c r="Y91" i="81" s="1"/>
  <c r="B29" i="71"/>
  <c r="B24" i="68"/>
  <c r="B17" i="65"/>
  <c r="B25" i="68"/>
  <c r="B11" i="77"/>
  <c r="B14" i="77"/>
  <c r="Y350" i="81" s="1"/>
  <c r="B35" i="77"/>
  <c r="B30" i="76"/>
  <c r="B28" i="75"/>
  <c r="B28" i="71"/>
  <c r="B28" i="70"/>
  <c r="B28" i="69"/>
  <c r="B23" i="68"/>
  <c r="B18" i="66"/>
  <c r="B16" i="65"/>
  <c r="B15" i="77"/>
  <c r="Y351" i="81" s="1"/>
  <c r="B31" i="76"/>
  <c r="B29" i="70"/>
  <c r="B29" i="69"/>
  <c r="B19" i="66"/>
  <c r="B30" i="70"/>
  <c r="B29" i="75"/>
  <c r="B20" i="66"/>
  <c r="B15" i="66"/>
  <c r="Y96" i="81" s="1"/>
  <c r="B16" i="77"/>
  <c r="B37" i="77"/>
  <c r="B32" i="76"/>
  <c r="B30" i="75"/>
  <c r="B30" i="71"/>
  <c r="B20" i="67"/>
  <c r="B18" i="65"/>
  <c r="B17" i="77"/>
  <c r="B38" i="77"/>
  <c r="B33" i="76"/>
  <c r="B31" i="75"/>
  <c r="B31" i="71"/>
  <c r="B31" i="70"/>
  <c r="B31" i="69"/>
  <c r="B26" i="68"/>
  <c r="B21" i="67"/>
  <c r="B21" i="66"/>
  <c r="B19" i="65"/>
  <c r="B18" i="77"/>
  <c r="B6" i="75"/>
  <c r="B32" i="75"/>
  <c r="B32" i="71"/>
  <c r="B32" i="69"/>
  <c r="B27" i="68"/>
  <c r="B22" i="66"/>
  <c r="B12" i="66"/>
  <c r="W95" i="81" s="1"/>
  <c r="B6" i="76"/>
  <c r="B32" i="70"/>
  <c r="B22" i="67"/>
  <c r="B20" i="65"/>
  <c r="B19" i="77"/>
  <c r="B7" i="76"/>
  <c r="B7" i="75"/>
  <c r="B33" i="75"/>
  <c r="B33" i="71"/>
  <c r="B33" i="70"/>
  <c r="B33" i="69"/>
  <c r="B23" i="67"/>
  <c r="B23" i="66"/>
  <c r="B21" i="65"/>
  <c r="B10" i="76"/>
  <c r="W336" i="81" s="1"/>
  <c r="B8" i="70"/>
  <c r="B8" i="69"/>
  <c r="B31" i="68"/>
  <c r="B26" i="67"/>
  <c r="B11" i="65"/>
  <c r="W44" i="81" s="1"/>
  <c r="W69" i="81" s="1"/>
  <c r="W74" i="81" s="1"/>
  <c r="W79" i="81" s="1"/>
  <c r="W84" i="81" s="1"/>
  <c r="W89" i="81" s="1"/>
  <c r="B28" i="77"/>
  <c r="B8" i="76"/>
  <c r="B8" i="75"/>
  <c r="B6" i="71"/>
  <c r="B6" i="70"/>
  <c r="B6" i="69"/>
  <c r="B6" i="68"/>
  <c r="B24" i="67"/>
  <c r="B24" i="66"/>
  <c r="B22" i="65"/>
  <c r="B10" i="75"/>
  <c r="W328" i="81" s="1"/>
  <c r="B8" i="77"/>
  <c r="B9" i="76"/>
  <c r="W335" i="81" s="1"/>
  <c r="B9" i="75"/>
  <c r="W327" i="81" s="1"/>
  <c r="B7" i="71"/>
  <c r="B7" i="70"/>
  <c r="B7" i="69"/>
  <c r="B7" i="68"/>
  <c r="B30" i="68"/>
  <c r="B25" i="67"/>
  <c r="B10" i="77"/>
  <c r="W348" i="81" s="1"/>
  <c r="B8" i="71"/>
  <c r="B8" i="68"/>
  <c r="B17" i="67"/>
  <c r="Y123" i="81" s="1"/>
  <c r="Y163" i="81" s="1"/>
  <c r="Y171" i="81" s="1"/>
  <c r="Y179" i="81" s="1"/>
  <c r="Y187" i="81" s="1"/>
  <c r="Y195" i="81" s="1"/>
  <c r="B19" i="68"/>
  <c r="B11" i="76"/>
  <c r="B11" i="75"/>
  <c r="B9" i="71"/>
  <c r="B9" i="70"/>
  <c r="B9" i="69"/>
  <c r="B9" i="68"/>
  <c r="W197" i="81" s="1"/>
  <c r="W237" i="81" s="1"/>
  <c r="W245" i="81" s="1"/>
  <c r="W253" i="81" s="1"/>
  <c r="W261" i="81" s="1"/>
  <c r="W269" i="81" s="1"/>
  <c r="B32" i="68"/>
  <c r="B27" i="67"/>
  <c r="B27" i="66"/>
  <c r="B15" i="70"/>
  <c r="B12" i="76"/>
  <c r="X335" i="81" s="1"/>
  <c r="X338" i="81" s="1"/>
  <c r="X341" i="81" s="1"/>
  <c r="X344" i="81" s="1"/>
  <c r="B12" i="75"/>
  <c r="X327" i="81" s="1"/>
  <c r="X329" i="81" s="1"/>
  <c r="X331" i="81" s="1"/>
  <c r="X333" i="81" s="1"/>
  <c r="B10" i="71"/>
  <c r="B10" i="70"/>
  <c r="B10" i="69"/>
  <c r="B10" i="68"/>
  <c r="W198" i="81" s="1"/>
  <c r="W238" i="81" s="1"/>
  <c r="W246" i="81" s="1"/>
  <c r="W254" i="81" s="1"/>
  <c r="W262" i="81" s="1"/>
  <c r="W270" i="81" s="1"/>
  <c r="B33" i="68"/>
  <c r="B28" i="66"/>
  <c r="B15" i="68"/>
  <c r="Y201" i="81" s="1"/>
  <c r="Y241" i="81" s="1"/>
  <c r="Y249" i="81" s="1"/>
  <c r="Y257" i="81" s="1"/>
  <c r="Y265" i="81" s="1"/>
  <c r="Y273" i="81" s="1"/>
  <c r="B33" i="66"/>
  <c r="B27" i="65"/>
  <c r="B35" i="66"/>
  <c r="B22" i="70"/>
  <c r="B14" i="66"/>
  <c r="X92" i="81" s="1"/>
  <c r="X97" i="81" s="1"/>
  <c r="X102" i="81" s="1"/>
  <c r="X107" i="81" s="1"/>
  <c r="X112" i="81" s="1"/>
  <c r="B13" i="76"/>
  <c r="Y337" i="81" s="1"/>
  <c r="B13" i="75"/>
  <c r="B11" i="71"/>
  <c r="B11" i="70"/>
  <c r="B11" i="69"/>
  <c r="B11" i="68"/>
  <c r="W199" i="81" s="1"/>
  <c r="W239" i="81" s="1"/>
  <c r="W247" i="81" s="1"/>
  <c r="W255" i="81" s="1"/>
  <c r="W263" i="81" s="1"/>
  <c r="W271" i="81" s="1"/>
  <c r="B6" i="67"/>
  <c r="B29" i="66"/>
  <c r="B23" i="65"/>
  <c r="B17" i="76"/>
  <c r="B20" i="68"/>
  <c r="B14" i="76"/>
  <c r="B14" i="75"/>
  <c r="B12" i="71"/>
  <c r="B12" i="70"/>
  <c r="B12" i="69"/>
  <c r="B12" i="68"/>
  <c r="W200" i="81" s="1"/>
  <c r="W240" i="81" s="1"/>
  <c r="W248" i="81" s="1"/>
  <c r="W256" i="81" s="1"/>
  <c r="W264" i="81" s="1"/>
  <c r="W272" i="81" s="1"/>
  <c r="B7" i="67"/>
  <c r="B30" i="67"/>
  <c r="B30" i="66"/>
  <c r="B24" i="65"/>
  <c r="B10" i="67"/>
  <c r="W118" i="81" s="1"/>
  <c r="W158" i="81" s="1"/>
  <c r="W166" i="81" s="1"/>
  <c r="W174" i="81" s="1"/>
  <c r="W182" i="81" s="1"/>
  <c r="W190" i="81" s="1"/>
  <c r="B25" i="75"/>
  <c r="B15" i="76"/>
  <c r="B15" i="75"/>
  <c r="B13" i="71"/>
  <c r="B13" i="70"/>
  <c r="B13" i="69"/>
  <c r="B13" i="68"/>
  <c r="B8" i="67"/>
  <c r="B31" i="67"/>
  <c r="B31" i="66"/>
  <c r="B15" i="71"/>
  <c r="B22" i="75"/>
  <c r="B16" i="76"/>
  <c r="B16" i="75"/>
  <c r="B14" i="71"/>
  <c r="B14" i="70"/>
  <c r="B14" i="69"/>
  <c r="B14" i="68"/>
  <c r="X197" i="81" s="1"/>
  <c r="B9" i="67"/>
  <c r="W117" i="81" s="1"/>
  <c r="W157" i="81" s="1"/>
  <c r="W165" i="81" s="1"/>
  <c r="W173" i="81" s="1"/>
  <c r="W181" i="81" s="1"/>
  <c r="W189" i="81" s="1"/>
  <c r="B32" i="67"/>
  <c r="B32" i="66"/>
  <c r="B15" i="69"/>
  <c r="B17" i="75"/>
  <c r="B33" i="67"/>
  <c r="B18" i="67"/>
  <c r="Y124" i="81" s="1"/>
  <c r="Y164" i="81" s="1"/>
  <c r="Y172" i="81" s="1"/>
  <c r="Y180" i="81" s="1"/>
  <c r="Y188" i="81" s="1"/>
  <c r="Y196" i="81" s="1"/>
  <c r="B25" i="70"/>
  <c r="B18" i="76"/>
  <c r="B18" i="75"/>
  <c r="B16" i="71"/>
  <c r="B16" i="70"/>
  <c r="B16" i="69"/>
  <c r="B16" i="68"/>
  <c r="Y202" i="81" s="1"/>
  <c r="Y242" i="81" s="1"/>
  <c r="Y250" i="81" s="1"/>
  <c r="Y258" i="81" s="1"/>
  <c r="Y266" i="81" s="1"/>
  <c r="Y274" i="81" s="1"/>
  <c r="B11" i="67"/>
  <c r="W119" i="81" s="1"/>
  <c r="W159" i="81" s="1"/>
  <c r="W167" i="81" s="1"/>
  <c r="W175" i="81" s="1"/>
  <c r="W183" i="81" s="1"/>
  <c r="W191" i="81" s="1"/>
  <c r="B6" i="66"/>
  <c r="B34" i="66"/>
  <c r="B28" i="65"/>
  <c r="B17" i="70"/>
  <c r="B29" i="65"/>
  <c r="B34" i="65"/>
  <c r="B25" i="71"/>
  <c r="B19" i="76"/>
  <c r="B19" i="75"/>
  <c r="B17" i="71"/>
  <c r="B17" i="69"/>
  <c r="B17" i="68"/>
  <c r="Y203" i="81" s="1"/>
  <c r="Y243" i="81" s="1"/>
  <c r="Y251" i="81" s="1"/>
  <c r="Y259" i="81" s="1"/>
  <c r="Y267" i="81" s="1"/>
  <c r="Y275" i="81" s="1"/>
  <c r="B12" i="67"/>
  <c r="W120" i="81" s="1"/>
  <c r="W160" i="81" s="1"/>
  <c r="W168" i="81" s="1"/>
  <c r="W176" i="81" s="1"/>
  <c r="W184" i="81" s="1"/>
  <c r="W192" i="81" s="1"/>
  <c r="B7" i="66"/>
  <c r="B24" i="71"/>
  <c r="B20" i="76"/>
  <c r="B20" i="75"/>
  <c r="B18" i="71"/>
  <c r="B18" i="70"/>
  <c r="B18" i="69"/>
  <c r="B18" i="68"/>
  <c r="Y204" i="81" s="1"/>
  <c r="Y244" i="81" s="1"/>
  <c r="Y252" i="81" s="1"/>
  <c r="Y260" i="81" s="1"/>
  <c r="Y268" i="81" s="1"/>
  <c r="Y276" i="81" s="1"/>
  <c r="B13" i="67"/>
  <c r="B8" i="66"/>
  <c r="B6" i="65"/>
  <c r="B30" i="65"/>
  <c r="B26" i="77"/>
  <c r="B27" i="77"/>
  <c r="B13" i="66"/>
  <c r="B26" i="76"/>
  <c r="B12" i="65"/>
  <c r="W45" i="81" s="1"/>
  <c r="W70" i="81" s="1"/>
  <c r="W75" i="81" s="1"/>
  <c r="W80" i="81" s="1"/>
  <c r="W85" i="81" s="1"/>
  <c r="W90" i="81" s="1"/>
  <c r="B27" i="76"/>
  <c r="B13" i="65"/>
  <c r="B21" i="76"/>
  <c r="B19" i="71"/>
  <c r="B19" i="70"/>
  <c r="B19" i="69"/>
  <c r="B14" i="67"/>
  <c r="X117" i="81" s="1"/>
  <c r="B9" i="66"/>
  <c r="W92" i="81" s="1"/>
  <c r="B7" i="65"/>
  <c r="B31" i="65"/>
  <c r="B6" i="77"/>
  <c r="B24" i="77"/>
  <c r="B22" i="76"/>
  <c r="S20" i="75"/>
  <c r="B20" i="71"/>
  <c r="B20" i="70"/>
  <c r="B20" i="69"/>
  <c r="B15" i="67"/>
  <c r="Y121" i="81" s="1"/>
  <c r="Y161" i="81" s="1"/>
  <c r="Y169" i="81" s="1"/>
  <c r="Y177" i="81" s="1"/>
  <c r="Y185" i="81" s="1"/>
  <c r="Y193" i="81" s="1"/>
  <c r="B10" i="66"/>
  <c r="W93" i="81" s="1"/>
  <c r="B8" i="65"/>
  <c r="B32" i="65"/>
  <c r="B22" i="69"/>
  <c r="B7" i="77"/>
  <c r="B25" i="77"/>
  <c r="B21" i="75"/>
  <c r="B21" i="71"/>
  <c r="B21" i="70"/>
  <c r="B21" i="69"/>
  <c r="B16" i="67"/>
  <c r="Y122" i="81" s="1"/>
  <c r="Y162" i="81" s="1"/>
  <c r="Y170" i="81" s="1"/>
  <c r="Y178" i="81" s="1"/>
  <c r="Y186" i="81" s="1"/>
  <c r="Y194" i="81" s="1"/>
  <c r="B11" i="66"/>
  <c r="W94" i="81" s="1"/>
  <c r="B9" i="65"/>
  <c r="W42" i="81" s="1"/>
  <c r="W67" i="81" s="1"/>
  <c r="B33" i="65"/>
  <c r="B10" i="65"/>
  <c r="W43" i="81" s="1"/>
  <c r="W68" i="81" s="1"/>
  <c r="B35" i="65"/>
  <c r="Z16" i="58"/>
  <c r="Z17" i="58" s="1"/>
  <c r="Y18" i="58"/>
  <c r="AA19" i="58"/>
  <c r="AA16" i="58"/>
  <c r="AA17" i="58" s="1"/>
  <c r="Y19" i="58"/>
  <c r="L36" i="49" s="1"/>
  <c r="U61" i="48"/>
  <c r="U65" i="48" s="1"/>
  <c r="U69" i="48" s="1"/>
  <c r="U55" i="49"/>
  <c r="K22" i="49" l="1"/>
  <c r="K44" i="49"/>
  <c r="X205" i="81"/>
  <c r="X213" i="81" s="1"/>
  <c r="X221" i="81" s="1"/>
  <c r="X229" i="81" s="1"/>
  <c r="X237" i="81"/>
  <c r="X245" i="81" s="1"/>
  <c r="X253" i="81" s="1"/>
  <c r="X261" i="81" s="1"/>
  <c r="X269" i="81" s="1"/>
  <c r="X125" i="81"/>
  <c r="X133" i="81" s="1"/>
  <c r="X141" i="81" s="1"/>
  <c r="X149" i="81" s="1"/>
  <c r="X157" i="81"/>
  <c r="X165" i="81" s="1"/>
  <c r="X173" i="81" s="1"/>
  <c r="X181" i="81" s="1"/>
  <c r="X189" i="81" s="1"/>
  <c r="S261" i="81"/>
  <c r="S245" i="81"/>
  <c r="M269" i="81"/>
  <c r="K239" i="81"/>
  <c r="S253" i="81"/>
  <c r="M261" i="81"/>
  <c r="S237" i="81"/>
  <c r="M253" i="81"/>
  <c r="M237" i="81"/>
  <c r="M245" i="81"/>
  <c r="K240" i="81"/>
  <c r="S269" i="81"/>
  <c r="K247" i="81"/>
  <c r="K253" i="81"/>
  <c r="K254" i="81"/>
  <c r="K248" i="81"/>
  <c r="K238" i="81"/>
  <c r="K237" i="81"/>
  <c r="K245" i="81"/>
  <c r="K246" i="81"/>
  <c r="K262" i="81"/>
  <c r="K256" i="81"/>
  <c r="K261" i="81"/>
  <c r="K255" i="81"/>
  <c r="K263" i="81"/>
  <c r="K269" i="81"/>
  <c r="K264" i="81"/>
  <c r="K270" i="81"/>
  <c r="K271" i="81"/>
  <c r="K272" i="81"/>
  <c r="P261" i="81"/>
  <c r="P253" i="81"/>
  <c r="P237" i="81"/>
  <c r="P245" i="81"/>
  <c r="P269" i="81"/>
  <c r="O261" i="81"/>
  <c r="O253" i="81"/>
  <c r="O237" i="81"/>
  <c r="O245" i="81"/>
  <c r="O269" i="81"/>
  <c r="N269" i="81"/>
  <c r="N261" i="81"/>
  <c r="N253" i="81"/>
  <c r="N237" i="81"/>
  <c r="N245" i="81"/>
  <c r="Q261" i="81"/>
  <c r="Q253" i="81"/>
  <c r="Q237" i="81"/>
  <c r="Q245" i="81"/>
  <c r="Q269" i="81"/>
  <c r="M165" i="81"/>
  <c r="K157" i="81"/>
  <c r="L162" i="81" s="1"/>
  <c r="K159" i="81"/>
  <c r="K160" i="81"/>
  <c r="S189" i="81"/>
  <c r="S181" i="81"/>
  <c r="S157" i="81"/>
  <c r="K165" i="81"/>
  <c r="S173" i="81"/>
  <c r="M157" i="81"/>
  <c r="M189" i="81"/>
  <c r="S165" i="81"/>
  <c r="M181" i="81"/>
  <c r="M173" i="81"/>
  <c r="K166" i="81"/>
  <c r="K167" i="81"/>
  <c r="K168" i="81"/>
  <c r="K158" i="81"/>
  <c r="K176" i="81"/>
  <c r="K173" i="81"/>
  <c r="K175" i="81"/>
  <c r="K184" i="81"/>
  <c r="K181" i="81"/>
  <c r="K174" i="81"/>
  <c r="K192" i="81"/>
  <c r="K182" i="81"/>
  <c r="K189" i="81"/>
  <c r="K183" i="81"/>
  <c r="K191" i="81"/>
  <c r="K190" i="81"/>
  <c r="P181" i="81"/>
  <c r="P165" i="81"/>
  <c r="P189" i="81"/>
  <c r="P173" i="81"/>
  <c r="P157" i="81"/>
  <c r="O189" i="81"/>
  <c r="O165" i="81"/>
  <c r="O181" i="81"/>
  <c r="O173" i="81"/>
  <c r="O157" i="81"/>
  <c r="N189" i="81"/>
  <c r="N173" i="81"/>
  <c r="N165" i="81"/>
  <c r="N157" i="81"/>
  <c r="N181" i="81"/>
  <c r="Q189" i="81"/>
  <c r="Q181" i="81"/>
  <c r="Q173" i="81"/>
  <c r="Q157" i="81"/>
  <c r="Q165" i="81"/>
  <c r="X47" i="81"/>
  <c r="X52" i="81" s="1"/>
  <c r="X57" i="81" s="1"/>
  <c r="X62" i="81" s="1"/>
  <c r="X67" i="81"/>
  <c r="X72" i="81" s="1"/>
  <c r="X77" i="81" s="1"/>
  <c r="X82" i="81" s="1"/>
  <c r="X87" i="81" s="1"/>
  <c r="K89" i="81" s="1"/>
  <c r="K67" i="81"/>
  <c r="K68" i="81"/>
  <c r="W73" i="81"/>
  <c r="W72" i="81"/>
  <c r="S72" i="81"/>
  <c r="S77" i="81"/>
  <c r="M87" i="81"/>
  <c r="M72" i="81"/>
  <c r="S82" i="81"/>
  <c r="M77" i="81"/>
  <c r="S87" i="81"/>
  <c r="M82" i="81"/>
  <c r="S67" i="81"/>
  <c r="M67" i="81"/>
  <c r="P72" i="81"/>
  <c r="P77" i="81"/>
  <c r="P87" i="81"/>
  <c r="P82" i="81"/>
  <c r="P67" i="81"/>
  <c r="O72" i="81"/>
  <c r="O77" i="81"/>
  <c r="O87" i="81"/>
  <c r="O82" i="81"/>
  <c r="O67" i="81"/>
  <c r="N72" i="81"/>
  <c r="N82" i="81"/>
  <c r="N67" i="81"/>
  <c r="N77" i="81"/>
  <c r="N87" i="81"/>
  <c r="Q72" i="81"/>
  <c r="Q77" i="81"/>
  <c r="Q82" i="81"/>
  <c r="Q67" i="81"/>
  <c r="Q87" i="81"/>
  <c r="L41" i="81"/>
  <c r="K335" i="81"/>
  <c r="K347" i="81"/>
  <c r="N347" i="81"/>
  <c r="K348" i="81"/>
  <c r="U21" i="84"/>
  <c r="J17" i="84"/>
  <c r="U20" i="84"/>
  <c r="U19" i="84"/>
  <c r="J37" i="84"/>
  <c r="U41" i="84"/>
  <c r="W22" i="84"/>
  <c r="U53" i="84"/>
  <c r="U39" i="84"/>
  <c r="J51" i="84"/>
  <c r="U54" i="84"/>
  <c r="W55" i="84"/>
  <c r="J36" i="84"/>
  <c r="U40" i="84"/>
  <c r="W42" i="84"/>
  <c r="L32" i="81"/>
  <c r="L38" i="81"/>
  <c r="L35" i="81"/>
  <c r="K319" i="81"/>
  <c r="L320" i="81" s="1"/>
  <c r="W352" i="81"/>
  <c r="K352" i="81" s="1"/>
  <c r="L354" i="81" s="1"/>
  <c r="W205" i="81"/>
  <c r="K197" i="81"/>
  <c r="K92" i="81"/>
  <c r="W97" i="81"/>
  <c r="P333" i="81"/>
  <c r="S329" i="81"/>
  <c r="N331" i="81"/>
  <c r="O331" i="81"/>
  <c r="Q331" i="81"/>
  <c r="S331" i="81"/>
  <c r="Q333" i="81"/>
  <c r="O329" i="81"/>
  <c r="P329" i="81"/>
  <c r="P327" i="81"/>
  <c r="Q327" i="81"/>
  <c r="S327" i="81"/>
  <c r="S333" i="81"/>
  <c r="Q329" i="81"/>
  <c r="N329" i="81"/>
  <c r="O327" i="81"/>
  <c r="O333" i="81"/>
  <c r="N327" i="81"/>
  <c r="P331" i="81"/>
  <c r="N333" i="81"/>
  <c r="Y356" i="81"/>
  <c r="M141" i="81"/>
  <c r="N149" i="81"/>
  <c r="S125" i="81"/>
  <c r="M149" i="81"/>
  <c r="P141" i="81"/>
  <c r="S117" i="81"/>
  <c r="S133" i="81"/>
  <c r="Q141" i="81"/>
  <c r="P149" i="81"/>
  <c r="S141" i="81"/>
  <c r="Q149" i="81"/>
  <c r="S149" i="81"/>
  <c r="O149" i="81"/>
  <c r="M125" i="81"/>
  <c r="N125" i="81"/>
  <c r="M117" i="81"/>
  <c r="M133" i="81"/>
  <c r="P117" i="81"/>
  <c r="P125" i="81"/>
  <c r="O117" i="81"/>
  <c r="N117" i="81"/>
  <c r="O125" i="81"/>
  <c r="O141" i="81"/>
  <c r="Q133" i="81"/>
  <c r="Q117" i="81"/>
  <c r="N141" i="81"/>
  <c r="P133" i="81"/>
  <c r="O133" i="81"/>
  <c r="N133" i="81"/>
  <c r="Q125" i="81"/>
  <c r="K45" i="81"/>
  <c r="W50" i="81"/>
  <c r="K120" i="81"/>
  <c r="W128" i="81"/>
  <c r="W48" i="81"/>
  <c r="K43" i="81"/>
  <c r="K199" i="81"/>
  <c r="W207" i="81"/>
  <c r="W49" i="81"/>
  <c r="K44" i="81"/>
  <c r="M112" i="81"/>
  <c r="P112" i="81"/>
  <c r="M107" i="81"/>
  <c r="Q112" i="81"/>
  <c r="N107" i="81"/>
  <c r="O107" i="81"/>
  <c r="S112" i="81"/>
  <c r="P107" i="81"/>
  <c r="M102" i="81"/>
  <c r="Q107" i="81"/>
  <c r="S107" i="81"/>
  <c r="O102" i="81"/>
  <c r="P102" i="81"/>
  <c r="M97" i="81"/>
  <c r="Q102" i="81"/>
  <c r="S102" i="81"/>
  <c r="Q97" i="81"/>
  <c r="S97" i="81"/>
  <c r="M92" i="81"/>
  <c r="O92" i="81"/>
  <c r="Q92" i="81"/>
  <c r="S92" i="81"/>
  <c r="O112" i="81"/>
  <c r="O97" i="81"/>
  <c r="N97" i="81"/>
  <c r="N102" i="81"/>
  <c r="P92" i="81"/>
  <c r="N92" i="81"/>
  <c r="N112" i="81"/>
  <c r="P97" i="81"/>
  <c r="N352" i="81"/>
  <c r="N362" i="81"/>
  <c r="N357" i="81"/>
  <c r="K42" i="81"/>
  <c r="W47" i="81"/>
  <c r="K94" i="81"/>
  <c r="W99" i="81"/>
  <c r="Y131" i="81"/>
  <c r="Y130" i="81"/>
  <c r="Y340" i="81"/>
  <c r="W339" i="81"/>
  <c r="K336" i="81"/>
  <c r="Y210" i="81"/>
  <c r="Y355" i="81"/>
  <c r="Y209" i="81"/>
  <c r="K118" i="81"/>
  <c r="W126" i="81"/>
  <c r="K119" i="81"/>
  <c r="W127" i="81"/>
  <c r="M57" i="81"/>
  <c r="S62" i="81"/>
  <c r="P57" i="81"/>
  <c r="M52" i="81"/>
  <c r="Q57" i="81"/>
  <c r="N52" i="81"/>
  <c r="O52" i="81"/>
  <c r="S57" i="81"/>
  <c r="P52" i="81"/>
  <c r="M47" i="81"/>
  <c r="Q52" i="81"/>
  <c r="S52" i="81"/>
  <c r="Q47" i="81"/>
  <c r="S47" i="81"/>
  <c r="M42" i="81"/>
  <c r="O42" i="81"/>
  <c r="Q42" i="81"/>
  <c r="S42" i="81"/>
  <c r="M62" i="81"/>
  <c r="Q62" i="81"/>
  <c r="P62" i="81"/>
  <c r="P47" i="81"/>
  <c r="O62" i="81"/>
  <c r="N62" i="81"/>
  <c r="O47" i="81"/>
  <c r="N47" i="81"/>
  <c r="P42" i="81"/>
  <c r="O57" i="81"/>
  <c r="N42" i="81"/>
  <c r="N57" i="81"/>
  <c r="W329" i="81"/>
  <c r="K327" i="81"/>
  <c r="Y212" i="81"/>
  <c r="W338" i="81"/>
  <c r="Y51" i="81"/>
  <c r="K93" i="81"/>
  <c r="W98" i="81"/>
  <c r="K198" i="81"/>
  <c r="W206" i="81"/>
  <c r="Y129" i="81"/>
  <c r="Y132" i="81"/>
  <c r="K328" i="81"/>
  <c r="W330" i="81"/>
  <c r="K200" i="81"/>
  <c r="W208" i="81"/>
  <c r="Y101" i="81"/>
  <c r="W353" i="81"/>
  <c r="K353" i="81" s="1"/>
  <c r="Q338" i="81"/>
  <c r="Q352" i="81" s="1"/>
  <c r="Q335" i="81"/>
  <c r="Q347" i="81" s="1"/>
  <c r="S335" i="81"/>
  <c r="S347" i="81" s="1"/>
  <c r="S341" i="81"/>
  <c r="S357" i="81" s="1"/>
  <c r="S338" i="81"/>
  <c r="S352" i="81" s="1"/>
  <c r="Q344" i="81"/>
  <c r="Q362" i="81" s="1"/>
  <c r="S344" i="81"/>
  <c r="S362" i="81" s="1"/>
  <c r="Q341" i="81"/>
  <c r="Q357" i="81" s="1"/>
  <c r="M205" i="81"/>
  <c r="M197" i="81"/>
  <c r="O205" i="81"/>
  <c r="N197" i="81"/>
  <c r="P205" i="81"/>
  <c r="O197" i="81"/>
  <c r="Q205" i="81"/>
  <c r="M213" i="81"/>
  <c r="P197" i="81"/>
  <c r="N213" i="81"/>
  <c r="Q197" i="81"/>
  <c r="S205" i="81"/>
  <c r="O213" i="81"/>
  <c r="S197" i="81"/>
  <c r="Q213" i="81"/>
  <c r="M221" i="81"/>
  <c r="N221" i="81"/>
  <c r="S213" i="81"/>
  <c r="O221" i="81"/>
  <c r="S221" i="81"/>
  <c r="M229" i="81"/>
  <c r="N229" i="81"/>
  <c r="O229" i="81"/>
  <c r="Q229" i="81"/>
  <c r="S229" i="81"/>
  <c r="N205" i="81"/>
  <c r="P221" i="81"/>
  <c r="P213" i="81"/>
  <c r="P229" i="81"/>
  <c r="Q221" i="81"/>
  <c r="W100" i="81"/>
  <c r="K95" i="81"/>
  <c r="W125" i="81"/>
  <c r="K117" i="81"/>
  <c r="Y326" i="81"/>
  <c r="Y211" i="81"/>
  <c r="S319" i="81"/>
  <c r="N321" i="81"/>
  <c r="P325" i="81"/>
  <c r="M317" i="81"/>
  <c r="Q325" i="81"/>
  <c r="N317" i="81"/>
  <c r="P321" i="81"/>
  <c r="Q321" i="81"/>
  <c r="S325" i="81"/>
  <c r="O317" i="81"/>
  <c r="P317" i="81"/>
  <c r="Q317" i="81"/>
  <c r="S321" i="81"/>
  <c r="S317" i="81"/>
  <c r="M323" i="81"/>
  <c r="O323" i="81"/>
  <c r="Q323" i="81"/>
  <c r="M321" i="81"/>
  <c r="M319" i="81"/>
  <c r="O319" i="81"/>
  <c r="Q319" i="81"/>
  <c r="S323" i="81"/>
  <c r="M325" i="81"/>
  <c r="N325" i="81"/>
  <c r="O325" i="81"/>
  <c r="P319" i="81"/>
  <c r="O321" i="81"/>
  <c r="P323" i="81"/>
  <c r="N319" i="81"/>
  <c r="N323" i="81"/>
  <c r="K317" i="81"/>
  <c r="L318" i="81" s="1"/>
  <c r="Y354" i="81"/>
  <c r="X323" i="81"/>
  <c r="K321" i="81"/>
  <c r="L322" i="81" s="1"/>
  <c r="L35" i="49"/>
  <c r="U73" i="48"/>
  <c r="U76" i="48" s="1"/>
  <c r="U79" i="48" s="1"/>
  <c r="U82" i="48" s="1"/>
  <c r="U58" i="49"/>
  <c r="U61" i="49" s="1"/>
  <c r="U64" i="49" s="1"/>
  <c r="K23" i="49" l="1"/>
  <c r="K46" i="49" s="1"/>
  <c r="K45" i="49"/>
  <c r="L193" i="81"/>
  <c r="L242" i="81"/>
  <c r="L163" i="81"/>
  <c r="L172" i="81"/>
  <c r="L274" i="81"/>
  <c r="L267" i="81"/>
  <c r="L249" i="81"/>
  <c r="L260" i="81"/>
  <c r="L276" i="81"/>
  <c r="L273" i="81"/>
  <c r="L268" i="81"/>
  <c r="L266" i="81"/>
  <c r="L250" i="81"/>
  <c r="L243" i="81"/>
  <c r="L241" i="81"/>
  <c r="L252" i="81"/>
  <c r="L251" i="81"/>
  <c r="L259" i="81"/>
  <c r="L257" i="81"/>
  <c r="L258" i="81"/>
  <c r="L169" i="81"/>
  <c r="L275" i="81"/>
  <c r="L244" i="81"/>
  <c r="L187" i="81"/>
  <c r="L265" i="81"/>
  <c r="L164" i="81"/>
  <c r="L179" i="81"/>
  <c r="K90" i="81"/>
  <c r="K85" i="81"/>
  <c r="K70" i="81"/>
  <c r="K74" i="81"/>
  <c r="L171" i="81"/>
  <c r="L170" i="81"/>
  <c r="L186" i="81"/>
  <c r="L194" i="81"/>
  <c r="L161" i="81"/>
  <c r="L196" i="81"/>
  <c r="L188" i="81"/>
  <c r="L195" i="81"/>
  <c r="L185" i="81"/>
  <c r="K84" i="81"/>
  <c r="K75" i="81"/>
  <c r="L180" i="81"/>
  <c r="K69" i="81"/>
  <c r="L71" i="81" s="1"/>
  <c r="L177" i="81"/>
  <c r="K79" i="81"/>
  <c r="L178" i="81"/>
  <c r="K80" i="81"/>
  <c r="W77" i="81"/>
  <c r="K72" i="81"/>
  <c r="W78" i="81"/>
  <c r="K73" i="81"/>
  <c r="L349" i="81"/>
  <c r="W46" i="84"/>
  <c r="J40" i="84"/>
  <c r="U44" i="84"/>
  <c r="J44" i="84" s="1"/>
  <c r="W58" i="84"/>
  <c r="U57" i="84"/>
  <c r="J57" i="84" s="1"/>
  <c r="J54" i="84"/>
  <c r="U43" i="84"/>
  <c r="U56" i="84"/>
  <c r="W26" i="84"/>
  <c r="J41" i="84"/>
  <c r="U45" i="84"/>
  <c r="J45" i="84" s="1"/>
  <c r="U23" i="84"/>
  <c r="U24" i="84"/>
  <c r="J21" i="84"/>
  <c r="U25" i="84"/>
  <c r="L46" i="81"/>
  <c r="L96" i="81"/>
  <c r="L337" i="81"/>
  <c r="P335" i="81" s="1"/>
  <c r="L123" i="81"/>
  <c r="L202" i="81"/>
  <c r="Y361" i="81"/>
  <c r="K47" i="81"/>
  <c r="W52" i="81"/>
  <c r="Y359" i="81"/>
  <c r="L204" i="81"/>
  <c r="Y220" i="81"/>
  <c r="K338" i="81"/>
  <c r="W341" i="81"/>
  <c r="W331" i="81"/>
  <c r="K329" i="81"/>
  <c r="L203" i="81"/>
  <c r="X325" i="81"/>
  <c r="K325" i="81" s="1"/>
  <c r="L326" i="81" s="1"/>
  <c r="K323" i="81"/>
  <c r="L324" i="81" s="1"/>
  <c r="Y219" i="81"/>
  <c r="K127" i="81"/>
  <c r="W135" i="81"/>
  <c r="K126" i="81"/>
  <c r="W134" i="81"/>
  <c r="W358" i="81"/>
  <c r="K358" i="81" s="1"/>
  <c r="Y217" i="81"/>
  <c r="Y106" i="81"/>
  <c r="L201" i="81"/>
  <c r="K208" i="81"/>
  <c r="W216" i="81"/>
  <c r="Y360" i="81"/>
  <c r="Y218" i="81"/>
  <c r="K100" i="81"/>
  <c r="W105" i="81"/>
  <c r="W133" i="81"/>
  <c r="K125" i="81"/>
  <c r="K330" i="81"/>
  <c r="W332" i="81"/>
  <c r="W54" i="81"/>
  <c r="K49" i="81"/>
  <c r="Y140" i="81"/>
  <c r="K207" i="81"/>
  <c r="W215" i="81"/>
  <c r="W342" i="81"/>
  <c r="K339" i="81"/>
  <c r="Y137" i="81"/>
  <c r="L121" i="81"/>
  <c r="Y343" i="81"/>
  <c r="W53" i="81"/>
  <c r="K48" i="81"/>
  <c r="L124" i="81"/>
  <c r="K206" i="81"/>
  <c r="W214" i="81"/>
  <c r="Y138" i="81"/>
  <c r="K128" i="81"/>
  <c r="W136" i="81"/>
  <c r="K97" i="81"/>
  <c r="W102" i="81"/>
  <c r="L122" i="81"/>
  <c r="W103" i="81"/>
  <c r="K98" i="81"/>
  <c r="Y139" i="81"/>
  <c r="W55" i="81"/>
  <c r="K50" i="81"/>
  <c r="K205" i="81"/>
  <c r="W213" i="81"/>
  <c r="W104" i="81"/>
  <c r="K99" i="81"/>
  <c r="Y56" i="81"/>
  <c r="W357" i="81"/>
  <c r="K357" i="81" s="1"/>
  <c r="L76" i="81" l="1"/>
  <c r="K78" i="81"/>
  <c r="W83" i="81"/>
  <c r="W82" i="81"/>
  <c r="K77" i="81"/>
  <c r="L81" i="81" s="1"/>
  <c r="T347" i="81"/>
  <c r="O335" i="81"/>
  <c r="J25" i="84"/>
  <c r="U29" i="84"/>
  <c r="J29" i="84" s="1"/>
  <c r="J24" i="84"/>
  <c r="U28" i="84"/>
  <c r="J28" i="84" s="1"/>
  <c r="U27" i="84"/>
  <c r="W30" i="84"/>
  <c r="N335" i="81"/>
  <c r="L340" i="81"/>
  <c r="L131" i="81"/>
  <c r="L132" i="81"/>
  <c r="L101" i="81"/>
  <c r="L51" i="81"/>
  <c r="L130" i="81"/>
  <c r="L212" i="81"/>
  <c r="L209" i="81"/>
  <c r="W362" i="81"/>
  <c r="K362" i="81" s="1"/>
  <c r="Y145" i="81"/>
  <c r="L129" i="81"/>
  <c r="K134" i="81"/>
  <c r="W142" i="81"/>
  <c r="W363" i="81"/>
  <c r="Y61" i="81"/>
  <c r="W345" i="81"/>
  <c r="K345" i="81" s="1"/>
  <c r="K342" i="81"/>
  <c r="K135" i="81"/>
  <c r="W143" i="81"/>
  <c r="W109" i="81"/>
  <c r="K104" i="81"/>
  <c r="K215" i="81"/>
  <c r="W223" i="81"/>
  <c r="K213" i="81"/>
  <c r="W221" i="81"/>
  <c r="Y227" i="81"/>
  <c r="Y148" i="81"/>
  <c r="L211" i="81"/>
  <c r="W59" i="81"/>
  <c r="K54" i="81"/>
  <c r="W334" i="81"/>
  <c r="K334" i="81" s="1"/>
  <c r="K332" i="81"/>
  <c r="W108" i="81"/>
  <c r="K103" i="81"/>
  <c r="K331" i="81"/>
  <c r="W333" i="81"/>
  <c r="K333" i="81" s="1"/>
  <c r="W141" i="81"/>
  <c r="K133" i="81"/>
  <c r="K341" i="81"/>
  <c r="W344" i="81"/>
  <c r="K344" i="81" s="1"/>
  <c r="W110" i="81"/>
  <c r="K105" i="81"/>
  <c r="Y228" i="81"/>
  <c r="L210" i="81"/>
  <c r="Y226" i="81"/>
  <c r="K136" i="81"/>
  <c r="W144" i="81"/>
  <c r="Y146" i="81"/>
  <c r="Y365" i="81"/>
  <c r="K102" i="81"/>
  <c r="W107" i="81"/>
  <c r="K214" i="81"/>
  <c r="W222" i="81"/>
  <c r="W224" i="81"/>
  <c r="K216" i="81"/>
  <c r="Y364" i="81"/>
  <c r="Y147" i="81"/>
  <c r="K52" i="81"/>
  <c r="W57" i="81"/>
  <c r="W60" i="81"/>
  <c r="K55" i="81"/>
  <c r="W58" i="81"/>
  <c r="K53" i="81"/>
  <c r="Y111" i="81"/>
  <c r="Y346" i="81"/>
  <c r="Y225" i="81"/>
  <c r="Y366" i="81"/>
  <c r="K82" i="81" l="1"/>
  <c r="W87" i="81"/>
  <c r="K87" i="81" s="1"/>
  <c r="K83" i="81"/>
  <c r="W88" i="81"/>
  <c r="K88" i="81" s="1"/>
  <c r="K363" i="81"/>
  <c r="L359" i="81"/>
  <c r="L364" i="81"/>
  <c r="T352" i="81"/>
  <c r="N338" i="81"/>
  <c r="P338" i="81"/>
  <c r="O338" i="81"/>
  <c r="L343" i="81"/>
  <c r="L220" i="81"/>
  <c r="L139" i="81"/>
  <c r="L138" i="81"/>
  <c r="L219" i="81"/>
  <c r="L106" i="81"/>
  <c r="L218" i="81"/>
  <c r="L346" i="81"/>
  <c r="L56" i="81"/>
  <c r="L137" i="81"/>
  <c r="W232" i="81"/>
  <c r="K232" i="81" s="1"/>
  <c r="K224" i="81"/>
  <c r="L140" i="81"/>
  <c r="W64" i="81"/>
  <c r="K64" i="81" s="1"/>
  <c r="K59" i="81"/>
  <c r="Y156" i="81"/>
  <c r="Y235" i="81"/>
  <c r="K107" i="81"/>
  <c r="W112" i="81"/>
  <c r="K112" i="81" s="1"/>
  <c r="Y154" i="81"/>
  <c r="K221" i="81"/>
  <c r="W229" i="81"/>
  <c r="K229" i="81" s="1"/>
  <c r="K222" i="81"/>
  <c r="W230" i="81"/>
  <c r="K230" i="81" s="1"/>
  <c r="L217" i="81"/>
  <c r="Y233" i="81"/>
  <c r="K144" i="81"/>
  <c r="W152" i="81"/>
  <c r="K152" i="81" s="1"/>
  <c r="W231" i="81"/>
  <c r="K231" i="81" s="1"/>
  <c r="K223" i="81"/>
  <c r="Y234" i="81"/>
  <c r="W114" i="81"/>
  <c r="K114" i="81" s="1"/>
  <c r="K109" i="81"/>
  <c r="Y116" i="81"/>
  <c r="K143" i="81"/>
  <c r="W151" i="81"/>
  <c r="K151" i="81" s="1"/>
  <c r="W63" i="81"/>
  <c r="K63" i="81" s="1"/>
  <c r="K58" i="81"/>
  <c r="Y66" i="81"/>
  <c r="Y236" i="81"/>
  <c r="W65" i="81"/>
  <c r="K65" i="81" s="1"/>
  <c r="K60" i="81"/>
  <c r="W62" i="81"/>
  <c r="K62" i="81" s="1"/>
  <c r="K57" i="81"/>
  <c r="W115" i="81"/>
  <c r="K115" i="81" s="1"/>
  <c r="K110" i="81"/>
  <c r="Y155" i="81"/>
  <c r="W149" i="81"/>
  <c r="K149" i="81" s="1"/>
  <c r="K141" i="81"/>
  <c r="K142" i="81"/>
  <c r="W150" i="81"/>
  <c r="K150" i="81" s="1"/>
  <c r="Y153" i="81"/>
  <c r="W113" i="81"/>
  <c r="K113" i="81" s="1"/>
  <c r="K108" i="81"/>
  <c r="L91" i="81" l="1"/>
  <c r="L86" i="81"/>
  <c r="T362" i="81"/>
  <c r="T357" i="81"/>
  <c r="P344" i="81"/>
  <c r="O344" i="81"/>
  <c r="N344" i="81"/>
  <c r="N341" i="81"/>
  <c r="P341" i="81"/>
  <c r="O341" i="81"/>
  <c r="L227" i="81"/>
  <c r="L145" i="81"/>
  <c r="L147" i="81"/>
  <c r="L226" i="81"/>
  <c r="L111" i="81"/>
  <c r="L233" i="81"/>
  <c r="L148" i="81"/>
  <c r="L61" i="81"/>
  <c r="L234" i="81"/>
  <c r="L153" i="81"/>
  <c r="L225" i="81"/>
  <c r="L155" i="81"/>
  <c r="L154" i="81"/>
  <c r="L146" i="81"/>
  <c r="L228" i="81"/>
  <c r="L235" i="81"/>
  <c r="L236" i="81"/>
  <c r="L66" i="81"/>
  <c r="L156" i="81"/>
  <c r="L116" i="81"/>
  <c r="R305" i="81"/>
  <c r="R323" i="81"/>
  <c r="R141" i="81"/>
  <c r="R125" i="81"/>
  <c r="R362" i="81"/>
  <c r="R107" i="81"/>
  <c r="R205" i="81"/>
  <c r="R325" i="81"/>
  <c r="R321" i="81" l="1"/>
  <c r="R112" i="81"/>
  <c r="R62" i="81"/>
  <c r="R338" i="81"/>
  <c r="R333" i="81"/>
  <c r="R149" i="81"/>
  <c r="R335" i="81"/>
  <c r="R42" i="81"/>
  <c r="R197" i="81"/>
  <c r="R293" i="81"/>
  <c r="R213" i="81"/>
  <c r="R97" i="81"/>
  <c r="R133" i="81"/>
  <c r="R285" i="81"/>
  <c r="R309" i="81"/>
  <c r="R329" i="81"/>
  <c r="R341" i="81"/>
  <c r="R301" i="81"/>
  <c r="R344" i="81"/>
  <c r="R281" i="81"/>
  <c r="R352" i="81"/>
  <c r="R52" i="81"/>
  <c r="R289" i="81"/>
  <c r="R229" i="81"/>
  <c r="R297" i="81"/>
  <c r="R57" i="81"/>
  <c r="R313" i="81"/>
  <c r="R221" i="81"/>
  <c r="R117" i="81"/>
  <c r="R319" i="81"/>
  <c r="R92" i="81"/>
  <c r="R327" i="81"/>
  <c r="R357" i="81"/>
  <c r="R347" i="81"/>
  <c r="R277" i="81"/>
  <c r="R317" i="81"/>
  <c r="R331" i="81"/>
  <c r="R102" i="81"/>
  <c r="R47" i="81"/>
  <c r="O357" i="81"/>
  <c r="O352" i="81"/>
  <c r="O362" i="81"/>
  <c r="O347" i="81"/>
  <c r="P347" i="81"/>
  <c r="F23" i="77"/>
  <c r="P352" i="81" l="1"/>
  <c r="G23" i="77"/>
  <c r="P357" i="81" l="1"/>
  <c r="H23" i="77"/>
  <c r="G68" i="77"/>
  <c r="P362" i="8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R10" authorId="0"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7" authorId="0" shapeId="0" xr:uid="{CFB478CC-0155-4191-9B93-92C704F105C8}">
      <text>
        <r>
          <rPr>
            <sz val="8"/>
            <color indexed="81"/>
            <rFont val="Tahoma"/>
            <family val="2"/>
          </rPr>
          <t>Comm-OUT-A 
indicates an auxillary output, thus not consider with respect the efficiency</t>
        </r>
      </text>
    </comment>
    <comment ref="G135" authorId="0" shapeId="0" xr:uid="{80F4C2C7-5C9B-4A37-AC17-763A8604F205}">
      <text>
        <r>
          <rPr>
            <sz val="8"/>
            <color indexed="81"/>
            <rFont val="Tahoma"/>
            <family val="2"/>
          </rPr>
          <t>Comm-OUT-A 
indicates an auxillary output, thus not consider with respect the efficiency</t>
        </r>
      </text>
    </comment>
    <comment ref="D179" authorId="0" shapeId="0" xr:uid="{FBFF9F64-8EFE-4116-894F-639C1DFAB8E2}">
      <text>
        <r>
          <rPr>
            <sz val="8"/>
            <color indexed="81"/>
            <rFont val="Tahoma"/>
            <family val="2"/>
          </rPr>
          <t>Comm-IN-A 
indicates an auxillary input, thus not consider with respect the efficiency</t>
        </r>
      </text>
    </comment>
    <comment ref="F179" authorId="0" shapeId="0" xr:uid="{31F6E70D-973C-4F0B-B61B-543C45AE9919}">
      <text>
        <r>
          <rPr>
            <sz val="8"/>
            <color indexed="81"/>
            <rFont val="Tahoma"/>
            <family val="2"/>
          </rPr>
          <t>Comm-OUT-A 
indicates an auxillary input, thus not consider with respect the efficiency</t>
        </r>
      </text>
    </comment>
    <comment ref="T179" authorId="0" shapeId="0" xr:uid="{728592F5-3682-47CA-88E9-41BF98D1517D}">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214" authorId="0" shapeId="0" xr:uid="{42639B11-6EA5-4DA4-B7E9-2346D63C5E55}">
      <text>
        <r>
          <rPr>
            <sz val="8"/>
            <color indexed="81"/>
            <rFont val="Tahoma"/>
            <family val="2"/>
          </rPr>
          <t>Comm-IN-A 
indicates an auxillary input, thus not consider with respect the efficiency</t>
        </r>
      </text>
    </comment>
    <comment ref="F214" authorId="0" shapeId="0" xr:uid="{A0E0163A-1A5F-4796-82DD-64173E715577}">
      <text>
        <r>
          <rPr>
            <sz val="8"/>
            <color indexed="81"/>
            <rFont val="Tahoma"/>
            <family val="2"/>
          </rPr>
          <t>Comm-OUT-A 
indicates an auxillary input, thus not consider with respect the efficiency</t>
        </r>
      </text>
    </comment>
    <comment ref="S214" authorId="0" shapeId="0" xr:uid="{07344189-D3DA-4620-9C7C-5128ED7D4765}">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9"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347"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347"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347"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352"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352"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357"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357"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362"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362"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U7" authorId="1" shapeId="0" xr:uid="{2B769C81-A0D8-4CFE-8152-B784EB407B82}">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<sst xmlns="http://schemas.openxmlformats.org/spreadsheetml/2006/main" count="6171" uniqueCount="1777">
  <si>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</si>
  <si>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</si>
  <si>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</si>
  <si>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</si>
  <si>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</si>
  <si>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</si>
  <si>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</si>
  <si>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</si>
  <si>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</si>
  <si>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</si>
  <si>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</si>
  <si>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</si>
  <si>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</si>
  <si>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</si>
  <si>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</si>
  <si>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</si>
  <si>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</si>
  <si>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</si>
  <si>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</si>
  <si>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</si>
  <si>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</si>
  <si>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</si>
  <si>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</si>
  <si>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</si>
  <si>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</si>
  <si>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</si>
  <si>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</si>
  <si>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</si>
  <si>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</si>
  <si>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</si>
  <si>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</si>
  <si>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</si>
  <si>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</si>
  <si>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</si>
  <si>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</si>
  <si>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</si>
  <si>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</si>
  <si>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</si>
  <si>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</si>
  <si>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</si>
  <si>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</si>
  <si>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</si>
  <si>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</si>
  <si>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</si>
  <si>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</si>
  <si>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</si>
  <si>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</si>
  <si>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</si>
  <si>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</si>
  <si>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</si>
  <si>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</si>
  <si>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</si>
  <si>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</si>
  <si>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</si>
  <si>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</si>
  <si>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</si>
  <si>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</si>
  <si>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</si>
  <si>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</si>
  <si>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</si>
  <si>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</si>
  <si>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</si>
  <si>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</si>
  <si>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</si>
  <si>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</si>
  <si>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</si>
  <si>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</si>
  <si>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</si>
  <si>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</si>
  <si>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</si>
  <si>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</si>
  <si>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</si>
  <si>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</si>
  <si>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</si>
  <si>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</si>
  <si>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</si>
  <si>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</si>
  <si>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</si>
  <si>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</si>
  <si>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</si>
  <si>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</si>
  <si>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</si>
  <si>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https://task39.sites.olt.ubc.ca/files/2013/05/Marine-biofuel-report-final-Oct-2017.pdf</t>
  </si>
  <si>
    <t>SUPSTR</t>
  </si>
  <si>
    <t>ELCC</t>
  </si>
  <si>
    <t>GSB2</t>
  </si>
  <si>
    <t>DSB2</t>
  </si>
  <si>
    <t>kt biochar</t>
  </si>
  <si>
    <t>SNG2</t>
  </si>
  <si>
    <t>kt carbon</t>
  </si>
  <si>
    <t>kt CO2 Sink with 60 % storage efficiency</t>
  </si>
  <si>
    <t>kt CO2 "input"</t>
  </si>
  <si>
    <t>Planned outage (weeks per year)</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</si>
  <si>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</si>
  <si>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</si>
  <si>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</si>
  <si>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</si>
  <si>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</si>
  <si>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</si>
  <si>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 xml:space="preserve">Biodiesel Output, MWH/MWh </t>
  </si>
  <si>
    <t>Glycerine  Output, MWH/MWh Total Input</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</si>
  <si>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</si>
  <si>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</si>
  <si>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</si>
  <si>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</si>
  <si>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</si>
  <si>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</si>
  <si>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</si>
  <si>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</si>
  <si>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</si>
  <si>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HVO Jet Output, GJ/GJ Total Input</t>
  </si>
  <si>
    <t>Fast Pyrolysis Bio Oil</t>
  </si>
  <si>
    <t>Feedstock Consumption, MWh/MWh Total Input</t>
  </si>
  <si>
    <t>Ethanol Output, MWh/MWh Total Input</t>
  </si>
  <si>
    <t>Electiricity Output, MWh/MWh Total Input</t>
  </si>
  <si>
    <t>Bio Oil Output, MWh/MWh Total Input</t>
  </si>
  <si>
    <t>Gasoline fraction, MWh/MWh Total Input</t>
  </si>
  <si>
    <t>Diesel fraction, MWh/MWh Total Input</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</si>
  <si>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</si>
  <si>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</si>
  <si>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</si>
  <si>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</si>
  <si>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</si>
  <si>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</si>
  <si>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</si>
  <si>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</si>
  <si>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</si>
  <si>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</si>
  <si>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</si>
  <si>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</si>
  <si>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</si>
  <si>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</si>
  <si>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</si>
  <si>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</si>
  <si>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</si>
  <si>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</si>
  <si>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</si>
  <si>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</si>
  <si>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</si>
  <si>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</si>
  <si>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</si>
  <si>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</si>
  <si>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</si>
  <si>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</si>
  <si>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</si>
  <si>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</si>
  <si>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</si>
  <si>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</si>
  <si>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</si>
  <si>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</si>
  <si>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</si>
  <si>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</si>
  <si>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</si>
  <si>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</si>
  <si>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</si>
  <si>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</si>
  <si>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</si>
  <si>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</si>
  <si>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</si>
  <si>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</si>
  <si>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</si>
  <si>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</si>
  <si>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</si>
  <si>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</si>
  <si>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</si>
  <si>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</si>
  <si>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</si>
  <si>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</si>
  <si>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</si>
  <si>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</si>
  <si>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</si>
  <si>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</si>
  <si>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</si>
  <si>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</si>
  <si>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</si>
  <si>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</si>
  <si>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</si>
  <si>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</si>
  <si>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</si>
  <si>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</si>
  <si>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</si>
  <si>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</si>
  <si>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</si>
  <si>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</si>
  <si>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</si>
  <si>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</si>
  <si>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</si>
  <si>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</si>
  <si>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</si>
  <si>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</si>
  <si>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</si>
  <si>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</si>
  <si>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</si>
  <si>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</si>
  <si>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</si>
  <si>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</si>
  <si>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</si>
  <si>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</si>
  <si>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</si>
  <si>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</si>
  <si>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</si>
  <si>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</si>
  <si>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</si>
  <si>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</si>
  <si>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</si>
  <si>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</si>
  <si>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</si>
  <si>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</si>
  <si>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</si>
  <si>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</si>
  <si>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</si>
  <si>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</si>
  <si>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</si>
  <si>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</si>
  <si>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</si>
  <si>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</si>
  <si>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</si>
  <si>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</si>
  <si>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</si>
  <si>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</si>
  <si>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</si>
  <si>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</si>
  <si>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</si>
  <si>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</si>
  <si>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</si>
  <si>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</si>
  <si>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</si>
  <si>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</si>
  <si>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</si>
  <si>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</si>
  <si>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</si>
  <si>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</si>
  <si>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</si>
  <si>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</si>
  <si>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</si>
  <si>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</si>
  <si>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</si>
  <si>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</si>
  <si>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</si>
  <si>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</si>
  <si>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</si>
  <si>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</si>
  <si>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</si>
  <si>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</si>
  <si>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</si>
  <si>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</si>
  <si>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</si>
  <si>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</si>
  <si>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</si>
  <si>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</si>
  <si>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</si>
  <si>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</si>
  <si>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</si>
  <si>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</si>
  <si>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</si>
  <si>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</si>
  <si>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</si>
  <si>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</si>
  <si>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</si>
  <si>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</si>
  <si>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</si>
  <si>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</si>
  <si>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</si>
  <si>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</si>
  <si>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</si>
  <si>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</si>
  <si>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</si>
  <si>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</si>
  <si>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</si>
  <si>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</si>
  <si>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</si>
  <si>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</si>
  <si>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</si>
  <si>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</si>
  <si>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</si>
  <si>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</si>
  <si>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</si>
  <si>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</si>
  <si>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</si>
  <si>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</si>
  <si>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</si>
  <si>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</si>
  <si>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</si>
  <si>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</si>
  <si>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</si>
  <si>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</si>
  <si>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</si>
  <si>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</si>
  <si>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</si>
  <si>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</si>
  <si>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</si>
  <si>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</si>
  <si>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</si>
  <si>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</si>
  <si>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</si>
  <si>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</si>
  <si>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</si>
  <si>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</si>
  <si>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</si>
  <si>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</si>
  <si>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</si>
  <si>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</si>
  <si>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</si>
  <si>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</si>
  <si>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</si>
  <si>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</si>
  <si>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</si>
  <si>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</si>
  <si>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</si>
  <si>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</si>
  <si>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</si>
  <si>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</si>
  <si>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</si>
  <si>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</si>
  <si>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</si>
  <si>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</si>
  <si>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</si>
  <si>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</si>
  <si>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</si>
  <si>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</si>
  <si>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</si>
  <si>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</si>
  <si>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</si>
  <si>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</si>
  <si>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</si>
  <si>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</si>
  <si>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</si>
  <si>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NCAP_ILED</t>
  </si>
  <si>
    <t xml:space="preserve">PJ out/PJ in </t>
  </si>
  <si>
    <t>PJ/PJ out</t>
  </si>
  <si>
    <t>Factor</t>
  </si>
  <si>
    <t>MEUR</t>
  </si>
  <si>
    <t>MEUR/PJ</t>
  </si>
  <si>
    <t>MWe</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</si>
  <si>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</si>
  <si>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</si>
  <si>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</si>
  <si>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</si>
  <si>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</si>
  <si>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</si>
  <si>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</si>
  <si>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</si>
  <si>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</si>
  <si>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</si>
  <si>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</si>
  <si>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</si>
  <si>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</si>
  <si>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</si>
  <si>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</si>
  <si>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</si>
  <si>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</si>
  <si>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</si>
  <si>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</si>
  <si>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</si>
  <si>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</si>
  <si>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</si>
  <si>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</si>
  <si>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</si>
  <si>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</si>
  <si>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</si>
  <si>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</si>
  <si>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</si>
  <si>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</si>
  <si>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</si>
  <si>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</si>
  <si>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</si>
  <si>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</si>
  <si>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</si>
  <si>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</si>
  <si>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PEM Electrolyzer Cell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</si>
  <si>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</si>
  <si>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</si>
  <si>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</si>
  <si>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</si>
  <si>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</si>
  <si>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</si>
  <si>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</si>
  <si>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</si>
  <si>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</si>
  <si>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</si>
  <si>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</si>
  <si>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</si>
  <si>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</si>
  <si>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</si>
  <si>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</si>
  <si>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</si>
  <si>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</si>
  <si>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</si>
  <si>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</si>
  <si>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</si>
  <si>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</si>
  <si>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</si>
  <si>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</si>
  <si>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</si>
  <si>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</si>
  <si>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</si>
  <si>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</si>
  <si>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</si>
  <si>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</si>
  <si>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</si>
  <si>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</si>
  <si>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</si>
  <si>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</si>
  <si>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</si>
  <si>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</si>
  <si>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</si>
  <si>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</si>
  <si>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</si>
  <si>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</si>
  <si>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</si>
  <si>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</si>
  <si>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</si>
  <si>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</si>
  <si>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</si>
  <si>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</si>
  <si>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</si>
  <si>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</si>
  <si>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</si>
  <si>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</si>
  <si>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</si>
  <si>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</si>
  <si>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From technology catalogue, it is the estimated share of the individual fuels</t>
  </si>
  <si>
    <t>https://ens.dk/sites/ens.dk/files/Analyser/technology_data_for_for_renewable_fuels_-_march_2018.pdf</t>
  </si>
  <si>
    <t>Mkr/PJ</t>
  </si>
  <si>
    <t>LHV</t>
  </si>
  <si>
    <t>Input share t</t>
  </si>
  <si>
    <t>GJ/t</t>
  </si>
  <si>
    <t>% af produktion</t>
  </si>
  <si>
    <t>t input</t>
  </si>
  <si>
    <t>Biogas plant - Mono digestion pig slurry</t>
  </si>
  <si>
    <t>SUPMNR</t>
  </si>
  <si>
    <t>BGA</t>
  </si>
  <si>
    <t>Slurry</t>
  </si>
  <si>
    <t>SUPDLI</t>
  </si>
  <si>
    <t>Deep litter</t>
  </si>
  <si>
    <t>SUPWST</t>
  </si>
  <si>
    <t>Manure, stable</t>
  </si>
  <si>
    <t>Straw</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</si>
  <si>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</si>
  <si>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</si>
  <si>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</si>
  <si>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</si>
  <si>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</si>
  <si>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</si>
  <si>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</si>
  <si>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</si>
  <si>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</si>
  <si>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</si>
  <si>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</si>
  <si>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</si>
  <si>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</si>
  <si>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</si>
  <si>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</si>
  <si>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</si>
  <si>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</si>
  <si>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</si>
  <si>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</si>
  <si>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</si>
  <si>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</si>
  <si>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</si>
  <si>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</si>
  <si>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</si>
  <si>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</si>
  <si>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</si>
  <si>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</si>
  <si>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</si>
  <si>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</si>
  <si>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</si>
  <si>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</si>
  <si>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</si>
  <si>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</si>
  <si>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</si>
  <si>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</si>
  <si>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</si>
  <si>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</si>
  <si>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</si>
  <si>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</si>
  <si>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</si>
  <si>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</si>
  <si>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</si>
  <si>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</si>
  <si>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</si>
  <si>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</si>
  <si>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</si>
  <si>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</si>
  <si>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</si>
  <si>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</si>
  <si>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</si>
  <si>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</si>
  <si>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</si>
  <si>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</si>
  <si>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</si>
  <si>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</si>
  <si>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</si>
  <si>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</si>
  <si>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</si>
  <si>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</si>
  <si>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</si>
  <si>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</si>
  <si>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</si>
  <si>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</si>
  <si>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</si>
  <si>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</si>
  <si>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</si>
  <si>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</si>
  <si>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</si>
  <si>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</si>
  <si>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</si>
  <si>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</si>
  <si>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</si>
  <si>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</si>
  <si>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</si>
  <si>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</si>
  <si>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</si>
  <si>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</si>
  <si>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</si>
  <si>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</si>
  <si>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</si>
  <si>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</si>
  <si>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</si>
  <si>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</si>
  <si>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</si>
  <si>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</si>
  <si>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</si>
  <si>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</si>
  <si>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</si>
  <si>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</si>
  <si>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</si>
  <si>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</si>
  <si>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</si>
  <si>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</si>
  <si>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</si>
  <si>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</si>
  <si>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</si>
  <si>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</si>
  <si>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</si>
  <si>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</si>
  <si>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</si>
  <si>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</si>
  <si>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</si>
  <si>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</si>
  <si>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</si>
  <si>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</si>
  <si>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</si>
  <si>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</si>
  <si>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</si>
  <si>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</si>
  <si>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</si>
  <si>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</si>
  <si>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</si>
  <si>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</si>
  <si>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</si>
  <si>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</si>
  <si>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</si>
  <si>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</si>
  <si>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</si>
  <si>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</si>
  <si>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</si>
  <si>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</si>
  <si>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</si>
  <si>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</si>
  <si>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</si>
  <si>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</si>
  <si>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</si>
  <si>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</si>
  <si>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</si>
  <si>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</si>
  <si>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</si>
  <si>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</si>
  <si>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</si>
  <si>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</si>
  <si>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</si>
  <si>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</si>
  <si>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</si>
  <si>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</si>
  <si>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</si>
  <si>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</si>
  <si>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</si>
  <si>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</si>
  <si>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</si>
  <si>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</si>
  <si>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</si>
  <si>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</si>
  <si>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</si>
  <si>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</si>
  <si>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</si>
  <si>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</si>
  <si>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</si>
  <si>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</si>
  <si>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</si>
  <si>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</si>
  <si>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</si>
  <si>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</si>
  <si>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</si>
  <si>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</si>
  <si>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</si>
  <si>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</si>
  <si>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</si>
  <si>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</si>
  <si>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</si>
  <si>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</si>
  <si>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</si>
  <si>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</si>
  <si>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</si>
  <si>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</si>
  <si>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</si>
  <si>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</si>
  <si>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</si>
  <si>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</si>
  <si>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</si>
  <si>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</si>
  <si>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</si>
  <si>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</si>
  <si>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</si>
  <si>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</si>
  <si>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</si>
  <si>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</si>
  <si>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</si>
  <si>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</si>
  <si>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</si>
  <si>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</si>
  <si>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</si>
  <si>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</si>
  <si>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</si>
  <si>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</si>
  <si>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</si>
  <si>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</si>
  <si>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</si>
  <si>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</si>
  <si>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</si>
  <si>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</si>
  <si>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</si>
  <si>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</si>
  <si>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</si>
  <si>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</si>
  <si>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</si>
  <si>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</si>
  <si>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</si>
  <si>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</si>
  <si>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</si>
  <si>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</si>
  <si>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</si>
  <si>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</si>
  <si>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</si>
  <si>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</si>
  <si>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</si>
  <si>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</si>
  <si>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</si>
  <si>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</si>
  <si>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</si>
  <si>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</si>
  <si>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</si>
  <si>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</si>
  <si>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</si>
  <si>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</si>
  <si>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</si>
  <si>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</si>
  <si>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</si>
  <si>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</si>
  <si>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</si>
  <si>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</si>
  <si>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</si>
  <si>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</si>
  <si>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</si>
  <si>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</si>
  <si>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</si>
  <si>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</si>
  <si>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</si>
  <si>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</si>
  <si>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</si>
  <si>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</si>
  <si>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</si>
  <si>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</si>
  <si>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</si>
  <si>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</si>
  <si>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</si>
  <si>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</si>
  <si>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</si>
  <si>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</si>
  <si>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</si>
  <si>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</si>
  <si>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</si>
  <si>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</si>
  <si>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</si>
  <si>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</si>
  <si>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</si>
  <si>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</si>
  <si>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</si>
  <si>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</si>
  <si>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</si>
  <si>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</si>
  <si>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</si>
  <si>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</si>
  <si>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</si>
  <si>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</si>
  <si>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</si>
  <si>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</si>
  <si>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</si>
  <si>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</si>
  <si>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</si>
  <si>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</si>
  <si>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</si>
  <si>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</si>
  <si>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</si>
  <si>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</si>
  <si>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</si>
  <si>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</si>
  <si>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</si>
  <si>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</si>
  <si>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</si>
  <si>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</si>
  <si>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</si>
  <si>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</si>
  <si>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</si>
  <si>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</si>
  <si>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</si>
  <si>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</si>
  <si>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</si>
  <si>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</si>
  <si>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</si>
  <si>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</si>
  <si>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</si>
  <si>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</si>
  <si>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</si>
  <si>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</si>
  <si>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</si>
  <si>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</si>
  <si>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</si>
  <si>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</si>
  <si>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</si>
  <si>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</si>
  <si>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</si>
  <si>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</si>
  <si>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</si>
  <si>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</si>
  <si>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</si>
  <si>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</si>
  <si>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</si>
  <si>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</si>
  <si>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</si>
  <si>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</si>
  <si>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</si>
  <si>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</si>
  <si>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</si>
  <si>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</si>
  <si>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</si>
  <si>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</si>
  <si>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</si>
  <si>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</si>
  <si>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</si>
  <si>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</si>
  <si>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</si>
  <si>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</si>
  <si>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</si>
  <si>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</si>
  <si>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</si>
  <si>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</si>
  <si>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</si>
  <si>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</si>
  <si>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</si>
  <si>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</si>
  <si>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</si>
  <si>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</si>
  <si>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</si>
  <si>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</si>
  <si>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</si>
  <si>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</si>
  <si>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</si>
  <si>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</si>
  <si>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</si>
  <si>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</si>
  <si>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</si>
  <si>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</si>
  <si>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</si>
  <si>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</si>
  <si>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</si>
  <si>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</si>
  <si>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</si>
  <si>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</si>
  <si>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</si>
  <si>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</si>
  <si>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</si>
  <si>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</si>
  <si>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</si>
  <si>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</si>
  <si>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</si>
  <si>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</si>
  <si>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</si>
  <si>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</si>
  <si>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</si>
  <si>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</si>
  <si>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</si>
  <si>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</si>
  <si>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</si>
  <si>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</si>
  <si>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</si>
  <si>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</si>
  <si>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</si>
  <si>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</si>
  <si>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</si>
  <si>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</si>
  <si>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</si>
  <si>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</si>
  <si>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</si>
  <si>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</si>
  <si>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</si>
  <si>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</si>
  <si>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</si>
  <si>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</si>
  <si>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</si>
  <si>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</si>
  <si>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</si>
  <si>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</si>
  <si>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</si>
  <si>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</si>
  <si>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</si>
  <si>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</si>
  <si>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</si>
  <si>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</si>
  <si>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</si>
  <si>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</si>
  <si>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</si>
  <si>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</si>
  <si>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</si>
  <si>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</si>
  <si>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</si>
  <si>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</si>
  <si>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</si>
  <si>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</si>
  <si>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</si>
  <si>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</si>
  <si>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</si>
  <si>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</si>
  <si>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</si>
  <si>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</si>
  <si>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</si>
  <si>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</si>
  <si>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</si>
  <si>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</si>
  <si>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</si>
  <si>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</si>
  <si>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</si>
  <si>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</si>
  <si>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</si>
  <si>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</si>
  <si>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</si>
  <si>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</si>
  <si>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</si>
  <si>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</si>
  <si>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</si>
  <si>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</si>
  <si>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</si>
  <si>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</si>
  <si>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</si>
  <si>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</si>
  <si>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</si>
  <si>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</si>
  <si>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</si>
  <si>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</si>
  <si>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</si>
  <si>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</si>
  <si>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</si>
  <si>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</si>
  <si>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</si>
  <si>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</si>
  <si>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</si>
  <si>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</si>
  <si>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</si>
  <si>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</si>
  <si>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</si>
  <si>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</si>
  <si>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</si>
  <si>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</si>
  <si>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</si>
  <si>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</si>
  <si>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</si>
  <si>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</si>
  <si>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</si>
  <si>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</si>
  <si>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</si>
  <si>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</si>
  <si>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</si>
  <si>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</si>
  <si>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</si>
  <si>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</si>
  <si>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</si>
  <si>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</si>
  <si>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</si>
  <si>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</si>
  <si>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</si>
  <si>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</si>
  <si>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</si>
  <si>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</si>
  <si>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</si>
  <si>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</si>
  <si>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</si>
  <si>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</si>
  <si>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</si>
  <si>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</si>
  <si>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</si>
  <si>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</si>
  <si>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</si>
  <si>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</si>
  <si>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</si>
  <si>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</si>
  <si>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</si>
  <si>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</si>
  <si>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</si>
  <si>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</si>
  <si>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</si>
  <si>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</si>
  <si>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</si>
  <si>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</si>
  <si>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</si>
  <si>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</si>
  <si>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</si>
  <si>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</si>
  <si>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</si>
  <si>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</si>
  <si>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</si>
  <si>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</si>
  <si>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</si>
  <si>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</si>
  <si>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</si>
  <si>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</si>
  <si>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</si>
  <si>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</si>
  <si>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</si>
  <si>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</si>
  <si>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</si>
  <si>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</si>
  <si>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</si>
  <si>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</si>
  <si>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</si>
  <si>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</si>
  <si>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</si>
  <si>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</si>
  <si>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</si>
  <si>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</si>
  <si>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</si>
  <si>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</si>
  <si>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</si>
  <si>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</si>
  <si>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</si>
  <si>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</si>
  <si>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</si>
  <si>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</si>
  <si>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</si>
  <si>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</si>
  <si>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</si>
  <si>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</si>
  <si>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</si>
  <si>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</si>
  <si>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</si>
  <si>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</si>
  <si>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</si>
  <si>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</si>
  <si>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</si>
  <si>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</si>
  <si>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</si>
  <si>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</si>
  <si>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</si>
  <si>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</si>
  <si>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</si>
  <si>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</si>
  <si>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</si>
  <si>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</si>
  <si>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</si>
  <si>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</si>
  <si>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</si>
  <si>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</si>
  <si>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</si>
  <si>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</si>
  <si>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</si>
  <si>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</si>
  <si>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</si>
  <si>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</si>
  <si>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</si>
  <si>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</si>
  <si>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</si>
  <si>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</si>
  <si>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</si>
  <si>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</si>
  <si>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</si>
  <si>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</si>
  <si>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</si>
  <si>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</si>
  <si>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</si>
  <si>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</si>
  <si>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</si>
  <si>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</si>
  <si>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</si>
  <si>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</si>
  <si>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</si>
  <si>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</si>
  <si>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</si>
  <si>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</si>
  <si>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</si>
  <si>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</si>
  <si>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</si>
  <si>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</si>
  <si>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</si>
  <si>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</si>
  <si>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</si>
  <si>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</si>
  <si>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</si>
  <si>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</si>
  <si>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</si>
  <si>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</si>
  <si>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</si>
  <si>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</si>
  <si>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</si>
  <si>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</si>
  <si>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</si>
  <si>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</si>
  <si>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</si>
  <si>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</si>
  <si>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</si>
  <si>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</si>
  <si>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</si>
  <si>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</si>
  <si>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</si>
  <si>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</si>
  <si>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</si>
  <si>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</si>
  <si>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</si>
  <si>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</si>
  <si>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</si>
  <si>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</si>
  <si>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</si>
  <si>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</si>
  <si>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</si>
  <si>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</si>
  <si>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</si>
  <si>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</si>
  <si>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</si>
  <si>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</si>
  <si>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</si>
  <si>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</si>
  <si>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</si>
  <si>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</si>
  <si>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</si>
  <si>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</si>
  <si>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</si>
  <si>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</si>
  <si>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</si>
  <si>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</si>
  <si>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</si>
  <si>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</si>
  <si>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</si>
  <si>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</si>
  <si>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</si>
  <si>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</si>
  <si>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</si>
  <si>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</si>
  <si>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</si>
  <si>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</si>
  <si>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</si>
  <si>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</si>
  <si>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</si>
  <si>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</si>
  <si>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</si>
  <si>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</si>
  <si>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</si>
  <si>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</si>
  <si>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</si>
  <si>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</si>
  <si>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</si>
  <si>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</si>
  <si>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</si>
  <si>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</si>
  <si>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</si>
  <si>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</si>
  <si>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</si>
  <si>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</si>
  <si>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</si>
  <si>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</si>
  <si>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</si>
  <si>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</si>
  <si>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</si>
  <si>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</si>
  <si>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</si>
  <si>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</si>
  <si>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</si>
  <si>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</si>
  <si>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</si>
  <si>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</si>
  <si>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</si>
  <si>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</si>
  <si>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</si>
  <si>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</si>
  <si>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</si>
  <si>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</si>
  <si>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</si>
  <si>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</si>
  <si>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</si>
  <si>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</si>
  <si>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</si>
  <si>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</si>
  <si>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</si>
  <si>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</si>
  <si>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</si>
  <si>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</si>
  <si>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</si>
  <si>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</si>
  <si>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</si>
  <si>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</si>
  <si>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</si>
  <si>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</si>
  <si>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</si>
  <si>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</si>
  <si>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</si>
  <si>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</si>
  <si>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</si>
  <si>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</si>
  <si>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</si>
  <si>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</si>
  <si>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</si>
  <si>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</si>
  <si>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</si>
  <si>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</si>
  <si>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</si>
  <si>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</si>
  <si>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</si>
  <si>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</si>
  <si>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</si>
  <si>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</si>
  <si>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</si>
  <si>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</si>
  <si>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</si>
  <si>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</si>
  <si>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</si>
  <si>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</si>
  <si>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</si>
  <si>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</si>
  <si>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</si>
  <si>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</si>
  <si>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</si>
  <si>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</si>
  <si>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</si>
  <si>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</si>
  <si>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</si>
  <si>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</si>
  <si>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</si>
  <si>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</si>
  <si>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</si>
  <si>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</si>
  <si>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</si>
  <si>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</si>
  <si>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</si>
  <si>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</si>
  <si>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</si>
  <si>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</si>
  <si>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</si>
  <si>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</si>
  <si>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</si>
  <si>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</si>
  <si>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</si>
  <si>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</si>
  <si>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</si>
  <si>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</si>
  <si>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</si>
  <si>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</si>
  <si>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</si>
  <si>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</si>
  <si>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</si>
  <si>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</si>
  <si>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</si>
  <si>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</si>
  <si>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</si>
  <si>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</si>
  <si>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</si>
  <si>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</si>
  <si>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</si>
  <si>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</si>
  <si>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</si>
  <si>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</si>
  <si>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</si>
  <si>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</si>
  <si>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</si>
  <si>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</si>
  <si>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</si>
  <si>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</si>
  <si>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</si>
  <si>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</si>
  <si>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</si>
  <si>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</si>
  <si>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</si>
  <si>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</si>
  <si>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</si>
  <si>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</si>
  <si>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</si>
  <si>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</si>
  <si>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</si>
  <si>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</si>
  <si>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</si>
  <si>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</si>
  <si>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</si>
  <si>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</si>
  <si>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</si>
  <si>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</si>
  <si>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</si>
  <si>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</si>
  <si>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</si>
  <si>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</si>
  <si>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</si>
  <si>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</si>
  <si>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</si>
  <si>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</si>
  <si>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</si>
  <si>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</si>
  <si>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</si>
  <si>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</si>
  <si>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</si>
  <si>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</si>
  <si>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</si>
  <si>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</si>
  <si>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</si>
  <si>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</si>
  <si>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</si>
  <si>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</si>
  <si>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</si>
  <si>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</si>
  <si>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</si>
  <si>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</si>
  <si>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</si>
  <si>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</si>
  <si>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</si>
  <si>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</si>
  <si>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</si>
  <si>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</si>
  <si>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</si>
  <si>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</si>
  <si>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</si>
  <si>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</si>
  <si>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</si>
  <si>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</si>
  <si>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</si>
  <si>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</si>
  <si>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</si>
  <si>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</si>
  <si>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</si>
  <si>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</si>
  <si>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</si>
  <si>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</si>
  <si>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</si>
  <si>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</si>
  <si>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</si>
  <si>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</si>
  <si>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</si>
  <si>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</si>
  <si>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</si>
  <si>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</si>
  <si>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</si>
  <si>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</si>
  <si>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</si>
  <si>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</si>
  <si>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</si>
  <si>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</si>
  <si>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</si>
  <si>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</si>
  <si>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</si>
  <si>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</si>
  <si>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</si>
  <si>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</si>
  <si>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</si>
  <si>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</si>
  <si>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</si>
  <si>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</si>
  <si>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</si>
  <si>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</si>
  <si>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</si>
  <si>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</si>
  <si>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</si>
  <si>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</si>
  <si>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</si>
  <si>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</si>
  <si>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</si>
  <si>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</si>
  <si>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</si>
  <si>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</si>
  <si>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</si>
  <si>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</si>
  <si>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</si>
  <si>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</si>
  <si>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</si>
  <si>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</si>
  <si>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</si>
  <si>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</si>
  <si>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</si>
  <si>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</si>
  <si>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</si>
  <si>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</si>
  <si>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</si>
  <si>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</si>
  <si>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</si>
  <si>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</si>
  <si>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</si>
  <si>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</si>
  <si>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</si>
  <si>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</si>
  <si>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</si>
  <si>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</si>
  <si>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</si>
  <si>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</si>
  <si>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</si>
  <si>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</si>
  <si>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</si>
  <si>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</si>
  <si>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SUPNGAH21N</t>
  </si>
  <si>
    <t>SUPBGAMNR1N</t>
  </si>
  <si>
    <t>SUPBGASTR1N</t>
  </si>
  <si>
    <t>SUPBGAWST1N</t>
  </si>
  <si>
    <t>SUPBGAGRS1N</t>
  </si>
  <si>
    <t>H2GC</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</si>
  <si>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</si>
  <si>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</si>
  <si>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</si>
  <si>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</si>
  <si>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</si>
  <si>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</si>
  <si>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</si>
  <si>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</si>
  <si>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</si>
  <si>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</si>
  <si>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</si>
  <si>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</si>
  <si>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</si>
  <si>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</si>
  <si>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</si>
  <si>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</si>
  <si>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</si>
  <si>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</si>
  <si>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</si>
  <si>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</si>
  <si>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</si>
  <si>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</si>
  <si>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</si>
  <si>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</si>
  <si>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</si>
  <si>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</si>
  <si>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</si>
  <si>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</si>
  <si>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</si>
  <si>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</si>
  <si>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</si>
  <si>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</si>
  <si>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</si>
  <si>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</si>
  <si>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</si>
  <si>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</si>
  <si>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</si>
  <si>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</si>
  <si>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</si>
  <si>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</si>
  <si>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</si>
  <si>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</si>
  <si>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</si>
  <si>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</si>
  <si>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</si>
  <si>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</si>
  <si>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</si>
  <si>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</si>
  <si>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</si>
  <si>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</si>
  <si>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</si>
  <si>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</si>
  <si>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</si>
  <si>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</si>
  <si>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</si>
  <si>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</si>
  <si>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</si>
  <si>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</si>
  <si>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</si>
  <si>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</si>
  <si>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</si>
  <si>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</si>
  <si>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</si>
  <si>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</si>
  <si>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</si>
  <si>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</si>
  <si>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</si>
  <si>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</si>
  <si>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</si>
  <si>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</si>
  <si>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</si>
  <si>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</si>
  <si>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</si>
  <si>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</si>
  <si>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</si>
  <si>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</si>
  <si>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</si>
  <si>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</si>
  <si>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</si>
  <si>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</si>
  <si>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</si>
  <si>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</si>
  <si>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</si>
  <si>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</si>
  <si>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</si>
  <si>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</si>
  <si>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</si>
  <si>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</si>
  <si>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</si>
  <si>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</si>
  <si>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</si>
  <si>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</si>
  <si>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</si>
  <si>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</si>
  <si>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</si>
  <si>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</si>
  <si>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</si>
  <si>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</si>
  <si>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</si>
  <si>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</si>
  <si>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</si>
  <si>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Fixed O&amp;M (M€ /MWH Liquids)</t>
  </si>
  <si>
    <t>Fixed O&amp;M (M€ /MWh FT Liquids)</t>
  </si>
  <si>
    <t>DDGS</t>
  </si>
  <si>
    <t>SUPMOB</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</si>
  <si>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</si>
  <si>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</si>
  <si>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</si>
  <si>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</si>
  <si>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</si>
  <si>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</si>
  <si>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</si>
  <si>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</si>
  <si>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</si>
  <si>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</si>
  <si>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</si>
  <si>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</si>
  <si>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</si>
  <si>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</si>
  <si>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</si>
  <si>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</si>
  <si>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</si>
  <si>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</si>
  <si>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</si>
  <si>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</si>
  <si>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</si>
  <si>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</si>
  <si>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</si>
  <si>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</si>
  <si>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</si>
  <si>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</si>
  <si>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</si>
  <si>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</si>
  <si>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</si>
  <si>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</si>
  <si>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</si>
  <si>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</si>
  <si>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</si>
  <si>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</si>
  <si>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</si>
  <si>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</si>
  <si>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</si>
  <si>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</si>
  <si>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</si>
  <si>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</si>
  <si>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</si>
  <si>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</si>
  <si>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</si>
  <si>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</si>
  <si>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</si>
  <si>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</si>
  <si>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</si>
  <si>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</si>
  <si>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</si>
  <si>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</si>
  <si>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</si>
  <si>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</si>
  <si>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</si>
  <si>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</si>
  <si>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</si>
  <si>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</si>
  <si>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</si>
  <si>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</si>
  <si>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</si>
  <si>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</si>
  <si>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</si>
  <si>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</si>
  <si>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</si>
  <si>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</si>
  <si>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</si>
  <si>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</si>
  <si>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</si>
  <si>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</si>
  <si>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</si>
  <si>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</si>
  <si>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</si>
  <si>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</si>
  <si>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</si>
  <si>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</si>
  <si>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</si>
  <si>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</si>
  <si>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</si>
  <si>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</si>
  <si>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</si>
  <si>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</si>
  <si>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</si>
  <si>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Gasifier, biomass, Fischer Tropsch liquid fuels, large scale</t>
  </si>
  <si>
    <t>Jet Fuel Output, MWh/MWh Total Input</t>
  </si>
  <si>
    <t>Diesel Output,  MWh/MWh Total Input</t>
  </si>
  <si>
    <t>E, L</t>
  </si>
  <si>
    <t>1, 6, 7, 8, 9</t>
  </si>
  <si>
    <t>Fixed O&amp;M (M€ /MW /year FT Liquids/year)</t>
  </si>
  <si>
    <t>Variable O&amp;M (€ /MWh FT Liquids/year)</t>
  </si>
  <si>
    <t>Start up (M€ /1,000 t FT Liquids/year)</t>
  </si>
  <si>
    <t>Specific energy content (GJ/ton) FT Diesel)</t>
  </si>
  <si>
    <t>Specific investment (M€ /1,000 t FT Liquids/year)</t>
  </si>
  <si>
    <t>Fixed O&amp;M (M€ /1,000 t FT Liquids/year)</t>
  </si>
  <si>
    <t>Variable O&amp;M (M€ /1,000 t FT Liquids/year)</t>
  </si>
  <si>
    <r>
      <t>A.</t>
    </r>
    <r>
      <rPr>
        <sz val="7"/>
        <color rgb="FF000000"/>
        <rFont val="Times New Roman"/>
        <family val="1"/>
      </rPr>
      <t xml:space="preserve">     </t>
    </r>
    <r>
      <rPr>
        <sz val="8"/>
        <color rgb="FF000000"/>
        <rFont val="Arial"/>
        <family val="2"/>
      </rPr>
      <t>The plant size is assumed based on the proposed Velocys plant and the NREL n</t>
    </r>
    <r>
      <rPr>
        <vertAlign val="superscript"/>
        <sz val="8"/>
        <color rgb="FF000000"/>
        <rFont val="Arial"/>
        <family val="2"/>
      </rPr>
      <t>th</t>
    </r>
    <r>
      <rPr>
        <sz val="8"/>
        <color rgb="FF000000"/>
        <rFont val="Arial"/>
        <family val="2"/>
      </rPr>
      <t xml:space="preserve"> plant. </t>
    </r>
  </si>
  <si>
    <t>A1. This value is the hourly rating and has been calculated as if the unit produces at capacity and was in operations 8,000 h/year</t>
  </si>
  <si>
    <r>
      <t>C.</t>
    </r>
    <r>
      <rPr>
        <sz val="7"/>
        <color rgb="FF000000"/>
        <rFont val="Times New Roman"/>
        <family val="1"/>
      </rPr>
      <t xml:space="preserve">     </t>
    </r>
    <r>
      <rPr>
        <sz val="8"/>
        <color rgb="FF000000"/>
        <rFont val="Arial"/>
        <family val="2"/>
      </rPr>
      <t>The feedstock requirements could vary with efforts to improve the desired product selectivity.</t>
    </r>
  </si>
  <si>
    <r>
      <t>D.</t>
    </r>
    <r>
      <rPr>
        <sz val="7"/>
        <color rgb="FF000000"/>
        <rFont val="Times New Roman"/>
        <family val="1"/>
      </rPr>
      <t xml:space="preserve">     </t>
    </r>
    <r>
      <rPr>
        <sz val="8"/>
        <color rgb="FF000000"/>
        <rFont val="Arial"/>
        <family val="2"/>
      </rPr>
      <t>Over time the power available for export may increase due to improve thermal management in the plant.</t>
    </r>
  </si>
  <si>
    <r>
      <t>E.</t>
    </r>
    <r>
      <rPr>
        <sz val="7"/>
        <color theme="1"/>
        <rFont val="Times New Roman"/>
        <family val="1"/>
      </rPr>
      <t xml:space="preserve">     </t>
    </r>
    <r>
      <rPr>
        <sz val="8"/>
        <color theme="1"/>
        <rFont val="Arial"/>
        <family val="2"/>
      </rPr>
      <t>There is a wide range of reported capital costs for the existing plants and a wide range in the cost of future plants.</t>
    </r>
  </si>
  <si>
    <r>
      <t>F.</t>
    </r>
    <r>
      <rPr>
        <sz val="7"/>
        <color theme="1"/>
        <rFont val="Times New Roman"/>
        <family val="1"/>
      </rPr>
      <t xml:space="preserve">     </t>
    </r>
    <r>
      <rPr>
        <sz val="8"/>
        <color theme="1"/>
        <rFont val="Arial"/>
        <family val="2"/>
      </rPr>
      <t>Start-up costs are included in the operating costs.</t>
    </r>
  </si>
  <si>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</si>
  <si>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</si>
  <si>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</si>
  <si>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</si>
  <si>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</si>
  <si>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</si>
  <si>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</si>
  <si>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</si>
  <si>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</si>
  <si>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</si>
  <si>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</si>
  <si>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</si>
  <si>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</si>
  <si>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</si>
  <si>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</si>
  <si>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Hydrogen production via alkaline electrolysis (AEC) for 1MW plant</t>
  </si>
  <si>
    <t>Typical total plant size (MW input_e)</t>
  </si>
  <si>
    <t>Typical total plant size (kgH2 / day of max output)</t>
  </si>
  <si>
    <t>L, E</t>
  </si>
  <si>
    <t>Electricity (% total input (MWh / MWh))</t>
  </si>
  <si>
    <t>Water for electrolysis (kg / MWh input_e)</t>
  </si>
  <si>
    <t>Hydrogen (% total input_e (MWh / MWh))</t>
  </si>
  <si>
    <t>[24]</t>
  </si>
  <si>
    <t>ΔE from HHV to LHV (% total input_e (MWh / MWh))</t>
  </si>
  <si>
    <t>Heat loss (% total input_e (MWh / MWh))</t>
  </si>
  <si>
    <t xml:space="preserve"> - hereof unrecoverable heat loss (%-points of heat loss)</t>
  </si>
  <si>
    <t xml:space="preserve"> - hereof recoverable for district heating (%-points of heat loss)</t>
  </si>
  <si>
    <t>Hydrogen (kg / MWh input_e)</t>
  </si>
  <si>
    <t>[27]</t>
  </si>
  <si>
    <t>C, O</t>
  </si>
  <si>
    <t xml:space="preserve">Financial data (2020 price level)                                 </t>
  </si>
  <si>
    <t>Specific investment (€ / kW of total input_e)</t>
  </si>
  <si>
    <t>D, I</t>
  </si>
  <si>
    <t>Specific investment (€ / kgH2 / day of max output)</t>
  </si>
  <si>
    <t>E, I, L</t>
  </si>
  <si>
    <t xml:space="preserve">Fixed O&amp;M (% of specific investment / year) </t>
  </si>
  <si>
    <t>G, I, J</t>
  </si>
  <si>
    <t>[26]</t>
  </si>
  <si>
    <t>Variable O&amp;M (€ / kWh of total input)</t>
  </si>
  <si>
    <t>Startup cost (€ / kW of total input per startup)</t>
  </si>
  <si>
    <r>
      <t>Current Density (A / cm</t>
    </r>
    <r>
      <rPr>
        <vertAlign val="superscript"/>
        <sz val="8"/>
        <rFont val="Arial"/>
        <family val="2"/>
      </rPr>
      <t>2</t>
    </r>
    <r>
      <rPr>
        <sz val="8"/>
        <rFont val="Arial"/>
        <family val="2"/>
      </rPr>
      <t>)</t>
    </r>
  </si>
  <si>
    <t>[21]</t>
  </si>
  <si>
    <r>
      <t>Footprint (m</t>
    </r>
    <r>
      <rPr>
        <vertAlign val="superscript"/>
        <sz val="8"/>
        <rFont val="Arial"/>
        <family val="2"/>
      </rPr>
      <t>2</t>
    </r>
    <r>
      <rPr>
        <vertAlign val="superscript"/>
        <sz val="10"/>
        <rFont val="Arial"/>
        <family val="2"/>
      </rPr>
      <t xml:space="preserve"> </t>
    </r>
    <r>
      <rPr>
        <sz val="10"/>
        <rFont val="Arial"/>
        <family val="2"/>
      </rPr>
      <t>/ MW input_e</t>
    </r>
    <r>
      <rPr>
        <sz val="8"/>
        <rFont val="Arial"/>
        <family val="2"/>
      </rPr>
      <t>)</t>
    </r>
  </si>
  <si>
    <t xml:space="preserve"> - of which proces electricity</t>
  </si>
  <si>
    <t>A, E</t>
  </si>
  <si>
    <t>8/13</t>
  </si>
  <si>
    <t>5% of the energy is estimated to be unrecoverable for small plants.</t>
  </si>
  <si>
    <t>Values are from Table 5 in IEA [24], Today is understood as 2020, Long-term is understood as 2050 and the value selected is the mid of the range given.</t>
  </si>
  <si>
    <t>According to the Green Hydrogen Systems (GHS).</t>
  </si>
  <si>
    <t>The price estimates are from Green Hydrogen Systems.</t>
  </si>
  <si>
    <t>For the unit regarding "day" a 100% load factor is assummed here (Where the system is operated at nominal capacity all 24 hours of the day). In operation the daily fullload hours may vary and should therefore be adjusted for.</t>
  </si>
  <si>
    <t>These are rough estimates based on operational AEC systems as provided by GHS.</t>
  </si>
  <si>
    <t>O&amp;M is estimated as 5% of CAPEX for small systems. According to the 2-5% given for large to small scale systems from [26].</t>
  </si>
  <si>
    <t>The values are predicted until 2050 with a high margin of uncertainty. For 2030, the values are quite reasonable according to GHS.</t>
  </si>
  <si>
    <t>The CAPEX includes all components required for converting 400VAC electricity and purified water into H2 gas at 35 bar and a waste heat stream at 50 °C. CAPEX does not include transformer, water purifier, heat pumps for increasing the temperature of waste heat stream or compressors for increasing the pressure of H2 further than 35 bar. The tariffs, capacity payments and network connection fees to DSO / TSO are not contained in CAPEX nor in O&amp;M</t>
  </si>
  <si>
    <t>The lifetime of current AEC stacks is more than 100 000 hours according to Green Hydrogen Systems. Assuming that the facility is run for 4000h pr year, the stacks do not need replacement in the technical lifetime. If the full load hours exceed the 100 000h lifetime, then the stack replacement cost will be 30% of the CAPEX cost of a new system in the year of replacement. Everfuel gives a stack replacement of 30% of CAPEX and GHS informs that 30% of current CAPEX is stack cost. The cost of replacing the stack is not included in fixed O&amp;M.</t>
  </si>
  <si>
    <t>50 °C (expected to increase to 70°C, by 2024)</t>
  </si>
  <si>
    <t>Maximum hydrogen output per day, assuming 24 hours of full load operation in a day.</t>
  </si>
  <si>
    <t>The price of the input streams (water and electric energy), has not been estimated.</t>
  </si>
  <si>
    <t>The HHV electorlyser efficiency can be calculated as the sum of the rows: "ΔE from HHV to LHV" and "Hydrogen".</t>
  </si>
  <si>
    <t>O</t>
  </si>
  <si>
    <t>From the time of purchase to finished construction</t>
  </si>
  <si>
    <t>H. Europe, “Strategic research and innovation agenda for lightweight,” no. July, p. 157, 2020.</t>
  </si>
  <si>
    <t>Green Hydrogen Systems, “HyProvide TM A-Series.”</t>
  </si>
  <si>
    <t>“The Future of Hydrogen,” Futur. Hydrog., no. June, 2019, doi: 10.1787/1e0514c4-en.</t>
  </si>
  <si>
    <t>“Development of Water Electrolysis in the European Union | www.fch.europa.eu.” https://www.fch.europa.eu/node/783 (accessed Dec. 17, 2020).</t>
  </si>
  <si>
    <t>J. Ivy, “Summary of electrolytic hydrogen production,” Small, no. September, p. 27, 2004, [Online]. Available: http://www.nrel.gov/docs/fy04osti/35948.pdf.</t>
  </si>
  <si>
    <t>Hydrogen production via alkaline electrolysis (AEC) for 100MW plant</t>
  </si>
  <si>
    <t xml:space="preserve">Financial data (2020 price level)                                </t>
  </si>
  <si>
    <t>3% of the energy is estimated to be unrecoverable for large plants.</t>
  </si>
  <si>
    <t>According to the Green Hydrogen Systems.</t>
  </si>
  <si>
    <t>CAPEX values from interviews with GHS, Everfuel and NEL and reports from IEA [24], HyEurope [21] and IRENA [24]. The values in the datasheet correspond to a fitted curve see figure 6 in the catalogue. For IEA today is taken to be 2020, Long term is taken to be 2050 and values is the middle of the range given.</t>
  </si>
  <si>
    <t>For the unit regarding "day" a 100% load factor is assummed here (Where the system is operated at nominal capacity all 24 hours of the day). In operation the daily fullload hours may vary and should therefor be adjusted for.</t>
  </si>
  <si>
    <t>These are rough estimates based on operational AEC systems as provided by the Green Hydrogen Systems.</t>
  </si>
  <si>
    <t>O&amp;M is estimated as 2% of CAPEX for large systems. According to the 2-5% given for large to small scale systems from [26].</t>
  </si>
  <si>
    <t>The values are predicted until 2050 with a high margin of uncertainty.</t>
  </si>
  <si>
    <t>Hydrogen production via PEM electrolysis for 1MW plant</t>
  </si>
  <si>
    <t>CAPEX values from interviews with GHS and Siemens and reports from IEA [24], HyEurope [21] and IRENA [24]. The values in the datasheet correspond to a fitted curve see figure 6 in the catalogue. For IEA today is taken to be 2020, Long term is taken to be 2050 and values is the middle of the range given.</t>
  </si>
  <si>
    <t>These are rough estimates based on existing systems according to GHS.</t>
  </si>
  <si>
    <t>O&amp;M is estimated as 7% of CAPEX. 5%-point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</si>
  <si>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This value is fixed due to no increase in research in increasing the pressure of PEMEC systems.</t>
  </si>
  <si>
    <t>The lifetime of current PEMEC stacks is more than 25000 hours and in the future it could be more than 50000 hours according to Green Hydrogen Systems.</t>
  </si>
  <si>
    <t>Hydrogen production via PEM electrolysis for 100MW plant</t>
  </si>
  <si>
    <t>O&amp;M is estimated as 4% of CAPEX. 2%-point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</si>
  <si>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Hydrogen production via solid oxide electrolysis (SOEC) for 1MW plant</t>
  </si>
  <si>
    <t>Heat (% total input (MWh / MWh))</t>
  </si>
  <si>
    <t>Water for electrolysis (kg / MWh input)</t>
  </si>
  <si>
    <t>B, D</t>
  </si>
  <si>
    <t>ΔE from HHV to LHV (% total input (MWh / MWh))</t>
  </si>
  <si>
    <t>Heat loss (% total input (MWh / MWh))</t>
  </si>
  <si>
    <t>Hydrogen (kg / MWh input)</t>
  </si>
  <si>
    <t>Construction time (months)</t>
  </si>
  <si>
    <t>D, G, E</t>
  </si>
  <si>
    <t>E, G, I</t>
  </si>
  <si>
    <t>Input from Haldor Topsoe</t>
  </si>
  <si>
    <t>The efficiencies are assumed to be system efficiencies. IEA gives the values as electric efficiencies, however the references of IEA gives both system efficiencies and electric efficiencies. See for instance Buttler and Spliethoff (2018), "Current status of water electrolysis for energy storage, grid balancing and
sector coupling via power-to-gas and power-to-liquids: A review". This assumption adds significant uncertainty to these values. However no good alternative was found.</t>
  </si>
  <si>
    <t>Values are from Table 5 in IEA [24], Today is understood as 2020, Long-term is understood as 2050 and the value selected is the mid of the range given. For conversion a conversion of 0.85€/$ was used.</t>
  </si>
  <si>
    <t>O&amp;M is estimated as 12% of CAPEX. 5%-point is for small systems, according to the 2-5% given for large to small scale systems from [26]. 7%-points is the estimated stack replacement cost. Ceres Power gives a stack replacement cost of 20% of CAPEX. At about 6000 full load hours per year, stacks are likely to be replaced every three and a third years.</t>
  </si>
  <si>
    <t>The price of the input streams (steam and electric energy), has not been estimated.</t>
  </si>
  <si>
    <t>The CAPEX includes all components required for converting 400VAC electricity and purified water into H2 gas at 35 bar. CAPEX does not include transformer, water purifier or compressors for increasing the pressure of H2 further than 35 bar. The tariffs, capacity payments and network connection fees to DSO / TSO are not contained in CAPEX nor in O&amp;M</t>
  </si>
  <si>
    <t>The lifetime of current SOEC stacks is about 20000 hours and is expected to increase in the future [24], and is expected to increase in the future</t>
  </si>
  <si>
    <t>Green Ammonia plant (excl. electrolyzer and excl. ASU)</t>
  </si>
  <si>
    <r>
      <t>Typical total plant size</t>
    </r>
    <r>
      <rPr>
        <sz val="8"/>
        <rFont val="Calibri"/>
        <family val="2"/>
        <scheme val="minor"/>
      </rPr>
      <t>, TPD</t>
    </r>
  </si>
  <si>
    <t>Typical total plant size, MW (Ammonia output)</t>
  </si>
  <si>
    <t>N2 Consumption, t/t Ammonia</t>
  </si>
  <si>
    <t>Hydrogen Consumption, t/t Ammonia</t>
  </si>
  <si>
    <r>
      <t xml:space="preserve">Ammonia Output, MWh/MWh </t>
    </r>
    <r>
      <rPr>
        <sz val="8"/>
        <rFont val="Calibri"/>
        <family val="2"/>
        <scheme val="minor"/>
      </rPr>
      <t xml:space="preserve">total </t>
    </r>
    <r>
      <rPr>
        <sz val="8"/>
        <color theme="1"/>
        <rFont val="Calibri"/>
        <family val="2"/>
        <scheme val="minor"/>
      </rPr>
      <t>Input</t>
    </r>
  </si>
  <si>
    <t>High value heat MWh/MWh total input</t>
  </si>
  <si>
    <t>Forced outage (%), unplanned shutdown</t>
  </si>
  <si>
    <t>Operation capacity</t>
  </si>
  <si>
    <t>20-100%</t>
  </si>
  <si>
    <t>Specific investment (M€ /MW Ammonia output)</t>
  </si>
  <si>
    <t>F, I, J</t>
  </si>
  <si>
    <t>Fixed O&amp;M (k€/MW Ammonia/year)</t>
  </si>
  <si>
    <t>Variable O&amp;M (€/MWh Ammonia)</t>
  </si>
  <si>
    <t>Start up (M€ /1,000 t Ammonia)</t>
  </si>
  <si>
    <t>N.A.</t>
  </si>
  <si>
    <t>Specific investment mark-up factor optional ASU</t>
  </si>
  <si>
    <t>Specific energy content (GJ/ton Ammonia)</t>
  </si>
  <si>
    <r>
      <t xml:space="preserve">Specific density  (kg/l) or (ton/m3) </t>
    </r>
    <r>
      <rPr>
        <sz val="8"/>
        <rFont val="Calibri"/>
        <family val="2"/>
        <scheme val="minor"/>
      </rPr>
      <t>Ammonia</t>
    </r>
  </si>
  <si>
    <t>Specific investment (M€ /TPD Ammonia output)</t>
  </si>
  <si>
    <t>F, I</t>
  </si>
  <si>
    <t>Fixed O&amp;M (M€ /TPD Ammonia)</t>
  </si>
  <si>
    <t>Variable O&amp;M (€ /t Ammonia)</t>
  </si>
  <si>
    <t>Start up (M€ /TPD Ammonia)</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</si>
  <si>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</si>
  <si>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</si>
  <si>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</si>
  <si>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</si>
  <si>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r>
      <t xml:space="preserve">E: Heat available at </t>
    </r>
    <r>
      <rPr>
        <sz val="8"/>
        <rFont val="Arial"/>
        <family val="2"/>
      </rPr>
      <t>30-60</t>
    </r>
    <r>
      <rPr>
        <sz val="8"/>
        <color theme="1"/>
        <rFont val="Arial"/>
        <family val="2"/>
      </rPr>
      <t>°C and requires heat pump for use for district heating.</t>
    </r>
  </si>
  <si>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</si>
  <si>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</si>
  <si>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</si>
  <si>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</si>
  <si>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</si>
  <si>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</si>
  <si>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</si>
  <si>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</si>
  <si>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Moving-bed Methane Decomposition (MBR)</t>
  </si>
  <si>
    <t>N/A</t>
  </si>
  <si>
    <t>A, G, H, I</t>
  </si>
  <si>
    <r>
      <t>Typical total plant size (MW H</t>
    </r>
    <r>
      <rPr>
        <vertAlign val="subscript"/>
        <sz val="8"/>
        <color rgb="FF000000"/>
        <rFont val="Arial"/>
        <family val="2"/>
      </rPr>
      <t>2</t>
    </r>
    <r>
      <rPr>
        <sz val="8"/>
        <color rgb="FF000000"/>
        <rFont val="Arial"/>
        <family val="2"/>
      </rPr>
      <t xml:space="preserve"> output)</t>
    </r>
  </si>
  <si>
    <t>A, F, G</t>
  </si>
  <si>
    <r>
      <t>Typical total plant size (kg H</t>
    </r>
    <r>
      <rPr>
        <vertAlign val="subscript"/>
        <sz val="8"/>
        <color rgb="FF000000"/>
        <rFont val="Arial"/>
        <family val="2"/>
      </rPr>
      <t>2</t>
    </r>
    <r>
      <rPr>
        <sz val="8"/>
        <color rgb="FF000000"/>
        <rFont val="Arial"/>
        <family val="2"/>
      </rPr>
      <t>/day output)</t>
    </r>
  </si>
  <si>
    <t>12000 </t>
  </si>
  <si>
    <t> 42000</t>
  </si>
  <si>
    <t>A, E, G, K</t>
  </si>
  <si>
    <r>
      <t>- Inputs</t>
    </r>
    <r>
      <rPr>
        <sz val="8"/>
        <color rgb="FF000000"/>
        <rFont val="Calibri"/>
        <family val="2"/>
        <scheme val="minor"/>
      </rPr>
      <t>   </t>
    </r>
  </si>
  <si>
    <t>Natural Gas (% total input(MWh/MWh))</t>
  </si>
  <si>
    <t>A, G, H</t>
  </si>
  <si>
    <t>Electricity (% total input(MWh/MWh))</t>
  </si>
  <si>
    <t>A, G</t>
  </si>
  <si>
    <t>Hydrogen Gas (% total input (MWh/MWh))</t>
  </si>
  <si>
    <t>Carbon Black (% total input (MWh/MWh))</t>
  </si>
  <si>
    <t>A, G, N</t>
  </si>
  <si>
    <t>Methane (% total input (MWh/MWh))</t>
  </si>
  <si>
    <t>A, G, H, M</t>
  </si>
  <si>
    <t>Recovered Heat (% total input (MWh/MWh))</t>
  </si>
  <si>
    <t>Heat loss (% total input (MWh/MWh))</t>
  </si>
  <si>
    <t>A, C, D, G</t>
  </si>
  <si>
    <t> [6]</t>
  </si>
  <si>
    <t>A, D,G</t>
  </si>
  <si>
    <t xml:space="preserve">Financial data (2015)                                 </t>
  </si>
  <si>
    <r>
      <t>Specific investment (M€/MW of total H</t>
    </r>
    <r>
      <rPr>
        <vertAlign val="subscript"/>
        <sz val="8"/>
        <color rgb="FF000000"/>
        <rFont val="Arial"/>
        <family val="2"/>
      </rPr>
      <t>2</t>
    </r>
    <r>
      <rPr>
        <sz val="8"/>
        <color rgb="FF000000"/>
        <rFont val="Arial"/>
        <family val="2"/>
      </rPr>
      <t xml:space="preserve"> output)</t>
    </r>
  </si>
  <si>
    <t>A, B, F, G, J, K</t>
  </si>
  <si>
    <t>[1], [3]</t>
  </si>
  <si>
    <t>55 </t>
  </si>
  <si>
    <r>
      <t>Fixed O&amp;M (€ / MW of total H</t>
    </r>
    <r>
      <rPr>
        <vertAlign val="subscript"/>
        <sz val="8"/>
        <color rgb="FF000000"/>
        <rFont val="Arial"/>
        <family val="2"/>
      </rPr>
      <t>2</t>
    </r>
    <r>
      <rPr>
        <sz val="8"/>
        <color rgb="FF000000"/>
        <rFont val="Arial"/>
        <family val="2"/>
      </rPr>
      <t xml:space="preserve"> output)</t>
    </r>
  </si>
  <si>
    <t>A, B, G</t>
  </si>
  <si>
    <r>
      <t>Variable O&amp;M (€ / MWh of total H</t>
    </r>
    <r>
      <rPr>
        <vertAlign val="subscript"/>
        <sz val="8"/>
        <color rgb="FF000000"/>
        <rFont val="Arial"/>
        <family val="2"/>
      </rPr>
      <t xml:space="preserve">2 </t>
    </r>
    <r>
      <rPr>
        <sz val="8"/>
        <color rgb="FF000000"/>
        <rFont val="Arial"/>
        <family val="2"/>
      </rPr>
      <t>output)</t>
    </r>
  </si>
  <si>
    <t>A, G, L</t>
  </si>
  <si>
    <r>
      <t>Startup cost (€ / MW of total H</t>
    </r>
    <r>
      <rPr>
        <vertAlign val="subscript"/>
        <sz val="8"/>
        <color rgb="FF000000"/>
        <rFont val="Arial"/>
        <family val="2"/>
      </rPr>
      <t>2</t>
    </r>
    <r>
      <rPr>
        <sz val="8"/>
        <color rgb="FF000000"/>
        <rFont val="Arial"/>
        <family val="2"/>
      </rPr>
      <t xml:space="preserve"> output)</t>
    </r>
  </si>
  <si>
    <t> Methane conversion (%)</t>
  </si>
  <si>
    <t>A, G, M</t>
  </si>
  <si>
    <t>The technology is not available in 2020.</t>
  </si>
  <si>
    <t xml:space="preserve">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</si>
  <si>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The planned outages might be higher than stated in the early stages of the technology development.</t>
  </si>
  <si>
    <t>The estimate is based on previous engineering experience.</t>
  </si>
  <si>
    <t>The value is an average of published bandwidth values.</t>
  </si>
  <si>
    <t>The Lower Heating Value (LHV) of the hydrogen used is 120 MJ/kg.</t>
  </si>
  <si>
    <t>The projected values for 2040 and 2050 are assumed based on a 10% change over time. This is due to potential improvements in the efficiency of the process, optimization of the operation of the technology, and reduction in the prices of material/equipment/inputs.</t>
  </si>
  <si>
    <t>Total input of electricity and methane energy converted through methane LHV of 50.0 MJ/kg.</t>
  </si>
  <si>
    <t>Plant size based on input is a combination of methane consumption and electricity input.</t>
  </si>
  <si>
    <t xml:space="preserve">The investment cost includes the process units and associated equipment needed to start up the plant. It does not include peripheral equipment such as buildings (e.g. control rooms) or electrical interfaces. </t>
  </si>
  <si>
    <t>The techno-economic analysis for both investment and sizing is based on theoretical conversion models coupled with actual energy and material costs at the time of the analysis.</t>
  </si>
  <si>
    <t>The variable O&amp;M is calculated to be similar to SMR technology excluding the cost of natural gas input and carbon tax. What is included is process cooling costs and general wear and tear.</t>
  </si>
  <si>
    <t>Unconverted methane is recycled to prevent methane slip.</t>
  </si>
  <si>
    <t>The Lower Heating Value (LHV) of the carbon black used is 28.0 MJ/kg.</t>
  </si>
  <si>
    <t>Brett Parkinson, J. W. (2017). Techno‐Economic Analysis of Methane Pyrolysis in Molten Metals: Decarbonizing Natural Gas. Chemical Engineering Technology, 1022-1030.</t>
  </si>
  <si>
    <t>Gaudernack, B., &amp; Lynum, S. (1998). Hydrogen from natural gas without release of CO2 to the atmosphere. Hydrogen Energy, 1087-1093.</t>
  </si>
  <si>
    <t>Tiina Keipi a, V. H. (2016). Techno-economic analysis of four concepts for thermal decomposition of methane: Reduction of CO2 emissions in natural gas combustion. Energy Conversion and Management, 1-12.</t>
  </si>
  <si>
    <t>N. Z. Muradov, Thermocatalytic CO2‐Free Production of Hydrogen from Hydrocarbon Fuels, Technical Report, No. DE‐FC36‐99GO10456, U.S. Department of Energy, Oak Ridge, TN 2004.</t>
  </si>
  <si>
    <t>Plasma-assisted Methane Decomposition (Plasma)</t>
  </si>
  <si>
    <r>
      <t>N/A</t>
    </r>
    <r>
      <rPr>
        <sz val="8"/>
        <color theme="1"/>
        <rFont val="Calibri"/>
        <family val="2"/>
        <scheme val="minor"/>
      </rPr>
      <t>  </t>
    </r>
  </si>
  <si>
    <t xml:space="preserve">Financial data (2015)                                </t>
  </si>
  <si>
    <t>A, B, E, F, G, J, K</t>
  </si>
  <si>
    <t>A, L, G</t>
  </si>
  <si>
    <t>TJ</t>
  </si>
  <si>
    <t>t CO2e</t>
  </si>
  <si>
    <t>t CH4 loss</t>
  </si>
  <si>
    <t>loss from natural gas</t>
  </si>
  <si>
    <t>High estimate</t>
  </si>
  <si>
    <t>Distribution losses reported</t>
  </si>
  <si>
    <t>Danish energy agency Technology catalogue hydrogen to ammonia 103</t>
  </si>
  <si>
    <t>M€ /MW</t>
  </si>
  <si>
    <t>€ /PJ</t>
  </si>
  <si>
    <t>SUPELCAMM02</t>
  </si>
  <si>
    <t>SUPELCAMM03</t>
  </si>
  <si>
    <t>Ammonia (liquid) by electrolysis technology - Central</t>
  </si>
  <si>
    <t>Ammonia (liquid) by electrolysis technology - Decentral</t>
  </si>
  <si>
    <t>Ammonia (liquid) by electrolysis technology - Rural</t>
  </si>
  <si>
    <t>\I: Identifier</t>
  </si>
  <si>
    <t>Alkaline Electrolyzer Cell Centralized</t>
  </si>
  <si>
    <t>Alkaline Electrolyzer Cell Decentralized</t>
  </si>
  <si>
    <t>Alkaline Electrolyzer Cell Rural</t>
  </si>
  <si>
    <t>Technology Data for Renewable Fuels april 2021</t>
  </si>
  <si>
    <t>PEM Electrolyzer Cell Rural</t>
  </si>
  <si>
    <t>SUPH2ALKC1N</t>
  </si>
  <si>
    <t>SUPHEALKD1N</t>
  </si>
  <si>
    <t>SUPH2ALKR1N</t>
  </si>
  <si>
    <t>SUPH2ALKC2N</t>
  </si>
  <si>
    <t>SUPH2ALKD2N</t>
  </si>
  <si>
    <t>SUPH2ALKR2N</t>
  </si>
  <si>
    <t>SUPH2PEMC1N</t>
  </si>
  <si>
    <t>SUPH2PEMD1N</t>
  </si>
  <si>
    <t>SUPH2PEMR1N</t>
  </si>
  <si>
    <t>SUPH2PEMC2N</t>
  </si>
  <si>
    <t>SUPH2PEMD2N</t>
  </si>
  <si>
    <t>SUPH2PEMR2N</t>
  </si>
  <si>
    <t>SOEC Electrolyzer Cell Centralized</t>
  </si>
  <si>
    <t>SOEC Electrolyzer Cell Decentralized</t>
  </si>
  <si>
    <t>SOEC Electrolyzer Cell Rural</t>
  </si>
  <si>
    <t>SUPH2SOER2N</t>
  </si>
  <si>
    <t>SUPH2SOED2N</t>
  </si>
  <si>
    <t>SUPH2SOEC2N</t>
  </si>
  <si>
    <t>Final electrofuel production, not including raw hydrogen production</t>
  </si>
  <si>
    <t>NGA</t>
  </si>
  <si>
    <t>FLO_EMIS~CO2STO</t>
  </si>
  <si>
    <t>Fossil hydrogen production, SMR included below, this is not included as we do not know how black carbon can be utilised or stored</t>
  </si>
  <si>
    <t>Biofuel and hydrogen enhanved biofuel production</t>
  </si>
  <si>
    <t>KRB2</t>
  </si>
  <si>
    <t>SUPNGA,SUPSNG,SUPH2</t>
  </si>
  <si>
    <t>SUPCRB</t>
  </si>
  <si>
    <t>CRB</t>
  </si>
  <si>
    <t>SUPWCH,SUPCRN</t>
  </si>
  <si>
    <t>SYN</t>
  </si>
  <si>
    <t>Need to insert skyclean technology</t>
  </si>
  <si>
    <t>kt/MWh</t>
  </si>
  <si>
    <t>kr/GJ</t>
  </si>
  <si>
    <t>Share-I~LO</t>
  </si>
  <si>
    <t>t Glycerin</t>
  </si>
  <si>
    <t>GJ</t>
  </si>
  <si>
    <t>GJ input</t>
  </si>
  <si>
    <t>SUPCRN,SUPSGB</t>
  </si>
  <si>
    <t>T CO2/t L</t>
  </si>
  <si>
    <t>GJ/t L</t>
  </si>
  <si>
    <t>EMISSIONS~CO2NSINK</t>
  </si>
  <si>
    <t>CO2NSINK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</si>
</sst>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_(* #,##0_);_(* \(#,##0\);_(* &quot;-&quot;??_);_(@_)"/>
    <numFmt numFmtId="181" formatCode="0.00_ ;\-0.00\ "/>
    <numFmt numFmtId="182" formatCode="0.000_ ;\-0.000\ "/>
    <numFmt numFmtId="183" formatCode="#,##0_ ;\-#,##0\ "/>
    <numFmt numFmtId="184" formatCode="_(* #,##0.000_);_(* \(#,##0.000\);_(* &quot;-&quot;??_);_(@_)"/>
    <numFmt numFmtId="185" formatCode="0.0000_ ;\-0.0000\ "/>
    <numFmt numFmtId="186" formatCode="_(* #,##0.0_);_(* \(#,##0.0\);_(* &quot;-&quot;??_);_(@_)"/>
    <numFmt numFmtId="187" formatCode="#,##0.0000_ ;\-#,##0.0000\ "/>
    <numFmt numFmtId="188" formatCode="0.00000_ ;\-0.00000\ "/>
    <numFmt numFmtId="189" formatCode="0.0%"/>
    <numFmt numFmtId="190" formatCode="_ * #,##0_ ;_ * \-#,##0_ ;_ * &quot;-&quot;??_ ;_ @_ "/>
    <numFmt numFmtId="191" formatCode="_ * #,##0.0_ ;_ * \-#,##0.0_ ;_ * &quot;-&quot;??_ ;_ @_ "/>
    <numFmt numFmtId="192" formatCode="dd/mmm"/>
    <numFmt numFmtId="193" formatCode="_-* #,##0.000000_-;\-* #,##0.000000_-;_-* &quot;-&quot;??_-;_-@_-"/>
    <numFmt numFmtId="194" formatCode="0.000000000000000%"/>
    <numFmt numFmtId="195" formatCode="0.000%"/>
  </numFmts>
  <fonts count="179">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8"/>
      <color theme="1"/>
      <name val="Times New Roman"/>
      <family val="1"/>
    </font>
    <font>
      <sz val="8"/>
      <color rgb="FFFF0000"/>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sz val="7"/>
      <color theme="1"/>
      <name val="Times New Roman"/>
      <family val="1"/>
    </font>
    <font>
      <vertAlign val="superscript"/>
      <sz val="8"/>
      <name val="Arial"/>
      <family val="2"/>
    </font>
    <font>
      <vertAlign val="superscript"/>
      <sz val="10"/>
      <name val="Arial"/>
      <family val="2"/>
    </font>
    <font>
      <b/>
      <sz val="8"/>
      <name val="Calibri"/>
      <family val="2"/>
      <scheme val="minor"/>
    </font>
    <font>
      <b/>
      <sz val="9"/>
      <color rgb="FF000000"/>
      <name val="Arial"/>
      <family val="2"/>
    </font>
    <font>
      <b/>
      <sz val="22"/>
      <color rgb="FFFF0000"/>
      <name val="Arial"/>
      <family val="2"/>
    </font>
    <font>
      <b/>
      <sz val="11"/>
      <color rgb="FFFF0000"/>
      <name val="Arial Narrow"/>
      <family val="2"/>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43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176" fontId="67" fillId="0" borderId="7" xfId="0" applyNumberFormat="1" applyFont="1" applyBorder="1"/>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0" fontId="7" fillId="0" borderId="6" xfId="0"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2" fontId="10" fillId="0" borderId="7" xfId="7297" applyNumberFormat="1" applyBorder="1"/>
    <xf numFmtId="0" fontId="10" fillId="0" borderId="0" xfId="7297" applyAlignment="1">
      <alignment horizontal="right"/>
    </xf>
    <xf numFmtId="177" fontId="10" fillId="0" borderId="0" xfId="7297" applyNumberFormat="1"/>
    <xf numFmtId="0" fontId="10" fillId="72" borderId="0" xfId="7297"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7" xfId="7297" applyBorder="1"/>
    <xf numFmtId="0" fontId="10" fillId="0" borderId="46"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43"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 fontId="68" fillId="0" borderId="9" xfId="7297" applyNumberFormat="1" applyFont="1" applyBorder="1"/>
    <xf numFmtId="169" fontId="68" fillId="0" borderId="9" xfId="7297" applyNumberFormat="1" applyFont="1" applyBorder="1"/>
    <xf numFmtId="0" fontId="10" fillId="0" borderId="25" xfId="7297" applyBorder="1"/>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0"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1"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1" fontId="104" fillId="35" borderId="6" xfId="10381" applyNumberFormat="1" applyFont="1" applyBorder="1"/>
    <xf numFmtId="174" fontId="24" fillId="35" borderId="53" xfId="10381" applyBorder="1"/>
    <xf numFmtId="174" fontId="10" fillId="35" borderId="0" xfId="10381" applyFont="1"/>
    <xf numFmtId="181" fontId="104" fillId="35" borderId="0" xfId="10381" applyNumberFormat="1" applyFont="1"/>
    <xf numFmtId="174" fontId="24" fillId="35" borderId="51" xfId="10381" applyBorder="1"/>
    <xf numFmtId="181" fontId="105" fillId="35" borderId="0" xfId="10381" applyNumberFormat="1" applyFont="1"/>
    <xf numFmtId="182" fontId="24" fillId="94" borderId="0" xfId="10381" applyNumberFormat="1" applyFill="1"/>
    <xf numFmtId="183" fontId="10" fillId="35" borderId="0" xfId="10381" applyNumberFormat="1" applyFont="1"/>
    <xf numFmtId="181"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1"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0" fontId="40" fillId="66" borderId="0" xfId="10381" applyNumberFormat="1" applyFont="1" applyFill="1"/>
    <xf numFmtId="43" fontId="22" fillId="66" borderId="0" xfId="10381" applyNumberFormat="1" applyFont="1" applyFill="1"/>
    <xf numFmtId="184" fontId="40" fillId="66" borderId="0" xfId="10381" applyNumberFormat="1" applyFont="1" applyFill="1"/>
    <xf numFmtId="180" fontId="40" fillId="35" borderId="0" xfId="10381" applyNumberFormat="1" applyFont="1"/>
    <xf numFmtId="180" fontId="22" fillId="35" borderId="0" xfId="10381" applyNumberFormat="1" applyFont="1"/>
    <xf numFmtId="43" fontId="40" fillId="35" borderId="0" xfId="10381" applyNumberFormat="1" applyFont="1"/>
    <xf numFmtId="181"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5"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0"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0" fontId="10" fillId="66" borderId="0" xfId="10381" applyNumberFormat="1" applyFont="1" applyFill="1" applyProtection="1">
      <protection locked="0"/>
    </xf>
    <xf numFmtId="180" fontId="10" fillId="79" borderId="0" xfId="10381" applyNumberFormat="1" applyFont="1" applyFill="1" applyProtection="1">
      <protection locked="0"/>
    </xf>
    <xf numFmtId="180"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6"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7" fontId="84" fillId="35" borderId="0" xfId="10381" applyNumberFormat="1" applyFont="1"/>
    <xf numFmtId="174" fontId="24" fillId="35" borderId="24" xfId="10381" quotePrefix="1" applyBorder="1"/>
    <xf numFmtId="181"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1" fontId="10" fillId="35" borderId="52" xfId="10381" applyNumberFormat="1" applyFont="1" applyBorder="1" applyProtection="1">
      <protection locked="0"/>
    </xf>
    <xf numFmtId="181"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8"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89" fontId="0" fillId="0" borderId="8" xfId="10385" applyNumberFormat="1" applyFont="1" applyBorder="1"/>
    <xf numFmtId="167" fontId="119" fillId="35" borderId="0" xfId="10384" applyFont="1" applyFill="1" applyAlignment="1">
      <alignment vertical="top" wrapText="1"/>
    </xf>
    <xf numFmtId="189"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0"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1"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1"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0"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0"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89"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0"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89"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2"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0"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0" fontId="119" fillId="95" borderId="8" xfId="7297" applyNumberFormat="1" applyFont="1" applyFill="1" applyBorder="1" applyAlignment="1">
      <alignment horizontal="center" vertical="top"/>
    </xf>
    <xf numFmtId="193" fontId="10" fillId="0" borderId="0" xfId="7297" applyNumberFormat="1"/>
    <xf numFmtId="190"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89"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1"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0"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21" fillId="0" borderId="0" xfId="0" applyFont="1" applyAlignment="1">
      <alignment vertical="top"/>
    </xf>
    <xf numFmtId="0" fontId="119" fillId="35" borderId="0" xfId="0" applyFont="1" applyFill="1" applyAlignment="1">
      <alignment vertical="top"/>
    </xf>
    <xf numFmtId="0" fontId="119" fillId="35" borderId="0" xfId="0" applyFont="1" applyFill="1"/>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0" fontId="45" fillId="35" borderId="45" xfId="0" applyFont="1" applyFill="1" applyBorder="1" applyAlignment="1">
      <alignment vertical="center" wrapText="1"/>
    </xf>
    <xf numFmtId="0" fontId="144"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0" fillId="0" borderId="8" xfId="0" applyBorder="1"/>
    <xf numFmtId="0" fontId="140" fillId="95" borderId="8" xfId="0" applyFont="1" applyFill="1" applyBorder="1" applyAlignment="1">
      <alignment horizontal="center"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6"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6" fillId="0" borderId="0" xfId="0" applyFont="1" applyAlignment="1">
      <alignment horizontal="justify" vertical="center"/>
    </xf>
    <xf numFmtId="0" fontId="155"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58" fillId="0" borderId="8" xfId="0" applyFont="1" applyBorder="1" applyAlignment="1">
      <alignment horizontal="center" vertical="center" wrapText="1"/>
    </xf>
    <xf numFmtId="0" fontId="158" fillId="0" borderId="8" xfId="0" applyFont="1" applyBorder="1" applyAlignment="1">
      <alignment horizontal="justify" vertical="center" wrapText="1"/>
    </xf>
    <xf numFmtId="0" fontId="159" fillId="0" borderId="8" xfId="0" applyFont="1" applyBorder="1"/>
    <xf numFmtId="0" fontId="159" fillId="0" borderId="39" xfId="0" applyFont="1" applyBorder="1"/>
    <xf numFmtId="9" fontId="158"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1"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58"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58"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4" fillId="0" borderId="0" xfId="0" applyFont="1"/>
    <xf numFmtId="0" fontId="100" fillId="0" borderId="0" xfId="0" applyFont="1"/>
    <xf numFmtId="0" fontId="46" fillId="95" borderId="8" xfId="0" applyFont="1" applyFill="1" applyBorder="1" applyAlignment="1">
      <alignment vertical="center" wrapText="1"/>
    </xf>
    <xf numFmtId="0" fontId="165" fillId="95" borderId="8" xfId="0" applyFont="1" applyFill="1" applyBorder="1" applyAlignment="1">
      <alignment horizontal="center" vertical="center" wrapText="1"/>
    </xf>
    <xf numFmtId="9" fontId="152" fillId="95" borderId="8" xfId="0" applyNumberFormat="1"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52" fillId="95" borderId="8" xfId="0" applyFont="1" applyFill="1" applyBorder="1" applyAlignment="1">
      <alignment vertical="center" wrapText="1"/>
    </xf>
    <xf numFmtId="0" fontId="46" fillId="0" borderId="8" xfId="0" applyFont="1" applyBorder="1" applyAlignment="1">
      <alignment horizontal="center" vertical="center"/>
    </xf>
    <xf numFmtId="0" fontId="149"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6"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7" fillId="0" borderId="0" xfId="0" applyFont="1"/>
    <xf numFmtId="0" fontId="90" fillId="0" borderId="0" xfId="0" applyFont="1"/>
    <xf numFmtId="0" fontId="168" fillId="0" borderId="0" xfId="0" applyFont="1"/>
    <xf numFmtId="0" fontId="0" fillId="0" borderId="0" xfId="0" quotePrefix="1"/>
    <xf numFmtId="0" fontId="0" fillId="0" borderId="0" xfId="0" applyAlignment="1"/>
    <xf numFmtId="0" fontId="0" fillId="0" borderId="0" xfId="0" quotePrefix="1" applyAlignment="1">
      <alignment wrapText="1"/>
    </xf>
    <xf numFmtId="2" fontId="158"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69" fillId="0" borderId="0" xfId="7297" applyFont="1"/>
    <xf numFmtId="1" fontId="10" fillId="0" borderId="24" xfId="7297" applyNumberFormat="1" applyBorder="1"/>
    <xf numFmtId="2" fontId="10" fillId="0" borderId="24" xfId="7297" applyNumberFormat="1" applyBorder="1"/>
    <xf numFmtId="169" fontId="10" fillId="0" borderId="24" xfId="7297" applyNumberFormat="1" applyBorder="1"/>
    <xf numFmtId="189"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89"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89" fontId="10" fillId="0" borderId="36" xfId="7297" applyNumberFormat="1" applyBorder="1"/>
    <xf numFmtId="9" fontId="10" fillId="0" borderId="54" xfId="7297" applyNumberFormat="1" applyBorder="1"/>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0" fillId="0" borderId="0" xfId="0" applyFont="1"/>
    <xf numFmtId="0" fontId="171" fillId="0" borderId="0" xfId="0" applyFont="1" applyFill="1" applyBorder="1"/>
    <xf numFmtId="0" fontId="170" fillId="0" borderId="0" xfId="0" applyFont="1" applyAlignment="1">
      <alignment horizontal="right"/>
    </xf>
    <xf numFmtId="0" fontId="171" fillId="0" borderId="39" xfId="0" applyFont="1" applyBorder="1"/>
    <xf numFmtId="2" fontId="171" fillId="0" borderId="39" xfId="0" applyNumberFormat="1" applyFont="1" applyBorder="1" applyAlignment="1">
      <alignment horizontal="center"/>
    </xf>
    <xf numFmtId="2" fontId="171" fillId="0" borderId="0" xfId="0" applyNumberFormat="1" applyFont="1" applyFill="1" applyBorder="1"/>
    <xf numFmtId="0" fontId="66" fillId="0" borderId="40" xfId="0" applyFont="1" applyBorder="1" applyAlignment="1">
      <alignment horizontal="center"/>
    </xf>
    <xf numFmtId="0" fontId="83" fillId="0" borderId="8" xfId="0" applyFont="1" applyBorder="1" applyAlignment="1">
      <alignment horizontal="center"/>
    </xf>
    <xf numFmtId="0" fontId="66" fillId="0" borderId="8" xfId="0" applyFont="1" applyBorder="1" applyAlignment="1">
      <alignment horizontal="center"/>
    </xf>
    <xf numFmtId="0" fontId="119" fillId="35" borderId="0" xfId="0" applyFont="1" applyFill="1" applyAlignment="1">
      <alignment vertical="top" wrapText="1"/>
    </xf>
    <xf numFmtId="0" fontId="66" fillId="0" borderId="8" xfId="0" applyFont="1" applyBorder="1" applyAlignment="1">
      <alignment horizontal="right"/>
    </xf>
    <xf numFmtId="0" fontId="139" fillId="0" borderId="8" xfId="0" applyFont="1" applyBorder="1"/>
    <xf numFmtId="0" fontId="121" fillId="0" borderId="8" xfId="0" applyFont="1" applyBorder="1"/>
    <xf numFmtId="0" fontId="121" fillId="0" borderId="8" xfId="0" applyFont="1" applyBorder="1" applyAlignment="1">
      <alignment horizontal="center"/>
    </xf>
    <xf numFmtId="0" fontId="121" fillId="0" borderId="42" xfId="0" applyFont="1" applyBorder="1"/>
    <xf numFmtId="0" fontId="121" fillId="0" borderId="42" xfId="0" applyFont="1" applyBorder="1" applyAlignment="1">
      <alignment horizontal="center"/>
    </xf>
    <xf numFmtId="0" fontId="139" fillId="0" borderId="41" xfId="0" applyFont="1" applyBorder="1"/>
    <xf numFmtId="0" fontId="121" fillId="0" borderId="5" xfId="0" applyFont="1" applyBorder="1"/>
    <xf numFmtId="0" fontId="121" fillId="0" borderId="5" xfId="0" applyFont="1" applyBorder="1" applyAlignment="1">
      <alignment horizontal="center"/>
    </xf>
    <xf numFmtId="0" fontId="121" fillId="0" borderId="40" xfId="0" applyFont="1" applyBorder="1" applyAlignment="1">
      <alignment horizontal="center"/>
    </xf>
    <xf numFmtId="0" fontId="121" fillId="0" borderId="39" xfId="0" applyFont="1" applyBorder="1"/>
    <xf numFmtId="9" fontId="121" fillId="0" borderId="39" xfId="10379" applyFont="1" applyBorder="1"/>
    <xf numFmtId="0" fontId="121" fillId="0" borderId="39" xfId="0" applyFont="1" applyBorder="1" applyAlignment="1">
      <alignment horizontal="center"/>
    </xf>
    <xf numFmtId="9" fontId="121" fillId="0" borderId="42" xfId="10379" applyFont="1" applyBorder="1"/>
    <xf numFmtId="0" fontId="121" fillId="35" borderId="45" xfId="0" applyFont="1" applyFill="1" applyBorder="1"/>
    <xf numFmtId="1" fontId="121" fillId="0" borderId="45" xfId="0" applyNumberFormat="1" applyFont="1" applyBorder="1"/>
    <xf numFmtId="9" fontId="121" fillId="0" borderId="45" xfId="0" applyNumberFormat="1" applyFont="1" applyBorder="1"/>
    <xf numFmtId="0" fontId="121" fillId="0" borderId="45" xfId="0" applyFont="1" applyBorder="1" applyAlignment="1">
      <alignment horizontal="center"/>
    </xf>
    <xf numFmtId="9" fontId="121" fillId="0" borderId="5" xfId="0" applyNumberFormat="1" applyFont="1" applyBorder="1"/>
    <xf numFmtId="177" fontId="121" fillId="0" borderId="39" xfId="0" applyNumberFormat="1" applyFont="1" applyBorder="1"/>
    <xf numFmtId="9" fontId="121" fillId="0" borderId="39" xfId="0" applyNumberFormat="1" applyFont="1" applyBorder="1"/>
    <xf numFmtId="177" fontId="121" fillId="0" borderId="8" xfId="0" applyNumberFormat="1" applyFont="1" applyBorder="1"/>
    <xf numFmtId="9" fontId="121" fillId="0" borderId="8" xfId="0" applyNumberFormat="1" applyFont="1" applyBorder="1"/>
    <xf numFmtId="177" fontId="121" fillId="0" borderId="42" xfId="0" applyNumberFormat="1" applyFont="1" applyBorder="1"/>
    <xf numFmtId="9" fontId="121" fillId="0" borderId="42" xfId="0" applyNumberFormat="1" applyFont="1" applyBorder="1"/>
    <xf numFmtId="0" fontId="121" fillId="0" borderId="41" xfId="0" applyFont="1" applyBorder="1"/>
    <xf numFmtId="0" fontId="121" fillId="0" borderId="40" xfId="0" applyFont="1" applyBorder="1"/>
    <xf numFmtId="0" fontId="121" fillId="0" borderId="8" xfId="0" applyFont="1" applyBorder="1" applyAlignment="1">
      <alignment horizontal="right"/>
    </xf>
    <xf numFmtId="2" fontId="121" fillId="0" borderId="39" xfId="0" applyNumberFormat="1" applyFont="1" applyBorder="1"/>
    <xf numFmtId="9" fontId="121" fillId="0" borderId="8" xfId="10379" applyFont="1" applyBorder="1"/>
    <xf numFmtId="0" fontId="121" fillId="0" borderId="42" xfId="0" applyFont="1" applyBorder="1" applyAlignment="1">
      <alignment horizontal="right"/>
    </xf>
    <xf numFmtId="2" fontId="121" fillId="0" borderId="8" xfId="0" applyNumberFormat="1" applyFont="1" applyBorder="1"/>
    <xf numFmtId="0" fontId="119" fillId="0" borderId="0" xfId="0" applyFont="1"/>
    <xf numFmtId="0" fontId="12" fillId="35" borderId="8" xfId="0" applyFont="1" applyFill="1" applyBorder="1" applyAlignment="1">
      <alignment vertical="top" wrapText="1"/>
    </xf>
    <xf numFmtId="0" fontId="10" fillId="35" borderId="8" xfId="0" applyFont="1" applyFill="1" applyBorder="1" applyAlignment="1">
      <alignment vertical="top" wrapText="1"/>
    </xf>
    <xf numFmtId="0" fontId="12" fillId="35" borderId="8" xfId="0" applyFont="1" applyFill="1" applyBorder="1" applyAlignment="1">
      <alignment horizontal="center" vertical="top" wrapText="1"/>
    </xf>
    <xf numFmtId="1" fontId="119" fillId="35" borderId="8" xfId="0" quotePrefix="1" applyNumberFormat="1" applyFont="1" applyFill="1" applyBorder="1" applyAlignment="1">
      <alignment horizontal="center" vertical="top" wrapText="1"/>
    </xf>
    <xf numFmtId="1" fontId="119" fillId="35" borderId="8" xfId="0" applyNumberFormat="1" applyFont="1" applyFill="1" applyBorder="1" applyAlignment="1">
      <alignment horizontal="center" vertical="top" wrapText="1"/>
    </xf>
    <xf numFmtId="0" fontId="119" fillId="35" borderId="8" xfId="0" applyFont="1" applyFill="1" applyBorder="1" applyAlignment="1">
      <alignment horizontal="center" vertical="top" wrapText="1"/>
    </xf>
    <xf numFmtId="0" fontId="127" fillId="35" borderId="8" xfId="0" quotePrefix="1" applyFont="1" applyFill="1" applyBorder="1" applyAlignment="1">
      <alignment vertical="top" wrapText="1"/>
    </xf>
    <xf numFmtId="0" fontId="10" fillId="0" borderId="8" xfId="0" applyFont="1" applyBorder="1" applyAlignment="1">
      <alignment vertical="top" wrapText="1"/>
    </xf>
    <xf numFmtId="10" fontId="0" fillId="0" borderId="0" xfId="10379" applyNumberFormat="1" applyFont="1" applyBorder="1"/>
    <xf numFmtId="0" fontId="127" fillId="0" borderId="8" xfId="0" quotePrefix="1" applyFont="1" applyBorder="1" applyAlignment="1">
      <alignment vertical="top" wrapText="1"/>
    </xf>
    <xf numFmtId="2" fontId="119" fillId="35" borderId="8" xfId="0" applyNumberFormat="1" applyFont="1" applyFill="1" applyBorder="1" applyAlignment="1">
      <alignment horizontal="center" vertical="top" wrapText="1"/>
    </xf>
    <xf numFmtId="169" fontId="119" fillId="35" borderId="8" xfId="0" applyNumberFormat="1" applyFont="1" applyFill="1" applyBorder="1" applyAlignment="1">
      <alignment horizontal="center" vertical="top" wrapText="1"/>
    </xf>
    <xf numFmtId="189" fontId="0" fillId="0" borderId="0" xfId="10379" applyNumberFormat="1" applyFont="1" applyBorder="1"/>
    <xf numFmtId="1" fontId="119" fillId="35" borderId="8" xfId="10379" applyNumberFormat="1" applyFont="1" applyFill="1" applyBorder="1" applyAlignment="1">
      <alignment horizontal="center" vertical="top" wrapText="1"/>
    </xf>
    <xf numFmtId="0" fontId="12" fillId="0" borderId="8" xfId="0" applyFont="1" applyBorder="1" applyAlignment="1">
      <alignment vertical="top" wrapText="1"/>
    </xf>
    <xf numFmtId="190" fontId="0" fillId="0" borderId="0" xfId="0" applyNumberFormat="1"/>
    <xf numFmtId="0" fontId="119" fillId="0" borderId="8" xfId="0" applyFont="1" applyBorder="1" applyAlignment="1">
      <alignment vertical="top" wrapText="1"/>
    </xf>
    <xf numFmtId="167" fontId="0" fillId="0" borderId="0" xfId="10384" applyFont="1" applyBorder="1"/>
    <xf numFmtId="169" fontId="119" fillId="35" borderId="8" xfId="0" applyNumberFormat="1" applyFont="1" applyFill="1" applyBorder="1" applyAlignment="1">
      <alignment horizontal="center" vertical="center" wrapText="1"/>
    </xf>
    <xf numFmtId="0" fontId="119" fillId="35" borderId="8" xfId="0" applyFont="1" applyFill="1" applyBorder="1" applyAlignment="1">
      <alignment horizontal="center" vertical="center" wrapText="1"/>
    </xf>
    <xf numFmtId="1" fontId="119" fillId="35" borderId="8" xfId="0" quotePrefix="1" applyNumberFormat="1" applyFont="1" applyFill="1" applyBorder="1" applyAlignment="1">
      <alignment horizontal="center" vertical="center" wrapText="1"/>
    </xf>
    <xf numFmtId="0" fontId="119" fillId="0" borderId="39" xfId="0" applyFont="1" applyBorder="1" applyAlignment="1">
      <alignment vertical="top" wrapText="1"/>
    </xf>
    <xf numFmtId="169" fontId="119" fillId="0" borderId="8" xfId="0" applyNumberFormat="1" applyFont="1" applyBorder="1" applyAlignment="1">
      <alignment horizontal="center" vertical="top"/>
    </xf>
    <xf numFmtId="0" fontId="119" fillId="35" borderId="8" xfId="0" applyFont="1" applyFill="1" applyBorder="1" applyAlignment="1">
      <alignment horizontal="center" vertical="top"/>
    </xf>
    <xf numFmtId="0" fontId="0" fillId="0" borderId="8" xfId="0" applyBorder="1" applyAlignment="1">
      <alignment horizontal="center"/>
    </xf>
    <xf numFmtId="49" fontId="119" fillId="35" borderId="44" xfId="0" quotePrefix="1" applyNumberFormat="1" applyFont="1" applyFill="1" applyBorder="1" applyAlignment="1">
      <alignment horizontal="center" vertical="top" wrapText="1"/>
    </xf>
    <xf numFmtId="167" fontId="0" fillId="0" borderId="0" xfId="0" applyNumberFormat="1"/>
    <xf numFmtId="0" fontId="122" fillId="35" borderId="0" xfId="0" applyFont="1" applyFill="1" applyAlignment="1">
      <alignment vertical="top" wrapText="1"/>
    </xf>
    <xf numFmtId="2" fontId="119" fillId="35" borderId="0" xfId="0" applyNumberFormat="1" applyFont="1" applyFill="1" applyAlignment="1">
      <alignment horizontal="center" vertical="top"/>
    </xf>
    <xf numFmtId="0" fontId="119" fillId="35" borderId="0" xfId="0" applyFont="1" applyFill="1" applyAlignment="1">
      <alignment horizontal="center" vertical="top"/>
    </xf>
    <xf numFmtId="1" fontId="119" fillId="35" borderId="0" xfId="0" applyNumberFormat="1" applyFont="1" applyFill="1" applyAlignment="1">
      <alignment vertical="top"/>
    </xf>
    <xf numFmtId="1" fontId="119" fillId="35" borderId="0" xfId="10384" applyNumberFormat="1" applyFont="1" applyFill="1" applyBorder="1" applyAlignment="1">
      <alignment vertical="top"/>
    </xf>
    <xf numFmtId="190" fontId="119" fillId="35" borderId="0" xfId="0" applyNumberFormat="1" applyFont="1" applyFill="1" applyAlignment="1">
      <alignment vertical="top" wrapText="1"/>
    </xf>
    <xf numFmtId="49" fontId="119" fillId="35" borderId="0" xfId="10384" applyNumberFormat="1" applyFont="1" applyFill="1" applyBorder="1" applyAlignment="1">
      <alignment vertical="top"/>
    </xf>
    <xf numFmtId="49" fontId="0" fillId="0" borderId="0" xfId="0" applyNumberFormat="1" applyAlignment="1">
      <alignment vertical="top"/>
    </xf>
    <xf numFmtId="0" fontId="0" fillId="0" borderId="0" xfId="0" applyAlignment="1">
      <alignment vertical="top"/>
    </xf>
    <xf numFmtId="167" fontId="0" fillId="0" borderId="0" xfId="10384" applyFont="1" applyBorder="1" applyAlignment="1"/>
    <xf numFmtId="167" fontId="119" fillId="35" borderId="0" xfId="10384" applyFont="1" applyFill="1" applyBorder="1" applyAlignment="1">
      <alignment vertical="top"/>
    </xf>
    <xf numFmtId="0" fontId="121" fillId="0" borderId="0" xfId="0" applyFont="1" applyAlignment="1">
      <alignment horizontal="left" vertical="top"/>
    </xf>
    <xf numFmtId="0" fontId="120" fillId="0" borderId="0" xfId="0" applyFont="1" applyAlignment="1">
      <alignment horizontal="left" vertical="top"/>
    </xf>
    <xf numFmtId="1" fontId="122" fillId="35" borderId="0" xfId="0" applyNumberFormat="1" applyFont="1" applyFill="1" applyAlignment="1">
      <alignment vertical="top"/>
    </xf>
    <xf numFmtId="0" fontId="122" fillId="35" borderId="0" xfId="0" applyFont="1" applyFill="1" applyAlignment="1">
      <alignment vertical="top"/>
    </xf>
    <xf numFmtId="0" fontId="0" fillId="0" borderId="0" xfId="0" applyAlignment="1">
      <alignment horizontal="left" vertical="center"/>
    </xf>
    <xf numFmtId="0" fontId="134" fillId="0" borderId="8" xfId="0" applyFont="1" applyBorder="1" applyAlignment="1">
      <alignment horizontal="center" vertical="center" wrapText="1"/>
    </xf>
    <xf numFmtId="169" fontId="45" fillId="0" borderId="8" xfId="0" applyNumberFormat="1" applyFont="1" applyBorder="1" applyAlignment="1">
      <alignment horizontal="center" vertical="center" wrapText="1"/>
    </xf>
    <xf numFmtId="169" fontId="134" fillId="0" borderId="8" xfId="0" applyNumberFormat="1" applyFont="1" applyBorder="1" applyAlignment="1">
      <alignment horizontal="center" vertical="center" wrapText="1"/>
    </xf>
    <xf numFmtId="0" fontId="85" fillId="0" borderId="39" xfId="0" applyFont="1" applyBorder="1"/>
    <xf numFmtId="0" fontId="85" fillId="0" borderId="42" xfId="0" applyFont="1" applyBorder="1"/>
    <xf numFmtId="0" fontId="85" fillId="0" borderId="8" xfId="0" applyFont="1" applyBorder="1"/>
    <xf numFmtId="2" fontId="85" fillId="0" borderId="8" xfId="0" applyNumberFormat="1" applyFont="1" applyBorder="1"/>
    <xf numFmtId="2" fontId="66" fillId="0" borderId="5" xfId="0" applyNumberFormat="1" applyFont="1" applyBorder="1"/>
    <xf numFmtId="2" fontId="66" fillId="35" borderId="39" xfId="0" applyNumberFormat="1" applyFont="1" applyFill="1" applyBorder="1"/>
    <xf numFmtId="2" fontId="66" fillId="35" borderId="45" xfId="0" applyNumberFormat="1" applyFont="1" applyFill="1" applyBorder="1"/>
    <xf numFmtId="2" fontId="66" fillId="0" borderId="45" xfId="0" applyNumberFormat="1" applyFont="1" applyBorder="1"/>
    <xf numFmtId="2" fontId="66" fillId="35" borderId="42" xfId="0" applyNumberFormat="1" applyFont="1" applyFill="1" applyBorder="1"/>
    <xf numFmtId="169" fontId="66" fillId="0" borderId="39" xfId="10379" applyNumberFormat="1" applyFont="1" applyBorder="1"/>
    <xf numFmtId="0" fontId="85" fillId="95" borderId="8" xfId="0" applyFont="1" applyFill="1" applyBorder="1" applyAlignment="1">
      <alignment vertical="center" wrapText="1"/>
    </xf>
    <xf numFmtId="9" fontId="85" fillId="0" borderId="39" xfId="10379" applyFont="1" applyBorder="1"/>
    <xf numFmtId="0" fontId="85" fillId="0" borderId="39" xfId="0" applyFont="1" applyBorder="1" applyAlignment="1">
      <alignment horizontal="center"/>
    </xf>
    <xf numFmtId="0" fontId="45" fillId="0" borderId="0" xfId="0" applyFont="1" applyAlignment="1">
      <alignment horizontal="left" vertical="center"/>
    </xf>
    <xf numFmtId="0" fontId="146" fillId="35" borderId="8" xfId="0" applyFont="1" applyFill="1" applyBorder="1" applyAlignment="1">
      <alignment horizontal="left" vertical="center" wrapText="1"/>
    </xf>
    <xf numFmtId="0" fontId="146" fillId="35" borderId="8" xfId="0" applyFont="1" applyFill="1" applyBorder="1" applyAlignment="1">
      <alignment horizontal="center" vertical="center" wrapText="1"/>
    </xf>
    <xf numFmtId="0" fontId="146" fillId="35" borderId="40" xfId="0" applyFont="1" applyFill="1" applyBorder="1" applyAlignment="1">
      <alignment horizontal="center" vertical="center" wrapText="1"/>
    </xf>
    <xf numFmtId="0" fontId="176" fillId="35" borderId="8" xfId="0" applyFont="1" applyFill="1" applyBorder="1" applyAlignment="1">
      <alignment horizontal="center" vertical="center" wrapText="1"/>
    </xf>
    <xf numFmtId="0" fontId="176" fillId="35" borderId="40" xfId="0" applyFont="1" applyFill="1" applyBorder="1" applyAlignment="1">
      <alignment horizontal="center" vertical="center" wrapText="1"/>
    </xf>
    <xf numFmtId="0" fontId="0" fillId="35" borderId="8" xfId="0" applyFill="1" applyBorder="1" applyAlignment="1">
      <alignment horizontal="center" vertical="center" wrapText="1"/>
    </xf>
    <xf numFmtId="1" fontId="176" fillId="35" borderId="8" xfId="0" applyNumberFormat="1" applyFont="1" applyFill="1" applyBorder="1" applyAlignment="1">
      <alignment horizontal="center" vertical="center" wrapText="1"/>
    </xf>
    <xf numFmtId="1" fontId="0" fillId="0" borderId="0" xfId="0" applyNumberFormat="1"/>
    <xf numFmtId="10" fontId="0" fillId="0" borderId="0" xfId="0" applyNumberFormat="1"/>
    <xf numFmtId="0" fontId="10" fillId="0" borderId="0" xfId="7297"/>
    <xf numFmtId="0" fontId="10" fillId="0" borderId="0" xfId="7297"/>
    <xf numFmtId="176" fontId="10" fillId="0" borderId="7" xfId="7297" applyNumberFormat="1" applyBorder="1"/>
    <xf numFmtId="176" fontId="10" fillId="0" borderId="0" xfId="7297" applyNumberFormat="1" applyBorder="1" applyAlignment="1">
      <alignment horizontal="right"/>
    </xf>
    <xf numFmtId="1" fontId="10" fillId="0" borderId="7" xfId="7297" applyNumberFormat="1" applyBorder="1"/>
    <xf numFmtId="0" fontId="10" fillId="74" borderId="0" xfId="7036" applyFill="1" applyBorder="1" applyAlignment="1">
      <alignment horizontal="center" wrapText="1"/>
    </xf>
    <xf numFmtId="0" fontId="10" fillId="74" borderId="0" xfId="7036" applyFill="1" applyBorder="1" applyAlignment="1">
      <alignment horizontal="center"/>
    </xf>
    <xf numFmtId="0" fontId="10" fillId="74" borderId="0" xfId="7036" applyFill="1" applyBorder="1" applyAlignment="1">
      <alignment horizontal="left" wrapText="1"/>
    </xf>
    <xf numFmtId="2" fontId="10" fillId="0" borderId="0" xfId="7297" quotePrefix="1" applyNumberFormat="1"/>
    <xf numFmtId="169" fontId="10" fillId="0" borderId="0" xfId="7297" applyNumberFormat="1"/>
    <xf numFmtId="0" fontId="12" fillId="33" borderId="0" xfId="7297" applyFont="1" applyFill="1" applyBorder="1"/>
    <xf numFmtId="0" fontId="177" fillId="0" borderId="0" xfId="7297" applyFont="1" applyBorder="1"/>
    <xf numFmtId="0" fontId="68" fillId="0" borderId="0" xfId="0" applyFont="1" applyBorder="1"/>
    <xf numFmtId="0" fontId="70" fillId="0" borderId="0" xfId="0" applyFont="1" applyBorder="1"/>
    <xf numFmtId="2" fontId="67" fillId="0" borderId="0" xfId="0" applyNumberFormat="1" applyFont="1" applyBorder="1"/>
    <xf numFmtId="0" fontId="67" fillId="0" borderId="0" xfId="0" applyFont="1" applyBorder="1" applyAlignment="1">
      <alignment horizontal="right"/>
    </xf>
    <xf numFmtId="0" fontId="24" fillId="0" borderId="0" xfId="0" applyFont="1" applyBorder="1" applyAlignment="1">
      <alignment horizontal="left"/>
    </xf>
    <xf numFmtId="0" fontId="69" fillId="0" borderId="0" xfId="0" applyFont="1" applyBorder="1"/>
    <xf numFmtId="2" fontId="69" fillId="0" borderId="0" xfId="0" applyNumberFormat="1" applyFont="1" applyBorder="1"/>
    <xf numFmtId="0" fontId="69" fillId="0" borderId="7" xfId="0" applyFont="1" applyBorder="1"/>
    <xf numFmtId="177" fontId="69" fillId="0" borderId="0" xfId="0" applyNumberFormat="1" applyFont="1"/>
    <xf numFmtId="0" fontId="24" fillId="71" borderId="0" xfId="10378" applyNumberFormat="1" applyFont="1" applyFill="1" applyAlignment="1"/>
    <xf numFmtId="0" fontId="178" fillId="0" borderId="0" xfId="0" applyFont="1"/>
    <xf numFmtId="2" fontId="68" fillId="0" borderId="0" xfId="0" applyNumberFormat="1" applyFont="1" applyBorder="1"/>
    <xf numFmtId="0" fontId="10" fillId="0" borderId="0" xfId="7297"/>
    <xf numFmtId="0" fontId="10" fillId="0" borderId="0" xfId="7297" applyNumberFormat="1"/>
    <xf numFmtId="0" fontId="10" fillId="0" borderId="0" xfId="7297" applyFont="1"/>
    <xf numFmtId="0" fontId="10" fillId="0" borderId="9" xfId="7297" applyFont="1" applyBorder="1"/>
    <xf numFmtId="2" fontId="10" fillId="0" borderId="0" xfId="7297" applyNumberFormat="1" applyFont="1"/>
    <xf numFmtId="1" fontId="10" fillId="0" borderId="0" xfId="7297" applyNumberFormat="1" applyFont="1"/>
    <xf numFmtId="177" fontId="10" fillId="0" borderId="9" xfId="7297" applyNumberFormat="1" applyFont="1" applyBorder="1"/>
    <xf numFmtId="0" fontId="68" fillId="0" borderId="0" xfId="7297" applyFont="1" applyBorder="1"/>
    <xf numFmtId="0" fontId="10" fillId="0" borderId="0" xfId="7297" applyFont="1" applyBorder="1"/>
    <xf numFmtId="177" fontId="10" fillId="0" borderId="0" xfId="7297" applyNumberFormat="1" applyFont="1" applyBorder="1"/>
    <xf numFmtId="177" fontId="68" fillId="0" borderId="0" xfId="7297" applyNumberFormat="1" applyFont="1" applyBorder="1"/>
    <xf numFmtId="2" fontId="68" fillId="0" borderId="0" xfId="7297" applyNumberFormat="1" applyFont="1" applyBorder="1"/>
    <xf numFmtId="0" fontId="10" fillId="0" borderId="0" xfId="7297" applyFont="1" applyAlignment="1">
      <alignment wrapText="1"/>
    </xf>
    <xf numFmtId="176" fontId="10" fillId="0" borderId="0" xfId="7297" applyNumberFormat="1" applyFont="1"/>
    <xf numFmtId="0" fontId="10" fillId="0" borderId="9" xfId="7297" applyFont="1" applyBorder="1" applyAlignment="1">
      <alignment wrapText="1"/>
    </xf>
    <xf numFmtId="2" fontId="10" fillId="0" borderId="9" xfId="7297" applyNumberFormat="1" applyFont="1" applyBorder="1"/>
    <xf numFmtId="0" fontId="10" fillId="0" borderId="0" xfId="7297"/>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19" fillId="35" borderId="0" xfId="7297" applyFont="1" applyFill="1" applyAlignment="1">
      <alignment vertical="top" wrapText="1"/>
    </xf>
    <xf numFmtId="167" fontId="119" fillId="35" borderId="0" xfId="10384"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10" fillId="0" borderId="0" xfId="7297" applyAlignment="1">
      <alignment horizontal="left" vertical="center"/>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167" fontId="119" fillId="95" borderId="0" xfId="7297" applyNumberFormat="1"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19" fillId="95" borderId="0" xfId="7297" applyFont="1" applyFill="1" applyAlignment="1">
      <alignment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62" fillId="0" borderId="8" xfId="10386" applyFont="1" applyBorder="1" applyAlignment="1" applyProtection="1">
      <alignment horizontal="center"/>
    </xf>
    <xf numFmtId="0" fontId="139" fillId="0" borderId="8" xfId="0" applyFont="1" applyBorder="1" applyAlignment="1">
      <alignment horizontal="center"/>
    </xf>
    <xf numFmtId="0" fontId="121" fillId="0" borderId="8" xfId="0" applyFont="1" applyBorder="1" applyAlignment="1">
      <alignment horizontal="center"/>
    </xf>
    <xf numFmtId="0" fontId="119" fillId="35" borderId="0" xfId="0" applyFont="1" applyFill="1" applyAlignment="1">
      <alignment vertical="top" wrapText="1"/>
    </xf>
    <xf numFmtId="0" fontId="122" fillId="35" borderId="0" xfId="0" applyFont="1" applyFill="1" applyAlignment="1">
      <alignment vertical="top" wrapText="1"/>
    </xf>
    <xf numFmtId="0" fontId="123" fillId="0" borderId="0" xfId="0" applyFont="1" applyAlignment="1">
      <alignment vertical="top" wrapText="1"/>
    </xf>
    <xf numFmtId="0" fontId="162" fillId="35" borderId="8" xfId="10386" applyFont="1" applyFill="1" applyBorder="1" applyAlignment="1" applyProtection="1">
      <alignment horizontal="center" vertical="top" wrapText="1"/>
    </xf>
    <xf numFmtId="0" fontId="0" fillId="35" borderId="8" xfId="0" applyFill="1" applyBorder="1" applyAlignment="1">
      <alignment horizontal="center" vertical="top" wrapText="1"/>
    </xf>
    <xf numFmtId="0" fontId="12" fillId="35" borderId="8" xfId="0" applyFont="1" applyFill="1" applyBorder="1" applyAlignment="1">
      <alignment horizontal="center" vertical="top"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9" fontId="66" fillId="0" borderId="8" xfId="0" applyNumberFormat="1" applyFont="1" applyBorder="1" applyAlignment="1">
      <alignment horizontal="center"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83" fillId="0" borderId="8" xfId="0" applyFont="1" applyBorder="1" applyAlignment="1">
      <alignment horizontal="center" vertical="center" wrapText="1"/>
    </xf>
    <xf numFmtId="0" fontId="160" fillId="0" borderId="8" xfId="0" applyFont="1" applyBorder="1" applyAlignment="1">
      <alignment horizontal="left" vertical="center" wrapText="1"/>
    </xf>
    <xf numFmtId="0" fontId="162"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2"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2"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5" fillId="95" borderId="8" xfId="0" applyFont="1" applyFill="1" applyBorder="1" applyAlignment="1">
      <alignment horizontal="center" vertical="center" wrapText="1"/>
    </xf>
    <xf numFmtId="0" fontId="166" fillId="95" borderId="8" xfId="0" applyFont="1" applyFill="1" applyBorder="1" applyAlignment="1">
      <alignment vertical="center" wrapText="1"/>
    </xf>
    <xf numFmtId="0" fontId="175" fillId="0" borderId="8" xfId="0" applyFont="1" applyBorder="1" applyAlignment="1">
      <alignment horizontal="center"/>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36</xdr:col>
      <xdr:colOff>21772</xdr:colOff>
      <xdr:row>171</xdr:row>
      <xdr:rowOff>21772</xdr:rowOff>
    </xdr:from>
    <xdr:to>
      <xdr:col>52</xdr:col>
      <xdr:colOff>474953</xdr:colOff>
      <xdr:row>207</xdr:row>
      <xdr:rowOff>125244</xdr:rowOff>
    </xdr:to>
    <xdr:pic>
      <xdr:nvPicPr>
        <xdr:cNvPr id="5" name="Picture 4">
          <a:extLst>
            <a:ext uri="{FF2B5EF4-FFF2-40B4-BE49-F238E27FC236}">
              <a16:creationId xmlns:a16="http://schemas.microsoft.com/office/drawing/2014/main" id="{8DBAAE13-F30B-4344-9C9A-1680C073FFA3}"/>
            </a:ext>
          </a:extLst>
        </xdr:cNvPr>
        <xdr:cNvPicPr>
          <a:picLocks noChangeAspect="1"/>
        </xdr:cNvPicPr>
      </xdr:nvPicPr>
      <xdr:blipFill>
        <a:blip xmlns:r="http://schemas.openxmlformats.org/officeDocument/2006/relationships" r:embed="rId1"/>
        <a:stretch>
          <a:fillRect/>
        </a:stretch>
      </xdr:blipFill>
      <xdr:spPr>
        <a:xfrm>
          <a:off x="35843392" y="555172"/>
          <a:ext cx="10450621" cy="6138512"/>
        </a:xfrm>
        <a:prstGeom prst="rect">
          <a:avLst/>
        </a:prstGeom>
      </xdr:spPr>
    </xdr:pic>
    <xdr:clientData/>
  </xdr:twoCellAnchor>
  <xdr:twoCellAnchor editAs="oneCell">
    <xdr:from>
      <xdr:col>55</xdr:col>
      <xdr:colOff>250372</xdr:colOff>
      <xdr:row>188</xdr:row>
      <xdr:rowOff>21771</xdr:rowOff>
    </xdr:from>
    <xdr:to>
      <xdr:col>66</xdr:col>
      <xdr:colOff>434554</xdr:colOff>
      <xdr:row>208</xdr:row>
      <xdr:rowOff>97552</xdr:rowOff>
    </xdr:to>
    <xdr:pic>
      <xdr:nvPicPr>
        <xdr:cNvPr id="6" name="Picture 5">
          <a:extLst>
            <a:ext uri="{FF2B5EF4-FFF2-40B4-BE49-F238E27FC236}">
              <a16:creationId xmlns:a16="http://schemas.microsoft.com/office/drawing/2014/main" id="{0DA44973-1A9A-4AFE-AB6A-FA0267399F4F}"/>
            </a:ext>
          </a:extLst>
        </xdr:cNvPr>
        <xdr:cNvPicPr>
          <a:picLocks noChangeAspect="1"/>
        </xdr:cNvPicPr>
      </xdr:nvPicPr>
      <xdr:blipFill>
        <a:blip xmlns:r="http://schemas.openxmlformats.org/officeDocument/2006/relationships" r:embed="rId2"/>
        <a:stretch>
          <a:fillRect/>
        </a:stretch>
      </xdr:blipFill>
      <xdr:spPr>
        <a:xfrm>
          <a:off x="47943952" y="4288971"/>
          <a:ext cx="7057422" cy="3428581"/>
        </a:xfrm>
        <a:prstGeom prst="rect">
          <a:avLst/>
        </a:prstGeom>
      </xdr:spPr>
    </xdr:pic>
    <xdr:clientData/>
  </xdr:twoCellAnchor>
  <xdr:twoCellAnchor editAs="oneCell">
    <xdr:from>
      <xdr:col>56</xdr:col>
      <xdr:colOff>0</xdr:colOff>
      <xdr:row>174</xdr:row>
      <xdr:rowOff>0</xdr:rowOff>
    </xdr:from>
    <xdr:to>
      <xdr:col>66</xdr:col>
      <xdr:colOff>366572</xdr:colOff>
      <xdr:row>193</xdr:row>
      <xdr:rowOff>126948</xdr:rowOff>
    </xdr:to>
    <xdr:pic>
      <xdr:nvPicPr>
        <xdr:cNvPr id="7" name="Picture 6">
          <a:extLst>
            <a:ext uri="{FF2B5EF4-FFF2-40B4-BE49-F238E27FC236}">
              <a16:creationId xmlns:a16="http://schemas.microsoft.com/office/drawing/2014/main" id="{BAE24F47-6B5E-4BDD-8D0B-95EA060F4589}"/>
            </a:ext>
          </a:extLst>
        </xdr:cNvPr>
        <xdr:cNvPicPr>
          <a:picLocks noChangeAspect="1"/>
        </xdr:cNvPicPr>
      </xdr:nvPicPr>
      <xdr:blipFill>
        <a:blip xmlns:r="http://schemas.openxmlformats.org/officeDocument/2006/relationships" r:embed="rId3"/>
        <a:stretch>
          <a:fillRect/>
        </a:stretch>
      </xdr:blipFill>
      <xdr:spPr>
        <a:xfrm>
          <a:off x="48318420" y="1036320"/>
          <a:ext cx="6614972" cy="3312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TIMES-Nordic/SubRES_TMPL/data_sheets_for_renewable_fue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SUP_COM"/>
      <sheetName val="SUP_PROC"/>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3.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A3" sqref="A3:E6"/>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1380</v>
      </c>
      <c r="C4" s="2" t="s">
        <v>1381</v>
      </c>
    </row>
    <row r="5" spans="1:5" s="2" customFormat="1">
      <c r="A5" s="3">
        <v>44166</v>
      </c>
      <c r="B5" s="2" t="s">
        <v>1380</v>
      </c>
      <c r="C5" s="2" t="s">
        <v>1383</v>
      </c>
      <c r="E5" s="2" t="s">
        <v>1384</v>
      </c>
    </row>
    <row r="6" spans="1:5" s="2" customFormat="1">
      <c r="A6" s="3" t="s">
        <v>706</v>
      </c>
      <c r="B6" s="2" t="s">
        <v>1380</v>
      </c>
      <c r="C6" s="2" t="s">
        <v>1382</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C40" sqref="C40"/>
    </sheetView>
  </sheetViews>
  <sheetFormatPr defaultRowHeight="14.4"/>
  <cols>
    <col min="2" max="2" width="15.88671875" customWidth="1"/>
    <col min="3" max="3" width="15.88671875" bestFit="1" customWidth="1"/>
    <col min="4" max="4" width="44.5546875" bestFit="1" customWidth="1"/>
  </cols>
  <sheetData>
    <row r="3" spans="2:9">
      <c r="B3" s="1078" t="s">
        <v>1421</v>
      </c>
      <c r="C3" s="1079"/>
      <c r="D3" s="1079"/>
      <c r="E3" s="1079"/>
      <c r="F3" s="1079"/>
      <c r="G3" s="1079"/>
      <c r="H3" s="1079"/>
      <c r="I3" s="1079"/>
    </row>
    <row r="4" spans="2:9">
      <c r="B4" s="1080" t="s">
        <v>1422</v>
      </c>
      <c r="C4" s="1080" t="s">
        <v>1423</v>
      </c>
      <c r="D4" s="1080" t="s">
        <v>1424</v>
      </c>
      <c r="E4" s="1081" t="s">
        <v>746</v>
      </c>
      <c r="F4" s="1081" t="s">
        <v>1425</v>
      </c>
      <c r="G4" s="1081" t="s">
        <v>1426</v>
      </c>
      <c r="H4" s="1081" t="s">
        <v>1427</v>
      </c>
      <c r="I4" s="1081" t="s">
        <v>1428</v>
      </c>
    </row>
    <row r="5" spans="2:9" ht="29.4" thickBot="1">
      <c r="B5" s="1083" t="s">
        <v>1429</v>
      </c>
      <c r="C5" s="1082" t="s">
        <v>1430</v>
      </c>
      <c r="D5" s="1082" t="s">
        <v>1431</v>
      </c>
      <c r="E5" s="1082" t="s">
        <v>746</v>
      </c>
      <c r="F5" s="1082" t="s">
        <v>1432</v>
      </c>
      <c r="G5" s="1082" t="s">
        <v>1433</v>
      </c>
      <c r="H5" s="1082" t="s">
        <v>1434</v>
      </c>
      <c r="I5" s="1082" t="s">
        <v>1435</v>
      </c>
    </row>
    <row r="6" spans="2:9">
      <c r="B6" t="s">
        <v>1436</v>
      </c>
      <c r="C6" t="s">
        <v>348</v>
      </c>
      <c r="D6" t="s">
        <v>1437</v>
      </c>
      <c r="E6" t="s">
        <v>25</v>
      </c>
    </row>
    <row r="7" spans="2:9">
      <c r="C7" t="s">
        <v>1314</v>
      </c>
      <c r="D7" t="s">
        <v>1438</v>
      </c>
      <c r="E7" t="s">
        <v>25</v>
      </c>
    </row>
    <row r="8" spans="2:9">
      <c r="C8" t="s">
        <v>153</v>
      </c>
      <c r="D8" t="s">
        <v>1439</v>
      </c>
      <c r="E8" t="s">
        <v>25</v>
      </c>
    </row>
    <row r="9" spans="2:9">
      <c r="C9" t="s">
        <v>163</v>
      </c>
      <c r="D9" t="s">
        <v>1440</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3"/>
  <sheetViews>
    <sheetView topLeftCell="A36" workbookViewId="0">
      <selection activeCell="C63" sqref="C63"/>
    </sheetView>
  </sheetViews>
  <sheetFormatPr defaultRowHeight="14.4"/>
  <cols>
    <col min="3" max="3" width="25.88671875" customWidth="1"/>
    <col min="4" max="4" width="73.88671875" bestFit="1" customWidth="1"/>
  </cols>
  <sheetData>
    <row r="2" spans="2:9">
      <c r="B2" s="71" t="s">
        <v>1</v>
      </c>
      <c r="C2" s="71"/>
      <c r="D2" s="72"/>
      <c r="E2" s="72"/>
      <c r="F2" s="72"/>
      <c r="G2" s="72"/>
      <c r="H2" s="72"/>
      <c r="I2" s="72"/>
    </row>
    <row r="3" spans="2:9">
      <c r="B3" s="73" t="s">
        <v>10</v>
      </c>
      <c r="C3" s="73" t="s">
        <v>2</v>
      </c>
      <c r="D3" s="73" t="s">
        <v>11</v>
      </c>
      <c r="E3" s="73" t="s">
        <v>12</v>
      </c>
      <c r="F3" s="73" t="s">
        <v>13</v>
      </c>
      <c r="G3" s="73" t="s">
        <v>14</v>
      </c>
      <c r="H3" s="73" t="s">
        <v>15</v>
      </c>
      <c r="I3" s="73" t="s">
        <v>16</v>
      </c>
    </row>
    <row r="4" spans="2:9" ht="15" thickBot="1">
      <c r="B4" s="74" t="s">
        <v>17</v>
      </c>
      <c r="C4" s="74" t="s">
        <v>18</v>
      </c>
      <c r="D4" s="74" t="s">
        <v>19</v>
      </c>
      <c r="E4" s="74" t="s">
        <v>20</v>
      </c>
      <c r="F4" s="74" t="s">
        <v>21</v>
      </c>
      <c r="G4" s="74" t="s">
        <v>22</v>
      </c>
      <c r="H4" s="74" t="s">
        <v>23</v>
      </c>
      <c r="I4" s="74" t="s">
        <v>24</v>
      </c>
    </row>
    <row r="5" spans="2:9">
      <c r="B5" s="69" t="s">
        <v>125</v>
      </c>
      <c r="C5" s="1074" t="s">
        <v>301</v>
      </c>
      <c r="D5" s="1074" t="s">
        <v>164</v>
      </c>
      <c r="E5" s="250" t="s">
        <v>311</v>
      </c>
      <c r="F5" s="250" t="s">
        <v>312</v>
      </c>
      <c r="G5" s="1074"/>
      <c r="H5" s="1074"/>
      <c r="I5" s="1074"/>
    </row>
    <row r="6" spans="2:9">
      <c r="B6" s="72"/>
      <c r="C6" s="72" t="s">
        <v>302</v>
      </c>
      <c r="D6" s="72" t="s">
        <v>224</v>
      </c>
      <c r="E6" s="72" t="s">
        <v>25</v>
      </c>
      <c r="F6" s="72" t="s">
        <v>123</v>
      </c>
      <c r="G6" s="69" t="s">
        <v>313</v>
      </c>
      <c r="H6" s="72"/>
      <c r="I6" s="72"/>
    </row>
    <row r="7" spans="2:9">
      <c r="B7" s="72"/>
      <c r="C7" s="72" t="s">
        <v>303</v>
      </c>
      <c r="D7" s="72" t="s">
        <v>221</v>
      </c>
      <c r="E7" s="72" t="s">
        <v>25</v>
      </c>
      <c r="F7" s="72" t="s">
        <v>123</v>
      </c>
      <c r="G7" s="69" t="s">
        <v>313</v>
      </c>
      <c r="H7" s="72"/>
      <c r="I7" s="72"/>
    </row>
    <row r="8" spans="2:9">
      <c r="B8" s="72"/>
      <c r="C8" s="72" t="s">
        <v>304</v>
      </c>
      <c r="D8" s="72" t="s">
        <v>219</v>
      </c>
      <c r="E8" s="72" t="s">
        <v>25</v>
      </c>
      <c r="F8" s="72" t="s">
        <v>123</v>
      </c>
      <c r="G8" s="69" t="s">
        <v>313</v>
      </c>
      <c r="H8" s="72"/>
      <c r="I8" s="72"/>
    </row>
    <row r="9" spans="2:9">
      <c r="B9" s="72"/>
      <c r="C9" s="72" t="s">
        <v>305</v>
      </c>
      <c r="D9" s="72" t="s">
        <v>215</v>
      </c>
      <c r="E9" s="72" t="s">
        <v>25</v>
      </c>
      <c r="F9" s="72" t="s">
        <v>123</v>
      </c>
      <c r="G9" s="69" t="s">
        <v>313</v>
      </c>
      <c r="H9" s="72"/>
      <c r="I9" s="72"/>
    </row>
    <row r="10" spans="2:9">
      <c r="B10" s="72"/>
      <c r="C10" s="72" t="s">
        <v>306</v>
      </c>
      <c r="D10" s="72" t="s">
        <v>212</v>
      </c>
      <c r="E10" s="72" t="s">
        <v>25</v>
      </c>
      <c r="F10" s="72" t="s">
        <v>123</v>
      </c>
      <c r="G10" s="69" t="s">
        <v>313</v>
      </c>
      <c r="H10" s="72"/>
      <c r="I10" s="72"/>
    </row>
    <row r="11" spans="2:9">
      <c r="B11" s="72"/>
      <c r="C11" s="72" t="s">
        <v>307</v>
      </c>
      <c r="D11" s="72" t="s">
        <v>286</v>
      </c>
      <c r="E11" s="72" t="s">
        <v>25</v>
      </c>
      <c r="F11" s="72" t="s">
        <v>123</v>
      </c>
      <c r="G11" s="69" t="s">
        <v>313</v>
      </c>
      <c r="H11" s="72" t="s">
        <v>268</v>
      </c>
      <c r="I11" s="72"/>
    </row>
    <row r="12" spans="2:9">
      <c r="B12" s="72"/>
      <c r="C12" s="72" t="s">
        <v>308</v>
      </c>
      <c r="D12" s="72" t="s">
        <v>261</v>
      </c>
      <c r="E12" s="72" t="s">
        <v>25</v>
      </c>
      <c r="F12" s="72" t="s">
        <v>123</v>
      </c>
      <c r="G12" s="69" t="s">
        <v>313</v>
      </c>
      <c r="H12" s="72" t="s">
        <v>268</v>
      </c>
      <c r="I12" s="72"/>
    </row>
    <row r="13" spans="2:9">
      <c r="B13" s="72"/>
      <c r="C13" s="72" t="s">
        <v>316</v>
      </c>
      <c r="D13" s="72" t="s">
        <v>317</v>
      </c>
      <c r="E13" s="72" t="s">
        <v>25</v>
      </c>
      <c r="F13" s="72" t="s">
        <v>123</v>
      </c>
      <c r="G13" s="69" t="s">
        <v>313</v>
      </c>
      <c r="H13" s="72"/>
      <c r="I13" s="72"/>
    </row>
    <row r="14" spans="2:9">
      <c r="B14" s="72"/>
      <c r="C14" s="72" t="s">
        <v>318</v>
      </c>
      <c r="D14" s="72" t="s">
        <v>319</v>
      </c>
      <c r="E14" s="72" t="s">
        <v>25</v>
      </c>
      <c r="F14" s="72" t="s">
        <v>123</v>
      </c>
      <c r="G14" s="69" t="s">
        <v>313</v>
      </c>
      <c r="H14" s="72"/>
      <c r="I14" s="72"/>
    </row>
    <row r="15" spans="2:9">
      <c r="B15" s="72"/>
      <c r="C15" s="72" t="s">
        <v>320</v>
      </c>
      <c r="D15" s="72" t="s">
        <v>321</v>
      </c>
      <c r="E15" s="72" t="s">
        <v>25</v>
      </c>
      <c r="F15" s="72" t="s">
        <v>123</v>
      </c>
      <c r="G15" s="69" t="s">
        <v>313</v>
      </c>
      <c r="H15" s="72"/>
      <c r="I15" s="72"/>
    </row>
    <row r="16" spans="2:9">
      <c r="B16" s="72"/>
      <c r="C16" s="72" t="s">
        <v>322</v>
      </c>
      <c r="D16" s="72" t="s">
        <v>323</v>
      </c>
      <c r="E16" s="72" t="s">
        <v>25</v>
      </c>
      <c r="F16" s="72" t="s">
        <v>123</v>
      </c>
      <c r="G16" s="69" t="s">
        <v>313</v>
      </c>
      <c r="H16" s="69"/>
      <c r="I16" s="69"/>
    </row>
    <row r="17" spans="2:9">
      <c r="B17" s="222"/>
      <c r="C17" s="222" t="s">
        <v>324</v>
      </c>
      <c r="D17" s="222" t="s">
        <v>325</v>
      </c>
      <c r="E17" s="222" t="s">
        <v>25</v>
      </c>
      <c r="F17" s="222" t="s">
        <v>123</v>
      </c>
      <c r="G17" s="70" t="s">
        <v>313</v>
      </c>
      <c r="H17" s="70"/>
      <c r="I17" s="70"/>
    </row>
    <row r="18" spans="2:9">
      <c r="B18" s="1071"/>
      <c r="C18" s="1071" t="str">
        <f>SUP_H2_Production!B11</f>
        <v>SUPH2ALKC1N</v>
      </c>
      <c r="D18" s="1071" t="str">
        <f>SUP_H2_Production!C11</f>
        <v>Alkaline Electrolyzer Cell Centralized</v>
      </c>
      <c r="E18" s="72" t="s">
        <v>25</v>
      </c>
      <c r="F18" s="72" t="s">
        <v>123</v>
      </c>
      <c r="G18" s="1232" t="s">
        <v>313</v>
      </c>
      <c r="H18" s="1006" t="s">
        <v>1314</v>
      </c>
      <c r="I18" s="1006"/>
    </row>
    <row r="19" spans="2:9">
      <c r="B19" s="1071"/>
      <c r="C19" s="1071" t="str">
        <f>SUP_H2_Production!B19</f>
        <v>SUPHEALKD1N</v>
      </c>
      <c r="D19" s="1071" t="str">
        <f>SUP_H2_Production!C19</f>
        <v>Alkaline Electrolyzer Cell Decentralized</v>
      </c>
      <c r="E19" s="72" t="s">
        <v>25</v>
      </c>
      <c r="F19" s="72" t="s">
        <v>123</v>
      </c>
      <c r="G19" s="1232" t="s">
        <v>313</v>
      </c>
      <c r="H19" s="1006" t="s">
        <v>348</v>
      </c>
      <c r="I19" s="1006"/>
    </row>
    <row r="20" spans="2:9">
      <c r="B20" s="1071"/>
      <c r="C20" s="1071" t="str">
        <f>SUP_H2_Production!B27</f>
        <v>SUPH2ALKR1N</v>
      </c>
      <c r="D20" s="1071" t="str">
        <f>SUP_H2_Production!C27</f>
        <v>Alkaline Electrolyzer Cell Rural</v>
      </c>
      <c r="E20" s="72" t="s">
        <v>25</v>
      </c>
      <c r="F20" s="72" t="s">
        <v>123</v>
      </c>
      <c r="G20" s="1232" t="s">
        <v>313</v>
      </c>
      <c r="H20" s="1006" t="s">
        <v>1314</v>
      </c>
      <c r="I20" s="1006"/>
    </row>
    <row r="21" spans="2:9">
      <c r="B21" s="1071"/>
      <c r="C21" s="1071" t="str">
        <f>SUP_H2_Production!B35</f>
        <v>SUPH2ALKC2N</v>
      </c>
      <c r="D21" s="1071" t="str">
        <f>SUP_H2_Production!C35</f>
        <v>Alkaline Electrolyzer Cell Centralized</v>
      </c>
      <c r="E21" s="72" t="s">
        <v>25</v>
      </c>
      <c r="F21" s="72" t="s">
        <v>123</v>
      </c>
      <c r="G21" s="1232" t="s">
        <v>313</v>
      </c>
      <c r="H21" s="1006" t="s">
        <v>1314</v>
      </c>
      <c r="I21" s="1006"/>
    </row>
    <row r="22" spans="2:9">
      <c r="B22" s="1071"/>
      <c r="C22" s="1071" t="str">
        <f>SUP_H2_Production!B43</f>
        <v>SUPH2ALKD2N</v>
      </c>
      <c r="D22" s="1071" t="str">
        <f>SUP_H2_Production!C43</f>
        <v>Alkaline Electrolyzer Cell Decentralized</v>
      </c>
      <c r="E22" s="72" t="s">
        <v>25</v>
      </c>
      <c r="F22" s="72" t="s">
        <v>123</v>
      </c>
      <c r="G22" s="1232" t="s">
        <v>313</v>
      </c>
      <c r="H22" s="1006" t="s">
        <v>348</v>
      </c>
      <c r="I22" s="1006"/>
    </row>
    <row r="23" spans="2:9">
      <c r="B23" s="1071"/>
      <c r="C23" s="1071" t="str">
        <f>SUP_H2_Production!B51</f>
        <v>SUPH2ALKR2N</v>
      </c>
      <c r="D23" s="1071" t="str">
        <f>SUP_H2_Production!C51</f>
        <v>Alkaline Electrolyzer Cell Rural</v>
      </c>
      <c r="E23" s="72" t="s">
        <v>25</v>
      </c>
      <c r="F23" s="72" t="s">
        <v>123</v>
      </c>
      <c r="G23" s="1232" t="s">
        <v>313</v>
      </c>
      <c r="H23" s="1006" t="s">
        <v>1314</v>
      </c>
      <c r="I23" s="1006"/>
    </row>
    <row r="24" spans="2:9">
      <c r="B24" s="1071"/>
      <c r="C24" s="1071" t="str">
        <f>SUP_H2_Production!B59</f>
        <v>SUPH2PEMC1N</v>
      </c>
      <c r="D24" s="1071" t="str">
        <f>SUP_H2_Production!C59</f>
        <v>PEM Electrolyzer Cell Centralized</v>
      </c>
      <c r="E24" s="72" t="s">
        <v>25</v>
      </c>
      <c r="F24" s="72" t="s">
        <v>123</v>
      </c>
      <c r="G24" s="1232" t="s">
        <v>313</v>
      </c>
      <c r="H24" s="1006" t="s">
        <v>1314</v>
      </c>
      <c r="I24" s="1006"/>
    </row>
    <row r="25" spans="2:9">
      <c r="B25" s="1071"/>
      <c r="C25" s="1071" t="str">
        <f>SUP_H2_Production!B67</f>
        <v>SUPH2PEMD1N</v>
      </c>
      <c r="D25" s="1071" t="str">
        <f>SUP_H2_Production!C67</f>
        <v>PEM Electrolyzer Cell Decentralized</v>
      </c>
      <c r="E25" s="72" t="s">
        <v>25</v>
      </c>
      <c r="F25" s="72" t="s">
        <v>123</v>
      </c>
      <c r="G25" s="1232" t="s">
        <v>313</v>
      </c>
      <c r="H25" s="1006" t="s">
        <v>348</v>
      </c>
      <c r="I25" s="1006"/>
    </row>
    <row r="26" spans="2:9">
      <c r="B26" s="1071"/>
      <c r="C26" s="1071" t="str">
        <f>SUP_H2_Production!B75</f>
        <v>SUPH2PEMR1N</v>
      </c>
      <c r="D26" s="1071" t="str">
        <f>SUP_H2_Production!C75</f>
        <v>PEM Electrolyzer Cell Rural</v>
      </c>
      <c r="E26" s="72" t="s">
        <v>25</v>
      </c>
      <c r="F26" s="72" t="s">
        <v>123</v>
      </c>
      <c r="G26" s="1232" t="s">
        <v>313</v>
      </c>
      <c r="H26" s="1006" t="s">
        <v>1314</v>
      </c>
      <c r="I26" s="1006"/>
    </row>
    <row r="27" spans="2:9">
      <c r="B27" s="1071"/>
      <c r="C27" s="1071" t="str">
        <f>SUP_H2_Production!B83</f>
        <v>SUPH2PEMC2N</v>
      </c>
      <c r="D27" s="1071" t="str">
        <f>SUP_H2_Production!C83</f>
        <v>PEM Electrolyzer Cell Centralized</v>
      </c>
      <c r="E27" s="72" t="s">
        <v>25</v>
      </c>
      <c r="F27" s="72" t="s">
        <v>123</v>
      </c>
      <c r="G27" s="1232" t="s">
        <v>313</v>
      </c>
      <c r="H27" s="1006" t="s">
        <v>1314</v>
      </c>
      <c r="I27" s="1006"/>
    </row>
    <row r="28" spans="2:9">
      <c r="B28" s="1071"/>
      <c r="C28" s="1071" t="str">
        <f>SUP_H2_Production!B91</f>
        <v>SUPH2PEMD2N</v>
      </c>
      <c r="D28" s="1071" t="str">
        <f>SUP_H2_Production!C91</f>
        <v>PEM Electrolyzer Cell Decentralized</v>
      </c>
      <c r="E28" s="72" t="s">
        <v>25</v>
      </c>
      <c r="F28" s="72" t="s">
        <v>123</v>
      </c>
      <c r="G28" s="1232" t="s">
        <v>313</v>
      </c>
      <c r="H28" s="1006" t="s">
        <v>348</v>
      </c>
      <c r="I28" s="1006"/>
    </row>
    <row r="29" spans="2:9">
      <c r="B29" s="1071"/>
      <c r="C29" s="1071" t="str">
        <f>SUP_H2_Production!B99</f>
        <v>SUPH2PEMR2N</v>
      </c>
      <c r="D29" s="1071" t="str">
        <f>SUP_H2_Production!C99</f>
        <v>PEM Electrolyzer Cell Rural</v>
      </c>
      <c r="E29" s="1071" t="s">
        <v>25</v>
      </c>
      <c r="F29" s="1071" t="s">
        <v>123</v>
      </c>
      <c r="G29" s="1006" t="s">
        <v>313</v>
      </c>
      <c r="H29" s="1006" t="s">
        <v>1314</v>
      </c>
      <c r="I29" s="1006"/>
    </row>
    <row r="30" spans="2:9">
      <c r="B30" s="1071"/>
      <c r="C30" s="1071" t="str">
        <f>SUP_H2_Production!B107</f>
        <v>SUPH2SOEC2N</v>
      </c>
      <c r="D30" s="1071" t="str">
        <f>SUP_H2_Production!C107</f>
        <v>SOEC Electrolyzer Cell Centralized</v>
      </c>
      <c r="E30" s="72" t="s">
        <v>25</v>
      </c>
      <c r="F30" s="72" t="s">
        <v>123</v>
      </c>
      <c r="G30" s="1232" t="s">
        <v>313</v>
      </c>
      <c r="H30" s="1006" t="s">
        <v>1314</v>
      </c>
      <c r="I30" s="1006"/>
    </row>
    <row r="31" spans="2:9">
      <c r="B31" s="1071"/>
      <c r="C31" s="1071" t="str">
        <f>SUP_H2_Production!B115</f>
        <v>SUPH2SOED2N</v>
      </c>
      <c r="D31" s="1071" t="str">
        <f>SUP_H2_Production!C115</f>
        <v>SOEC Electrolyzer Cell Decentralized</v>
      </c>
      <c r="E31" s="72" t="s">
        <v>25</v>
      </c>
      <c r="F31" s="72" t="s">
        <v>123</v>
      </c>
      <c r="G31" s="1232" t="s">
        <v>313</v>
      </c>
      <c r="H31" s="1006" t="s">
        <v>348</v>
      </c>
      <c r="I31" s="1006"/>
    </row>
    <row r="32" spans="2:9">
      <c r="B32" s="1071"/>
      <c r="C32" s="1071" t="str">
        <f>SUP_H2_Production!B123</f>
        <v>SUPH2SOER2N</v>
      </c>
      <c r="D32" s="1071" t="str">
        <f>SUP_H2_Production!C123</f>
        <v>SOEC Electrolyzer Cell Rural</v>
      </c>
      <c r="E32" s="72" t="s">
        <v>25</v>
      </c>
      <c r="F32" s="72" t="s">
        <v>123</v>
      </c>
      <c r="G32" s="1232" t="s">
        <v>313</v>
      </c>
      <c r="H32" s="1006" t="s">
        <v>1314</v>
      </c>
      <c r="I32" s="1006"/>
    </row>
    <row r="33" spans="2:9">
      <c r="B33" s="1071"/>
      <c r="C33" s="1071" t="str">
        <f>SUP_H2_Production!B182</f>
        <v>SUPNGAH21N</v>
      </c>
      <c r="D33" s="1071" t="str">
        <f>SUP_H2_Production!C182</f>
        <v>Steam Reforming NGA Large Central</v>
      </c>
      <c r="E33" s="72" t="s">
        <v>25</v>
      </c>
      <c r="F33" s="72" t="s">
        <v>123</v>
      </c>
      <c r="G33" s="1232" t="s">
        <v>313</v>
      </c>
      <c r="H33" s="1006" t="s">
        <v>1314</v>
      </c>
      <c r="I33" s="1006"/>
    </row>
    <row r="34" spans="2:9">
      <c r="B34" s="1071"/>
      <c r="C34" s="1071" t="str">
        <f>SUP_H2_Production!B185</f>
        <v>SUPNGAH2CC1N</v>
      </c>
      <c r="D34" s="1071" t="str">
        <f>SUP_H2_Production!C185</f>
        <v>Steam Reforming NGA Large Central With Carbon Capture 55 % CO2 capture</v>
      </c>
      <c r="E34" s="72" t="s">
        <v>25</v>
      </c>
      <c r="F34" s="72" t="s">
        <v>123</v>
      </c>
      <c r="G34" s="1232" t="s">
        <v>313</v>
      </c>
      <c r="H34" s="1006" t="s">
        <v>1314</v>
      </c>
      <c r="I34" s="1006"/>
    </row>
    <row r="35" spans="2:9">
      <c r="B35" s="1071"/>
      <c r="C35" s="1071" t="str">
        <f>SUP_H2_Production!B188</f>
        <v>SUPNGAH2CC2N</v>
      </c>
      <c r="D35" s="1071" t="str">
        <f>SUP_H2_Production!C188</f>
        <v>Steam Reforming NGA Large Central With Carbon Capture 1 54 % CO2 capture</v>
      </c>
      <c r="E35" s="72" t="s">
        <v>25</v>
      </c>
      <c r="F35" s="72" t="s">
        <v>123</v>
      </c>
      <c r="G35" s="1232" t="s">
        <v>313</v>
      </c>
      <c r="H35" s="1006" t="s">
        <v>1314</v>
      </c>
      <c r="I35" s="1006"/>
    </row>
    <row r="36" spans="2:9">
      <c r="B36" s="222"/>
      <c r="C36" s="222" t="str">
        <f>SUP_H2_Production!B191</f>
        <v>SUPNGAH2CC3N</v>
      </c>
      <c r="D36" s="222" t="str">
        <f>SUP_H2_Production!C191</f>
        <v>Steam Reforming NGA Large Central With Carbon Capture 1 90 % CO2 capture</v>
      </c>
      <c r="E36" s="222" t="s">
        <v>25</v>
      </c>
      <c r="F36" s="222" t="s">
        <v>123</v>
      </c>
      <c r="G36" s="70" t="s">
        <v>313</v>
      </c>
      <c r="H36" s="70" t="s">
        <v>1314</v>
      </c>
      <c r="I36" s="70"/>
    </row>
    <row r="37" spans="2:9">
      <c r="B37" s="1071"/>
      <c r="C37" s="1071" t="s">
        <v>326</v>
      </c>
      <c r="D37" s="1071" t="s">
        <v>1727</v>
      </c>
      <c r="E37" s="1071" t="s">
        <v>25</v>
      </c>
      <c r="F37" s="1071" t="s">
        <v>314</v>
      </c>
      <c r="G37" s="1006" t="s">
        <v>313</v>
      </c>
      <c r="H37" s="1006" t="s">
        <v>315</v>
      </c>
      <c r="I37" s="1006"/>
    </row>
    <row r="38" spans="2:9">
      <c r="B38" s="1071"/>
      <c r="C38" s="1071" t="s">
        <v>1725</v>
      </c>
      <c r="D38" s="1071" t="s">
        <v>1728</v>
      </c>
      <c r="E38" s="1071" t="s">
        <v>25</v>
      </c>
      <c r="F38" s="1071" t="s">
        <v>314</v>
      </c>
      <c r="G38" s="1006" t="s">
        <v>313</v>
      </c>
      <c r="H38" s="1006" t="s">
        <v>315</v>
      </c>
      <c r="I38" s="1006"/>
    </row>
    <row r="39" spans="2:9">
      <c r="B39" s="222"/>
      <c r="C39" s="222" t="s">
        <v>1726</v>
      </c>
      <c r="D39" s="222" t="s">
        <v>1729</v>
      </c>
      <c r="E39" s="222" t="s">
        <v>25</v>
      </c>
      <c r="F39" s="222" t="s">
        <v>314</v>
      </c>
      <c r="G39" s="70" t="s">
        <v>313</v>
      </c>
      <c r="H39" s="70" t="s">
        <v>315</v>
      </c>
      <c r="I39" s="70"/>
    </row>
    <row r="40" spans="2:9">
      <c r="B40" s="1071"/>
      <c r="C40" s="1006" t="str">
        <f>SUP_DEA_ELECTRO!B11</f>
        <v>SUPMOECO2C1</v>
      </c>
      <c r="D40" s="1006" t="str">
        <f>SUP_DEA_ELECTRO!C11</f>
        <v>Power to Methanol Central</v>
      </c>
      <c r="E40" s="1051" t="s">
        <v>25</v>
      </c>
      <c r="F40" s="1051" t="s">
        <v>123</v>
      </c>
      <c r="G40" s="72" t="s">
        <v>313</v>
      </c>
      <c r="H40" s="1006" t="s">
        <v>268</v>
      </c>
      <c r="I40" s="1006"/>
    </row>
    <row r="41" spans="2:9">
      <c r="B41" s="1071"/>
      <c r="C41" s="1006" t="str">
        <f>SUP_DEA_ELECTRO!B31</f>
        <v>SUPKRECO2C1</v>
      </c>
      <c r="D41" s="1006" t="str">
        <f>SUP_DEA_ELECTRO!C31</f>
        <v>Hydrogen to Jet Fuel Central</v>
      </c>
      <c r="E41" s="1051" t="s">
        <v>25</v>
      </c>
      <c r="F41" s="1051" t="s">
        <v>123</v>
      </c>
      <c r="G41" s="72" t="s">
        <v>313</v>
      </c>
      <c r="H41" s="1006" t="s">
        <v>223</v>
      </c>
      <c r="I41" s="1006"/>
    </row>
    <row r="42" spans="2:9">
      <c r="B42" s="222"/>
      <c r="C42" s="70" t="str">
        <f>SUP_DEA_ELECTRO!B47</f>
        <v>SUPKRECO2C2</v>
      </c>
      <c r="D42" s="70" t="str">
        <f>SUP_DEA_ELECTRO!C47</f>
        <v>Power to Jet Fuel Central</v>
      </c>
      <c r="E42" s="70" t="s">
        <v>25</v>
      </c>
      <c r="F42" s="70" t="s">
        <v>123</v>
      </c>
      <c r="G42" s="222" t="s">
        <v>313</v>
      </c>
      <c r="H42" s="70" t="s">
        <v>223</v>
      </c>
      <c r="I42" s="1006"/>
    </row>
    <row r="43" spans="2:9">
      <c r="C43" s="69" t="str">
        <f>SUP_Biofuels!C10</f>
        <v>SUPDSB2WCHC3</v>
      </c>
      <c r="D43" s="1233" t="str">
        <f>SUP_Biofuels!D10</f>
        <v>Gasifier, biomass, Fischer Tropsch liquid fuels, large scale Central</v>
      </c>
      <c r="E43" s="69" t="s">
        <v>25</v>
      </c>
      <c r="F43" s="69" t="s">
        <v>123</v>
      </c>
      <c r="G43" s="69"/>
      <c r="H43" s="69" t="s">
        <v>86</v>
      </c>
      <c r="I43" s="69"/>
    </row>
    <row r="44" spans="2:9">
      <c r="B44" s="69"/>
      <c r="C44" s="69" t="str">
        <f>SUP_Biofuels!C30</f>
        <v>SUPMOB2WCHC1</v>
      </c>
      <c r="D44" s="1233" t="str">
        <f>SUP_Biofuels!D30</f>
        <v>Bio Methanol Central</v>
      </c>
      <c r="E44" s="69" t="s">
        <v>25</v>
      </c>
      <c r="F44" s="69" t="s">
        <v>123</v>
      </c>
      <c r="G44" s="69"/>
      <c r="H44" s="69" t="s">
        <v>69</v>
      </c>
      <c r="I44" s="69"/>
    </row>
    <row r="45" spans="2:9">
      <c r="B45" s="69"/>
      <c r="C45" s="69" t="str">
        <f>SUP_Biofuels!C42</f>
        <v>SUPDSB1RPSC1</v>
      </c>
      <c r="D45" s="1233" t="str">
        <f>SUP_Biofuels!D42</f>
        <v>Vegetable Oil FAME Central</v>
      </c>
      <c r="E45" s="69" t="s">
        <v>25</v>
      </c>
      <c r="F45" s="69" t="s">
        <v>123</v>
      </c>
      <c r="G45" s="69"/>
      <c r="H45" s="69" t="s">
        <v>73</v>
      </c>
      <c r="I45" s="69"/>
    </row>
    <row r="46" spans="2:9">
      <c r="B46" s="69"/>
      <c r="C46" s="69" t="str">
        <f>SUP_Biofuels!C67</f>
        <v>SUPDSB1CRBC1</v>
      </c>
      <c r="D46" s="1233" t="str">
        <f>SUP_Biofuels!D67</f>
        <v>Vegetable Oil FAME Central</v>
      </c>
      <c r="E46" s="69" t="s">
        <v>25</v>
      </c>
      <c r="F46" s="69" t="s">
        <v>123</v>
      </c>
      <c r="G46" s="69"/>
      <c r="H46" s="1233" t="s">
        <v>73</v>
      </c>
      <c r="I46" s="69"/>
    </row>
    <row r="47" spans="2:9">
      <c r="B47" s="69"/>
      <c r="C47" s="69" t="str">
        <f>SUP_Biofuels!C92</f>
        <v>SUPDSB1RPSC2</v>
      </c>
      <c r="D47" s="1233" t="str">
        <f>SUP_Biofuels!D92</f>
        <v>UCO and Animal Fat FAME Central</v>
      </c>
      <c r="E47" s="69" t="s">
        <v>25</v>
      </c>
      <c r="F47" s="69" t="s">
        <v>123</v>
      </c>
      <c r="G47" s="69"/>
      <c r="H47" s="1233" t="s">
        <v>73</v>
      </c>
      <c r="I47" s="69"/>
    </row>
    <row r="48" spans="2:9">
      <c r="B48" s="69"/>
      <c r="C48" s="69" t="str">
        <f>SUP_Biofuels!C117</f>
        <v>SUPDSB1RPSC3</v>
      </c>
      <c r="D48" s="1233" t="str">
        <f>SUP_Biofuels!D117</f>
        <v>HVO / renwable diesel Central</v>
      </c>
      <c r="E48" s="69" t="s">
        <v>25</v>
      </c>
      <c r="F48" s="69" t="s">
        <v>123</v>
      </c>
      <c r="G48" s="69"/>
      <c r="H48" s="1233" t="s">
        <v>73</v>
      </c>
      <c r="I48" s="69"/>
    </row>
    <row r="49" spans="2:9">
      <c r="B49" s="69"/>
      <c r="C49" s="69" t="str">
        <f>SUP_Biofuels!C157</f>
        <v>SUPDSB1CRBC3</v>
      </c>
      <c r="D49" s="1233" t="str">
        <f>SUP_Biofuels!D157</f>
        <v>HVO / renwable diesel Central</v>
      </c>
      <c r="E49" s="69" t="s">
        <v>25</v>
      </c>
      <c r="F49" s="69" t="s">
        <v>123</v>
      </c>
      <c r="G49" s="69"/>
      <c r="H49" s="1233" t="s">
        <v>73</v>
      </c>
      <c r="I49" s="69"/>
    </row>
    <row r="50" spans="2:9">
      <c r="B50" s="69"/>
      <c r="C50" s="69" t="str">
        <f>SUP_Biofuels!C197</f>
        <v>SUPKRB1RPSC1</v>
      </c>
      <c r="D50" s="1233" t="str">
        <f>SUP_Biofuels!D197</f>
        <v>HVO Jet Fuel Central</v>
      </c>
      <c r="E50" s="69" t="s">
        <v>25</v>
      </c>
      <c r="F50" s="69" t="s">
        <v>123</v>
      </c>
      <c r="G50" s="69"/>
      <c r="H50" s="69" t="s">
        <v>79</v>
      </c>
      <c r="I50" s="69"/>
    </row>
    <row r="51" spans="2:9">
      <c r="B51" s="69"/>
      <c r="C51" s="69" t="str">
        <f>SUP_Biofuels!C237</f>
        <v>SUPKRB1CRBC1</v>
      </c>
      <c r="D51" s="1233" t="str">
        <f>SUP_Biofuels!D237</f>
        <v>HVO Jet Fuel Central</v>
      </c>
      <c r="E51" s="69" t="s">
        <v>25</v>
      </c>
      <c r="F51" s="69" t="s">
        <v>123</v>
      </c>
      <c r="G51" s="69"/>
      <c r="H51" s="1233" t="s">
        <v>79</v>
      </c>
      <c r="I51" s="69"/>
    </row>
    <row r="52" spans="2:9">
      <c r="B52" s="69"/>
      <c r="C52" s="69" t="str">
        <f>SUP_Biofuels!C277</f>
        <v>SUPGSB1CRNC1</v>
      </c>
      <c r="D52" s="1233" t="str">
        <f>SUP_Biofuels!D277</f>
        <v>1st Generation Ethanol Central</v>
      </c>
      <c r="E52" s="69" t="s">
        <v>25</v>
      </c>
      <c r="F52" s="69" t="s">
        <v>123</v>
      </c>
      <c r="G52" s="69"/>
      <c r="H52" s="69" t="s">
        <v>81</v>
      </c>
      <c r="I52" s="69"/>
    </row>
    <row r="53" spans="2:9">
      <c r="B53" s="1006"/>
      <c r="C53" s="1006" t="str">
        <f>SUP_Biofuels!C297</f>
        <v>SUPCRBCRND1</v>
      </c>
      <c r="D53" s="1006" t="str">
        <f>SUP_Biofuels!D297</f>
        <v>Fast Pyrolysis Bio Oil</v>
      </c>
      <c r="E53" s="1006" t="s">
        <v>25</v>
      </c>
      <c r="F53" s="1006" t="s">
        <v>123</v>
      </c>
      <c r="G53" s="1006"/>
      <c r="H53" s="1233" t="s">
        <v>1762</v>
      </c>
      <c r="I53" s="1006"/>
    </row>
    <row r="54" spans="2:9">
      <c r="B54" s="1006"/>
      <c r="C54" s="1006" t="str">
        <f>SUP_Biofuels!C317</f>
        <v>SUPGSB1STRC1</v>
      </c>
      <c r="D54" s="1006" t="str">
        <f>SUP_Biofuels!D317</f>
        <v>Cellulosic Ethanol Central</v>
      </c>
      <c r="E54" s="1006" t="s">
        <v>25</v>
      </c>
      <c r="F54" s="1006" t="s">
        <v>123</v>
      </c>
      <c r="G54" s="1006"/>
      <c r="H54" s="1006" t="s">
        <v>81</v>
      </c>
      <c r="I54" s="1006"/>
    </row>
    <row r="55" spans="2:9">
      <c r="B55" s="1006"/>
      <c r="C55" s="1006" t="str">
        <f>SUP_Biofuels!C327</f>
        <v>SUPCRBWCHC1</v>
      </c>
      <c r="D55" s="1006" t="str">
        <f>SUP_Biofuels!D327</f>
        <v>Bio Oil Central</v>
      </c>
      <c r="E55" s="1006" t="s">
        <v>25</v>
      </c>
      <c r="F55" s="1006" t="s">
        <v>123</v>
      </c>
      <c r="G55" s="1006"/>
      <c r="H55" s="1006" t="s">
        <v>1762</v>
      </c>
      <c r="I55" s="1006"/>
    </row>
    <row r="56" spans="2:9">
      <c r="B56" s="1006"/>
      <c r="C56" s="1006" t="str">
        <f>SUP_Biofuels!C335</f>
        <v>SUPGSB2WCHC2</v>
      </c>
      <c r="D56" s="1006" t="str">
        <f>SUP_Biofuels!D335</f>
        <v>Catalytic Hydropyrolysis conf. 2 Central</v>
      </c>
      <c r="E56" s="1006" t="s">
        <v>25</v>
      </c>
      <c r="F56" s="1006" t="s">
        <v>123</v>
      </c>
      <c r="G56" s="1006"/>
      <c r="H56" s="1006" t="s">
        <v>85</v>
      </c>
      <c r="I56" s="1006"/>
    </row>
    <row r="57" spans="2:9">
      <c r="B57" s="70"/>
      <c r="C57" s="70" t="str">
        <f>SUP_Biofuels!C347</f>
        <v>SUPCRBWCHC1</v>
      </c>
      <c r="D57" s="70" t="str">
        <f>SUP_Biofuels!D347</f>
        <v>Catalytic Hydroprocessing conf. 1 with biochar production  Central</v>
      </c>
      <c r="E57" s="70" t="s">
        <v>25</v>
      </c>
      <c r="F57" s="70" t="s">
        <v>123</v>
      </c>
      <c r="G57" s="70"/>
      <c r="H57" s="70" t="s">
        <v>1762</v>
      </c>
      <c r="I57" s="1006"/>
    </row>
    <row r="58" spans="2:9">
      <c r="B58" s="69"/>
      <c r="C58" s="69" t="s">
        <v>377</v>
      </c>
      <c r="D58" s="69" t="s">
        <v>378</v>
      </c>
      <c r="E58" s="69" t="s">
        <v>25</v>
      </c>
      <c r="F58" s="69" t="s">
        <v>123</v>
      </c>
      <c r="G58" s="69"/>
      <c r="H58" s="69" t="s">
        <v>380</v>
      </c>
      <c r="I58" s="69"/>
    </row>
    <row r="59" spans="2:9">
      <c r="B59" s="69"/>
      <c r="C59" s="69" t="s">
        <v>390</v>
      </c>
      <c r="D59" s="69" t="s">
        <v>391</v>
      </c>
      <c r="E59" s="69" t="s">
        <v>25</v>
      </c>
      <c r="F59" s="69" t="s">
        <v>123</v>
      </c>
      <c r="G59" s="69"/>
      <c r="H59" s="69" t="s">
        <v>380</v>
      </c>
      <c r="I59" s="69"/>
    </row>
    <row r="60" spans="2:9">
      <c r="B60" s="69"/>
      <c r="C60" s="69" t="s">
        <v>415</v>
      </c>
      <c r="D60" s="69" t="s">
        <v>416</v>
      </c>
      <c r="E60" s="69" t="s">
        <v>25</v>
      </c>
      <c r="F60" s="69" t="s">
        <v>123</v>
      </c>
      <c r="G60" s="69"/>
      <c r="H60" s="69" t="s">
        <v>88</v>
      </c>
      <c r="I60" s="69"/>
    </row>
    <row r="61" spans="2:9">
      <c r="B61" s="69"/>
      <c r="C61" s="69" t="s">
        <v>417</v>
      </c>
      <c r="D61" s="69" t="s">
        <v>418</v>
      </c>
      <c r="E61" s="69" t="s">
        <v>25</v>
      </c>
      <c r="F61" s="69" t="s">
        <v>123</v>
      </c>
      <c r="G61" s="69"/>
      <c r="H61" s="69" t="s">
        <v>88</v>
      </c>
      <c r="I61" s="69"/>
    </row>
    <row r="62" spans="2:9">
      <c r="B62" s="69"/>
      <c r="C62" s="69" t="s">
        <v>1310</v>
      </c>
      <c r="D62" s="69" t="s">
        <v>429</v>
      </c>
      <c r="E62" s="69" t="s">
        <v>25</v>
      </c>
      <c r="F62" s="69" t="s">
        <v>123</v>
      </c>
      <c r="G62" s="69"/>
      <c r="H62" s="69" t="s">
        <v>431</v>
      </c>
      <c r="I62" s="69"/>
    </row>
    <row r="63" spans="2:9">
      <c r="B63" s="69"/>
      <c r="C63" s="69" t="s">
        <v>1311</v>
      </c>
      <c r="D63" s="69" t="s">
        <v>442</v>
      </c>
      <c r="E63" s="69" t="s">
        <v>25</v>
      </c>
      <c r="F63" s="69" t="s">
        <v>123</v>
      </c>
      <c r="G63" s="69"/>
      <c r="H63" s="69" t="s">
        <v>431</v>
      </c>
      <c r="I63" s="69"/>
    </row>
    <row r="64" spans="2:9">
      <c r="B64" s="69"/>
      <c r="C64" s="69" t="s">
        <v>1312</v>
      </c>
      <c r="D64" s="69" t="s">
        <v>443</v>
      </c>
      <c r="E64" s="69" t="s">
        <v>25</v>
      </c>
      <c r="F64" s="69" t="s">
        <v>123</v>
      </c>
      <c r="G64" s="69"/>
      <c r="H64" s="69" t="s">
        <v>431</v>
      </c>
      <c r="I64" s="69"/>
    </row>
    <row r="65" spans="2:9">
      <c r="B65" s="69"/>
      <c r="C65" s="69" t="s">
        <v>1313</v>
      </c>
      <c r="D65" s="69" t="s">
        <v>444</v>
      </c>
      <c r="E65" s="69" t="s">
        <v>25</v>
      </c>
      <c r="F65" s="69" t="s">
        <v>123</v>
      </c>
      <c r="G65" s="69"/>
      <c r="H65" s="69" t="s">
        <v>431</v>
      </c>
      <c r="I65" s="69"/>
    </row>
    <row r="66" spans="2:9">
      <c r="B66" s="70" t="s">
        <v>42</v>
      </c>
      <c r="C66" s="70" t="s">
        <v>446</v>
      </c>
      <c r="D66" s="70" t="s">
        <v>447</v>
      </c>
      <c r="E66" s="70" t="s">
        <v>25</v>
      </c>
      <c r="F66" s="70" t="s">
        <v>123</v>
      </c>
      <c r="G66" s="70"/>
      <c r="H66" s="70" t="s">
        <v>431</v>
      </c>
      <c r="I66" s="70"/>
    </row>
    <row r="67" spans="2:9">
      <c r="B67" s="69"/>
      <c r="C67" s="69" t="s">
        <v>1302</v>
      </c>
      <c r="D67" s="69" t="s">
        <v>1301</v>
      </c>
      <c r="E67" s="69" t="s">
        <v>25</v>
      </c>
      <c r="F67" s="69" t="s">
        <v>314</v>
      </c>
      <c r="G67" s="69"/>
      <c r="H67" s="69"/>
      <c r="I67" s="69"/>
    </row>
    <row r="68" spans="2:9">
      <c r="B68" s="70"/>
      <c r="C68" s="70" t="s">
        <v>1300</v>
      </c>
      <c r="D68" s="70" t="s">
        <v>1299</v>
      </c>
      <c r="E68" s="70" t="s">
        <v>25</v>
      </c>
      <c r="F68" s="70" t="s">
        <v>314</v>
      </c>
      <c r="G68" s="70"/>
      <c r="H68" s="70"/>
      <c r="I68" s="70"/>
    </row>
    <row r="69" spans="2:9">
      <c r="B69" s="69" t="s">
        <v>309</v>
      </c>
      <c r="C69" s="69" t="s">
        <v>154</v>
      </c>
      <c r="D69" s="69" t="s">
        <v>310</v>
      </c>
      <c r="E69" s="69" t="s">
        <v>311</v>
      </c>
      <c r="F69" s="69" t="s">
        <v>312</v>
      </c>
      <c r="G69" s="69"/>
      <c r="H69" s="69" t="s">
        <v>153</v>
      </c>
      <c r="I69" s="69"/>
    </row>
    <row r="70" spans="2:9">
      <c r="E70" s="1117"/>
      <c r="F70" s="1117"/>
      <c r="H70" s="1117"/>
    </row>
    <row r="71" spans="2:9">
      <c r="E71" s="1117"/>
      <c r="F71" s="1117"/>
      <c r="H71" s="1117"/>
    </row>
    <row r="72" spans="2:9">
      <c r="E72" s="1117"/>
      <c r="F72" s="1117"/>
      <c r="H72" s="1117"/>
    </row>
    <row r="73" spans="2:9">
      <c r="E73" s="1117"/>
      <c r="F73" s="1117"/>
      <c r="H73" s="111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K34" sqref="K34"/>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23" t="s">
        <v>190</v>
      </c>
      <c r="N1" s="122">
        <v>7.45</v>
      </c>
    </row>
    <row r="2" spans="2:48">
      <c r="B2" s="69"/>
      <c r="C2" s="69"/>
      <c r="D2" s="69"/>
      <c r="E2" s="121"/>
      <c r="F2" s="121"/>
      <c r="G2" s="121"/>
      <c r="H2" s="121" t="s">
        <v>0</v>
      </c>
      <c r="I2" s="121"/>
      <c r="J2" s="121"/>
      <c r="K2" s="121"/>
      <c r="L2" s="69"/>
      <c r="M2" s="69"/>
      <c r="N2" s="69"/>
      <c r="O2" s="69"/>
      <c r="P2" s="69"/>
      <c r="Q2" s="69"/>
      <c r="R2" s="69"/>
    </row>
    <row r="3" spans="2:48" ht="14.4" customHeight="1">
      <c r="B3" s="120" t="s">
        <v>2</v>
      </c>
      <c r="C3" s="120" t="s">
        <v>11</v>
      </c>
      <c r="D3" s="119" t="s">
        <v>32</v>
      </c>
      <c r="E3" s="119" t="s">
        <v>189</v>
      </c>
      <c r="F3" s="119" t="s">
        <v>3</v>
      </c>
      <c r="G3" s="119" t="s">
        <v>158</v>
      </c>
      <c r="H3" s="119" t="s">
        <v>34</v>
      </c>
      <c r="I3" s="119" t="s">
        <v>4</v>
      </c>
      <c r="J3" s="119" t="s">
        <v>188</v>
      </c>
      <c r="K3" s="119" t="s">
        <v>187</v>
      </c>
      <c r="L3" s="118" t="s">
        <v>186</v>
      </c>
      <c r="M3" s="118" t="s">
        <v>185</v>
      </c>
      <c r="N3" s="118" t="s">
        <v>9</v>
      </c>
      <c r="O3" s="118" t="s">
        <v>6</v>
      </c>
      <c r="P3" s="118" t="s">
        <v>7</v>
      </c>
      <c r="Q3" s="118" t="s">
        <v>8</v>
      </c>
      <c r="R3" s="117" t="s">
        <v>39</v>
      </c>
      <c r="S3" s="116" t="s">
        <v>41</v>
      </c>
      <c r="AD3" s="69"/>
      <c r="AE3" s="69"/>
      <c r="AF3" s="69"/>
      <c r="AG3" s="69"/>
      <c r="AH3" s="69"/>
      <c r="AI3" s="69"/>
      <c r="AJ3" s="69"/>
      <c r="AK3" s="69"/>
      <c r="AL3" s="69"/>
      <c r="AM3" s="69"/>
      <c r="AN3" s="69"/>
      <c r="AO3" s="69"/>
      <c r="AP3" s="69"/>
      <c r="AQ3" s="69"/>
      <c r="AR3" s="69"/>
      <c r="AS3" s="69"/>
      <c r="AT3" s="69"/>
      <c r="AU3" s="69"/>
      <c r="AV3" s="69"/>
    </row>
    <row r="4" spans="2:48" ht="27" customHeight="1">
      <c r="B4" s="115" t="s">
        <v>184</v>
      </c>
      <c r="C4" s="115" t="s">
        <v>19</v>
      </c>
      <c r="D4" s="115" t="s">
        <v>183</v>
      </c>
      <c r="E4" s="115" t="s">
        <v>182</v>
      </c>
      <c r="F4" s="115" t="s">
        <v>181</v>
      </c>
      <c r="G4" s="115"/>
      <c r="H4" s="115"/>
      <c r="I4" s="115"/>
      <c r="J4" s="115" t="s">
        <v>180</v>
      </c>
      <c r="K4" s="115" t="s">
        <v>179</v>
      </c>
      <c r="L4" s="115" t="s">
        <v>178</v>
      </c>
      <c r="M4" s="115" t="s">
        <v>177</v>
      </c>
      <c r="N4" s="115" t="s">
        <v>176</v>
      </c>
      <c r="O4" s="115" t="s">
        <v>175</v>
      </c>
      <c r="P4" s="115" t="s">
        <v>174</v>
      </c>
      <c r="Q4" s="115" t="s">
        <v>173</v>
      </c>
      <c r="R4" s="114" t="s">
        <v>67</v>
      </c>
      <c r="S4" s="113"/>
      <c r="W4">
        <v>180962.72167933406</v>
      </c>
      <c r="X4">
        <v>21715526.601520088</v>
      </c>
      <c r="AD4" s="69"/>
      <c r="AE4" s="69"/>
      <c r="AF4" s="69"/>
      <c r="AG4" s="69"/>
      <c r="AH4" s="69"/>
      <c r="AI4" s="69"/>
      <c r="AJ4" s="69"/>
      <c r="AK4" s="69"/>
      <c r="AL4" s="69"/>
      <c r="AM4" s="69"/>
      <c r="AN4" s="69"/>
      <c r="AO4" s="69"/>
      <c r="AP4" s="69"/>
      <c r="AQ4" s="69"/>
      <c r="AR4" s="69"/>
      <c r="AS4" s="69"/>
      <c r="AT4" s="69"/>
      <c r="AU4" s="69"/>
      <c r="AV4" s="69"/>
    </row>
    <row r="5" spans="2:48" ht="15" customHeight="1" thickBot="1">
      <c r="B5" s="112" t="s">
        <v>172</v>
      </c>
      <c r="C5" s="111"/>
      <c r="D5" s="111"/>
      <c r="E5" s="111"/>
      <c r="F5" s="111"/>
      <c r="G5" s="111"/>
      <c r="H5" s="111"/>
      <c r="I5" s="111"/>
      <c r="J5" s="111" t="s">
        <v>171</v>
      </c>
      <c r="K5" s="111" t="s">
        <v>170</v>
      </c>
      <c r="L5" s="111"/>
      <c r="M5" s="111" t="s">
        <v>62</v>
      </c>
      <c r="N5" s="111" t="s">
        <v>169</v>
      </c>
      <c r="O5" s="110" t="s">
        <v>168</v>
      </c>
      <c r="P5" s="110" t="s">
        <v>167</v>
      </c>
      <c r="Q5" s="110" t="s">
        <v>166</v>
      </c>
      <c r="R5" s="110" t="s">
        <v>165</v>
      </c>
      <c r="S5" s="109"/>
      <c r="AD5" s="69"/>
      <c r="AE5" s="69"/>
      <c r="AF5" s="69"/>
      <c r="AG5" s="69"/>
      <c r="AH5" s="69"/>
      <c r="AI5" s="69"/>
      <c r="AJ5" s="69"/>
      <c r="AK5" s="69"/>
      <c r="AL5" s="69"/>
      <c r="AM5" s="69"/>
      <c r="AN5" s="69"/>
      <c r="AO5" s="69"/>
      <c r="AP5" s="69"/>
      <c r="AQ5" s="69"/>
      <c r="AR5" s="69"/>
      <c r="AS5" s="69"/>
      <c r="AT5" s="69"/>
      <c r="AU5" s="69"/>
      <c r="AV5" s="69"/>
    </row>
    <row r="6" spans="2:48">
      <c r="B6" s="69" t="s">
        <v>301</v>
      </c>
      <c r="C6" s="69" t="s">
        <v>164</v>
      </c>
      <c r="D6" s="69" t="s">
        <v>163</v>
      </c>
      <c r="E6" s="69"/>
      <c r="F6" s="69" t="s">
        <v>161</v>
      </c>
      <c r="G6" s="69">
        <v>2020</v>
      </c>
      <c r="H6" s="69" t="s">
        <v>70</v>
      </c>
      <c r="I6" s="69">
        <v>2020</v>
      </c>
      <c r="J6" s="69"/>
      <c r="K6" s="69">
        <v>0.9</v>
      </c>
      <c r="L6" s="69">
        <v>0.95</v>
      </c>
      <c r="M6" s="69">
        <v>30</v>
      </c>
      <c r="N6" s="69">
        <v>1</v>
      </c>
      <c r="O6" s="69"/>
      <c r="P6" s="69"/>
      <c r="Q6" s="69">
        <v>0.1341</v>
      </c>
      <c r="R6" s="69">
        <v>2</v>
      </c>
      <c r="S6" t="s">
        <v>162</v>
      </c>
      <c r="AD6" s="69"/>
      <c r="AE6" s="69"/>
      <c r="AF6" s="69"/>
      <c r="AG6" s="69"/>
      <c r="AH6" s="69"/>
      <c r="AI6" s="69"/>
      <c r="AJ6" s="69"/>
      <c r="AK6" s="69"/>
      <c r="AL6" s="69"/>
      <c r="AM6" s="69"/>
      <c r="AN6" s="69"/>
      <c r="AO6" s="69"/>
      <c r="AP6" s="69"/>
      <c r="AQ6" s="69"/>
      <c r="AR6" s="69"/>
      <c r="AS6" s="69"/>
      <c r="AT6" s="69"/>
      <c r="AU6" s="69"/>
      <c r="AV6" s="69"/>
    </row>
    <row r="7" spans="2:48" ht="15" thickBot="1">
      <c r="B7" s="108"/>
      <c r="C7" s="108"/>
      <c r="D7" s="1073" t="s">
        <v>163</v>
      </c>
      <c r="E7" s="1073"/>
      <c r="F7" s="1073" t="s">
        <v>161</v>
      </c>
      <c r="G7" s="107">
        <v>2030</v>
      </c>
      <c r="H7" s="107" t="s">
        <v>70</v>
      </c>
      <c r="I7" s="107"/>
      <c r="J7" s="107"/>
      <c r="K7" s="107"/>
      <c r="L7" s="107"/>
      <c r="M7" s="107"/>
      <c r="N7" s="107"/>
      <c r="O7" s="107"/>
      <c r="P7" s="107"/>
      <c r="Q7" s="107">
        <v>0.11175</v>
      </c>
      <c r="R7" s="107">
        <v>2</v>
      </c>
      <c r="S7" s="55"/>
      <c r="AD7" s="69"/>
      <c r="AE7" s="69"/>
      <c r="AF7" s="69"/>
      <c r="AG7" s="69"/>
      <c r="AH7" s="69"/>
      <c r="AI7" s="69"/>
      <c r="AJ7" s="69"/>
      <c r="AK7" s="69"/>
      <c r="AL7" s="69"/>
      <c r="AM7" s="69"/>
      <c r="AN7" s="69"/>
      <c r="AO7" s="69"/>
      <c r="AP7" s="69"/>
      <c r="AQ7" s="69"/>
      <c r="AR7" s="69"/>
      <c r="AS7" s="69"/>
      <c r="AT7" s="69"/>
      <c r="AU7" s="69"/>
      <c r="AV7" s="69"/>
    </row>
    <row r="8" spans="2:48">
      <c r="B8" s="1009"/>
      <c r="C8" s="1009"/>
      <c r="D8" s="1006"/>
      <c r="E8" s="1006"/>
      <c r="F8" s="1006"/>
      <c r="G8" s="1006"/>
      <c r="H8" s="1006"/>
      <c r="I8" s="1006"/>
      <c r="J8" s="1006"/>
      <c r="K8" s="1006"/>
      <c r="L8" s="1006"/>
      <c r="M8" s="1006"/>
      <c r="N8" s="1006"/>
      <c r="O8" s="1006"/>
      <c r="P8" s="1006"/>
      <c r="Q8" s="1006"/>
      <c r="R8" s="1006"/>
      <c r="S8" s="1007"/>
      <c r="AD8" s="1008"/>
      <c r="AE8" s="1008"/>
      <c r="AF8" s="1008"/>
      <c r="AG8" s="1008"/>
      <c r="AH8" s="1008"/>
      <c r="AI8" s="1008"/>
      <c r="AJ8" s="1008"/>
      <c r="AK8" s="1008"/>
      <c r="AL8" s="1008"/>
      <c r="AM8" s="1008"/>
      <c r="AN8" s="1008"/>
      <c r="AO8" s="1008"/>
      <c r="AP8" s="1008"/>
      <c r="AQ8" s="1008"/>
      <c r="AR8" s="1008"/>
      <c r="AS8" s="1008"/>
      <c r="AT8" s="1008"/>
      <c r="AU8" s="1008"/>
      <c r="AV8" s="1008"/>
    </row>
    <row r="9" spans="2:48">
      <c r="E9" s="69"/>
      <c r="F9" s="69"/>
      <c r="G9" s="69"/>
      <c r="H9" s="69"/>
      <c r="I9" s="69"/>
      <c r="J9" s="69"/>
      <c r="K9" s="69"/>
      <c r="L9" s="69"/>
      <c r="M9" s="69"/>
      <c r="N9" s="69"/>
      <c r="O9" s="69"/>
      <c r="P9" s="69"/>
      <c r="Q9" s="69"/>
      <c r="AD9" s="69"/>
      <c r="AE9" s="69"/>
      <c r="AF9" s="69"/>
      <c r="AG9" s="69"/>
      <c r="AH9" s="69"/>
      <c r="AI9" s="69"/>
      <c r="AJ9" s="69"/>
      <c r="AK9" s="69"/>
      <c r="AL9" s="75"/>
      <c r="AN9" s="69"/>
      <c r="AO9" s="69"/>
      <c r="AP9" s="69"/>
      <c r="AS9" s="69"/>
      <c r="AT9" s="69"/>
      <c r="AU9" s="69"/>
    </row>
    <row r="10" spans="2:48">
      <c r="E10" s="69"/>
      <c r="F10" s="69"/>
      <c r="G10" s="69"/>
      <c r="H10" s="69"/>
      <c r="I10" s="69"/>
      <c r="J10" s="69"/>
      <c r="K10" s="69"/>
      <c r="L10" s="69"/>
      <c r="M10" s="69"/>
      <c r="N10" s="69"/>
      <c r="O10" s="69"/>
      <c r="P10" s="69"/>
      <c r="Q10" s="69"/>
      <c r="AD10" s="69"/>
      <c r="AE10" s="69"/>
      <c r="AF10" s="69"/>
      <c r="AG10" s="69"/>
      <c r="AH10" s="69"/>
      <c r="AI10" s="69"/>
      <c r="AJ10" s="69"/>
      <c r="AK10" s="69"/>
      <c r="AL10" s="75"/>
      <c r="AN10" s="69"/>
      <c r="AO10" s="69"/>
      <c r="AP10" s="69"/>
      <c r="AS10" s="69"/>
      <c r="AT10" s="69"/>
      <c r="AU10" s="69"/>
    </row>
    <row r="11" spans="2:48">
      <c r="B11" s="1" t="s">
        <v>159</v>
      </c>
      <c r="E11" s="69"/>
      <c r="F11" s="69"/>
      <c r="G11" s="69"/>
      <c r="H11" s="69"/>
      <c r="I11" s="69"/>
      <c r="J11" s="69"/>
      <c r="K11" s="69"/>
      <c r="L11" s="69"/>
      <c r="M11" s="69"/>
      <c r="N11" s="69"/>
      <c r="O11" s="69"/>
      <c r="P11" s="69"/>
      <c r="Q11" s="69"/>
      <c r="AD11" s="69"/>
      <c r="AE11" s="69"/>
      <c r="AF11" s="69"/>
      <c r="AG11" s="69"/>
      <c r="AH11" s="69"/>
      <c r="AI11" s="69"/>
      <c r="AJ11" s="69"/>
      <c r="AK11" s="69"/>
      <c r="AL11" s="75"/>
      <c r="AN11" s="69"/>
      <c r="AO11" s="69"/>
      <c r="AP11" s="69"/>
      <c r="AS11" s="69"/>
      <c r="AT11" s="69"/>
      <c r="AU11" s="69"/>
    </row>
    <row r="12" spans="2:48">
      <c r="E12" s="69"/>
      <c r="F12" s="69"/>
      <c r="G12" s="69"/>
      <c r="H12" s="69"/>
      <c r="I12" s="69"/>
      <c r="J12" s="69"/>
      <c r="K12" s="69"/>
      <c r="L12" s="69"/>
      <c r="M12" s="69"/>
      <c r="N12" s="69"/>
      <c r="O12" s="69"/>
      <c r="P12" s="69"/>
      <c r="Q12" s="69"/>
      <c r="AD12" s="69"/>
      <c r="AE12" s="69"/>
      <c r="AF12" s="69"/>
      <c r="AG12" s="69"/>
      <c r="AH12" s="69"/>
      <c r="AI12" s="69"/>
      <c r="AJ12" s="69"/>
      <c r="AK12" s="69"/>
      <c r="AL12" s="75"/>
      <c r="AN12" s="69"/>
      <c r="AO12" s="69"/>
      <c r="AP12" s="69"/>
      <c r="AS12" s="69"/>
      <c r="AT12" s="69"/>
      <c r="AU12" s="69"/>
    </row>
    <row r="13" spans="2:48">
      <c r="B13" s="7"/>
      <c r="C13" s="7"/>
      <c r="D13" s="7"/>
      <c r="E13" s="7"/>
      <c r="F13" s="8" t="s">
        <v>0</v>
      </c>
      <c r="G13" s="8"/>
      <c r="H13" s="7"/>
      <c r="I13" s="69"/>
      <c r="J13" s="69"/>
      <c r="K13" s="69"/>
      <c r="L13" s="69"/>
      <c r="M13" s="69"/>
      <c r="N13" s="69"/>
      <c r="O13" s="69"/>
      <c r="P13" s="69"/>
      <c r="Q13" s="69"/>
      <c r="AD13" s="69"/>
      <c r="AE13" s="69"/>
      <c r="AF13" s="69"/>
      <c r="AG13" s="69"/>
      <c r="AH13" s="69"/>
      <c r="AI13" s="69"/>
      <c r="AJ13" s="69"/>
      <c r="AK13" s="69"/>
      <c r="AL13" s="75"/>
      <c r="AN13" s="69"/>
      <c r="AO13" s="69"/>
      <c r="AP13" s="69"/>
      <c r="AS13" s="69"/>
      <c r="AT13" s="69"/>
      <c r="AU13" s="69"/>
    </row>
    <row r="14" spans="2:48" ht="15" customHeight="1">
      <c r="B14" s="10" t="s">
        <v>2</v>
      </c>
      <c r="C14" s="11" t="s">
        <v>3</v>
      </c>
      <c r="D14" s="11" t="s">
        <v>32</v>
      </c>
      <c r="E14" s="11" t="s">
        <v>158</v>
      </c>
      <c r="F14" s="11" t="s">
        <v>34</v>
      </c>
      <c r="G14" s="11" t="s">
        <v>157</v>
      </c>
      <c r="H14" s="11" t="s">
        <v>156</v>
      </c>
      <c r="I14" s="69"/>
      <c r="J14" s="69"/>
      <c r="K14" s="69"/>
      <c r="L14" s="69"/>
      <c r="M14" s="69"/>
      <c r="N14" s="69"/>
      <c r="O14" s="69"/>
      <c r="P14" s="69"/>
      <c r="Q14" s="69"/>
      <c r="AD14" s="69"/>
      <c r="AE14" s="69"/>
      <c r="AF14" s="69"/>
      <c r="AG14" s="69"/>
      <c r="AH14" s="69"/>
      <c r="AI14" s="69"/>
      <c r="AJ14" s="69"/>
      <c r="AK14" s="69"/>
      <c r="AL14" s="75"/>
      <c r="AN14" s="69"/>
      <c r="AO14" s="69"/>
      <c r="AP14" s="69"/>
      <c r="AS14" s="69"/>
      <c r="AT14" s="69"/>
      <c r="AU14" s="69"/>
    </row>
    <row r="15" spans="2:48" ht="28.2" thickBot="1">
      <c r="B15" s="13" t="s">
        <v>42</v>
      </c>
      <c r="C15" s="13"/>
      <c r="D15" s="13" t="s">
        <v>43</v>
      </c>
      <c r="E15" s="13"/>
      <c r="F15" s="13" t="s">
        <v>46</v>
      </c>
      <c r="G15" s="13"/>
      <c r="H15" s="13"/>
      <c r="I15" s="69"/>
      <c r="J15" s="69"/>
      <c r="K15" s="69"/>
      <c r="L15" s="69"/>
      <c r="M15" s="69"/>
      <c r="N15" s="69"/>
      <c r="O15" s="69"/>
      <c r="P15" s="69"/>
      <c r="Q15" s="69"/>
      <c r="AD15" s="69"/>
      <c r="AE15" s="69"/>
      <c r="AF15" s="69"/>
      <c r="AG15" s="69"/>
      <c r="AH15" s="69"/>
      <c r="AI15" s="69"/>
      <c r="AJ15" s="69"/>
      <c r="AK15" s="69"/>
      <c r="AL15" s="75"/>
      <c r="AN15" s="69"/>
      <c r="AO15" s="69"/>
      <c r="AP15" s="69"/>
      <c r="AS15" s="69"/>
      <c r="AT15" s="69"/>
      <c r="AU15" s="69"/>
    </row>
    <row r="16" spans="2:48" ht="15" thickBot="1">
      <c r="B16" s="102" t="s">
        <v>42</v>
      </c>
      <c r="C16" s="15"/>
      <c r="D16" s="15"/>
      <c r="E16" s="15"/>
      <c r="F16" s="15"/>
      <c r="G16" s="15" t="s">
        <v>155</v>
      </c>
      <c r="H16" s="15"/>
      <c r="I16" s="69"/>
      <c r="J16" s="69"/>
      <c r="K16" s="69"/>
      <c r="L16" s="69"/>
      <c r="M16" s="69"/>
      <c r="N16" s="69"/>
      <c r="O16" s="69"/>
      <c r="P16" s="69"/>
      <c r="Q16" s="69"/>
      <c r="AD16" s="69"/>
      <c r="AE16" s="69"/>
      <c r="AF16" s="69"/>
      <c r="AG16" s="69"/>
      <c r="AH16" s="69"/>
      <c r="AI16" s="69"/>
      <c r="AJ16" s="69"/>
      <c r="AK16" s="69"/>
      <c r="AL16" s="75"/>
      <c r="AN16" s="69"/>
      <c r="AO16" s="69"/>
      <c r="AP16" s="69"/>
      <c r="AS16" s="69"/>
      <c r="AT16" s="69"/>
      <c r="AU16" s="69"/>
    </row>
    <row r="17" spans="2:47">
      <c r="B17" s="7" t="s">
        <v>154</v>
      </c>
      <c r="C17" s="7" t="s">
        <v>153</v>
      </c>
      <c r="D17" s="7"/>
      <c r="E17" s="7">
        <v>2015</v>
      </c>
      <c r="F17" s="7" t="s">
        <v>70</v>
      </c>
      <c r="G17" s="7">
        <v>1E-10</v>
      </c>
      <c r="H17" s="7">
        <v>5</v>
      </c>
      <c r="I17" s="69"/>
      <c r="J17" s="69"/>
      <c r="K17" s="69"/>
      <c r="L17" s="69"/>
      <c r="M17" s="69"/>
      <c r="N17" s="69"/>
      <c r="O17" s="69"/>
      <c r="P17" s="69"/>
      <c r="Q17" s="69"/>
      <c r="AD17" s="69"/>
      <c r="AE17" s="69"/>
      <c r="AF17" s="69"/>
      <c r="AG17" s="69"/>
      <c r="AH17" s="69"/>
      <c r="AI17" s="69"/>
      <c r="AJ17" s="69"/>
      <c r="AK17" s="69"/>
      <c r="AL17" s="75"/>
      <c r="AN17" s="69"/>
      <c r="AO17" s="69"/>
      <c r="AP17" s="69"/>
      <c r="AS17" s="69"/>
      <c r="AT17" s="69"/>
      <c r="AU17" s="69"/>
    </row>
    <row r="18" spans="2:47">
      <c r="E18" s="69"/>
      <c r="F18" s="69"/>
      <c r="G18" s="69"/>
      <c r="H18" s="69"/>
      <c r="I18" s="69"/>
      <c r="J18" s="69"/>
      <c r="K18" s="69"/>
      <c r="L18" s="69"/>
      <c r="M18" s="69"/>
      <c r="N18" s="69"/>
      <c r="O18" s="69"/>
      <c r="P18" s="69"/>
      <c r="Q18" s="69"/>
      <c r="AD18" s="69"/>
      <c r="AE18" s="69"/>
      <c r="AF18" s="69"/>
      <c r="AG18" s="69"/>
      <c r="AH18" s="69"/>
      <c r="AI18" s="69"/>
      <c r="AJ18" s="69"/>
      <c r="AK18" s="69"/>
      <c r="AL18" s="75"/>
      <c r="AN18" s="69"/>
      <c r="AO18" s="69"/>
      <c r="AP18" s="69"/>
      <c r="AS18" s="69"/>
      <c r="AT18" s="69"/>
      <c r="AU18" s="69"/>
    </row>
    <row r="19" spans="2:47">
      <c r="E19" s="69"/>
      <c r="F19" s="69"/>
      <c r="G19" s="69"/>
      <c r="H19" s="69"/>
      <c r="I19" s="69"/>
      <c r="J19" s="69"/>
      <c r="K19" s="69"/>
      <c r="L19" s="69"/>
      <c r="M19" s="69"/>
      <c r="N19" s="69"/>
      <c r="O19" s="69"/>
      <c r="P19" s="69"/>
      <c r="Q19" s="69"/>
      <c r="AD19" s="69"/>
      <c r="AE19" s="69"/>
      <c r="AF19" s="69"/>
      <c r="AG19" s="69"/>
      <c r="AH19" s="69"/>
      <c r="AI19" s="69"/>
      <c r="AJ19" s="69"/>
      <c r="AK19" s="69"/>
      <c r="AL19" s="75"/>
      <c r="AN19" s="69"/>
      <c r="AO19" s="69"/>
      <c r="AP19" s="69"/>
      <c r="AS19" s="69"/>
      <c r="AT19" s="69"/>
      <c r="AU19" s="69"/>
    </row>
    <row r="20" spans="2:47">
      <c r="E20" s="1051"/>
      <c r="F20" s="1051"/>
      <c r="G20" s="1051"/>
      <c r="H20" s="1051"/>
      <c r="I20" s="1051"/>
      <c r="J20" s="1051"/>
      <c r="K20" s="1051"/>
      <c r="L20" s="1051"/>
      <c r="M20" s="1051"/>
      <c r="N20" s="1051"/>
      <c r="O20" s="1051"/>
      <c r="P20" s="1051"/>
      <c r="Q20" s="1051"/>
      <c r="AD20" s="1051"/>
      <c r="AE20" s="1051"/>
      <c r="AF20" s="1051"/>
      <c r="AG20" s="1051"/>
      <c r="AH20" s="1051"/>
      <c r="AI20" s="1051"/>
      <c r="AJ20" s="1051"/>
      <c r="AK20" s="1051"/>
      <c r="AL20" s="75"/>
      <c r="AN20" s="1051"/>
      <c r="AO20" s="1051"/>
      <c r="AP20" s="1051"/>
      <c r="AS20" s="1051"/>
      <c r="AT20" s="1051"/>
      <c r="AU20" s="1051"/>
    </row>
    <row r="21" spans="2:47">
      <c r="E21" s="1051"/>
      <c r="F21" s="1051"/>
      <c r="G21" s="1051"/>
      <c r="H21" s="1051"/>
      <c r="I21" s="1051"/>
      <c r="J21" s="1051"/>
      <c r="K21" s="1051"/>
      <c r="L21" s="1051"/>
      <c r="M21" s="1051"/>
      <c r="N21" s="1051"/>
      <c r="O21" s="1051"/>
      <c r="P21" s="1051"/>
      <c r="Q21" s="1051"/>
      <c r="AD21" s="1051"/>
      <c r="AE21" s="1051"/>
      <c r="AF21" s="1051"/>
      <c r="AG21" s="1051"/>
      <c r="AH21" s="1051"/>
      <c r="AI21" s="1051"/>
      <c r="AJ21" s="1051"/>
      <c r="AK21" s="1051"/>
      <c r="AL21" s="75"/>
      <c r="AN21" s="1051"/>
      <c r="AO21" s="1051"/>
      <c r="AP21" s="1051"/>
      <c r="AS21" s="1051"/>
      <c r="AT21" s="1051"/>
      <c r="AU21" s="1051"/>
    </row>
    <row r="22" spans="2:47">
      <c r="E22" s="1051"/>
      <c r="F22" s="1051"/>
      <c r="G22" s="1051"/>
      <c r="H22" s="1051"/>
      <c r="I22" s="1051"/>
      <c r="J22" s="1051"/>
      <c r="K22" s="1051"/>
      <c r="L22" s="1051"/>
      <c r="M22" s="1051"/>
      <c r="N22" s="1051"/>
      <c r="O22" s="1051"/>
      <c r="P22" s="1051"/>
      <c r="Q22" s="1051"/>
      <c r="AD22" s="1051"/>
      <c r="AE22" s="1051"/>
      <c r="AF22" s="1051"/>
      <c r="AG22" s="1051"/>
      <c r="AH22" s="1051"/>
      <c r="AI22" s="1051"/>
      <c r="AJ22" s="1051"/>
      <c r="AK22" s="1051"/>
      <c r="AL22" s="75"/>
      <c r="AN22" s="1051"/>
      <c r="AO22" s="1051"/>
      <c r="AP22" s="1051"/>
      <c r="AS22" s="1051"/>
      <c r="AT22" s="1051"/>
      <c r="AU22" s="1051"/>
    </row>
    <row r="23" spans="2:47">
      <c r="E23" s="1051"/>
      <c r="F23" s="1051"/>
      <c r="G23" s="1051"/>
      <c r="H23" s="1051"/>
      <c r="I23" s="1051"/>
      <c r="J23" s="1051"/>
      <c r="K23" s="1051"/>
      <c r="L23" s="1051"/>
      <c r="M23" s="1051"/>
      <c r="N23" s="1051"/>
      <c r="O23" s="1051"/>
      <c r="P23" s="1051"/>
      <c r="Q23" s="1051"/>
      <c r="AD23" s="1051"/>
      <c r="AE23" s="1051"/>
      <c r="AF23" s="1051"/>
      <c r="AG23" s="1051"/>
      <c r="AH23" s="1051"/>
      <c r="AI23" s="1051"/>
      <c r="AJ23" s="1051"/>
      <c r="AK23" s="1051"/>
      <c r="AL23" s="75"/>
      <c r="AN23" s="1051"/>
      <c r="AO23" s="1051"/>
      <c r="AP23" s="1051"/>
      <c r="AS23" s="1051"/>
      <c r="AT23" s="1051"/>
      <c r="AU23" s="1051"/>
    </row>
    <row r="24" spans="2:47">
      <c r="E24" s="1051"/>
      <c r="F24" s="1051"/>
      <c r="G24" s="1051"/>
      <c r="H24" s="1051"/>
      <c r="I24" s="1051"/>
      <c r="J24" s="1051"/>
      <c r="K24" s="1051"/>
      <c r="L24" s="1051"/>
      <c r="M24" s="1051"/>
      <c r="N24" s="1051"/>
      <c r="O24" s="1051"/>
      <c r="P24" s="1051"/>
      <c r="Q24" s="1051"/>
      <c r="AD24" s="1051"/>
      <c r="AE24" s="1051"/>
      <c r="AF24" s="1051"/>
      <c r="AG24" s="1051"/>
      <c r="AH24" s="1051"/>
      <c r="AI24" s="1051"/>
      <c r="AJ24" s="1051"/>
      <c r="AK24" s="1051"/>
      <c r="AL24" s="75"/>
      <c r="AN24" s="1051"/>
      <c r="AO24" s="1051"/>
      <c r="AP24" s="1051"/>
      <c r="AS24" s="1051"/>
      <c r="AT24" s="1051"/>
      <c r="AU24" s="1051"/>
    </row>
    <row r="25" spans="2:47">
      <c r="E25" s="1051"/>
      <c r="F25" s="1051"/>
      <c r="G25" s="1051"/>
      <c r="H25" s="1051"/>
      <c r="I25" s="1051"/>
      <c r="J25" s="1051"/>
      <c r="K25" s="1051"/>
      <c r="L25" s="1051"/>
      <c r="M25" s="1051"/>
      <c r="N25" s="1051"/>
      <c r="O25" s="1051"/>
      <c r="P25" s="1051"/>
      <c r="Q25" s="1051"/>
      <c r="AD25" s="1051"/>
      <c r="AE25" s="1051"/>
      <c r="AF25" s="1051"/>
      <c r="AG25" s="1051"/>
      <c r="AH25" s="1051"/>
      <c r="AI25" s="1051"/>
      <c r="AJ25" s="1051"/>
      <c r="AK25" s="1051"/>
      <c r="AL25" s="75"/>
      <c r="AN25" s="1051"/>
      <c r="AO25" s="1051"/>
      <c r="AP25" s="1051"/>
      <c r="AS25" s="1051"/>
      <c r="AT25" s="1051"/>
      <c r="AU25" s="1051"/>
    </row>
    <row r="26" spans="2:47">
      <c r="E26" s="1051"/>
      <c r="F26" s="1051"/>
      <c r="G26" s="1051"/>
      <c r="H26" s="1051"/>
      <c r="I26" s="1051"/>
      <c r="J26" s="1051"/>
      <c r="K26" s="1051"/>
      <c r="L26" s="1051"/>
      <c r="M26" s="1051"/>
      <c r="N26" s="1051"/>
      <c r="O26" s="1051"/>
      <c r="P26" s="1051"/>
      <c r="Q26" s="1051"/>
      <c r="AD26" s="1051"/>
      <c r="AE26" s="1051"/>
      <c r="AF26" s="1051"/>
      <c r="AG26" s="1051"/>
      <c r="AH26" s="1051"/>
      <c r="AI26" s="1051"/>
      <c r="AJ26" s="1051"/>
      <c r="AK26" s="1051"/>
      <c r="AL26" s="75"/>
      <c r="AN26" s="1051"/>
      <c r="AO26" s="1051"/>
      <c r="AP26" s="1051"/>
      <c r="AS26" s="1051"/>
      <c r="AT26" s="1051"/>
      <c r="AU26" s="1051"/>
    </row>
    <row r="27" spans="2:47">
      <c r="E27" s="1051"/>
      <c r="F27" s="1051"/>
      <c r="G27" s="1051"/>
      <c r="H27" s="1051"/>
      <c r="I27" s="1051"/>
      <c r="J27" s="1051"/>
      <c r="K27" s="1051"/>
      <c r="L27" s="1051"/>
      <c r="M27" s="1051"/>
      <c r="N27" s="1051"/>
      <c r="O27" s="1051"/>
      <c r="P27" s="1051"/>
      <c r="Q27" s="1051"/>
      <c r="AD27" s="1051"/>
      <c r="AE27" s="1051"/>
      <c r="AF27" s="1051"/>
      <c r="AG27" s="1051"/>
      <c r="AH27" s="1051"/>
      <c r="AI27" s="1051"/>
      <c r="AJ27" s="1051"/>
      <c r="AK27" s="1051"/>
      <c r="AL27" s="75"/>
      <c r="AN27" s="1051"/>
      <c r="AO27" s="1051"/>
      <c r="AP27" s="1051"/>
      <c r="AS27" s="1051"/>
      <c r="AT27" s="1051"/>
      <c r="AU27" s="1051"/>
    </row>
    <row r="28" spans="2:47">
      <c r="E28" s="1051"/>
      <c r="F28" s="1051"/>
      <c r="G28" s="1051"/>
      <c r="H28" s="1051"/>
      <c r="I28" s="1051"/>
      <c r="J28" s="1051"/>
      <c r="K28" s="1051"/>
      <c r="L28" s="1051"/>
      <c r="M28" s="1051"/>
      <c r="N28" s="1051"/>
      <c r="O28" s="1051"/>
      <c r="P28" s="1051"/>
      <c r="Q28" s="1051"/>
      <c r="AD28" s="1051"/>
      <c r="AE28" s="1051"/>
      <c r="AF28" s="1051"/>
      <c r="AG28" s="1051"/>
      <c r="AH28" s="1051"/>
      <c r="AI28" s="1051"/>
      <c r="AJ28" s="1051"/>
      <c r="AK28" s="1051"/>
      <c r="AL28" s="75"/>
      <c r="AN28" s="1051"/>
      <c r="AO28" s="1051"/>
      <c r="AP28" s="1051"/>
      <c r="AS28" s="1051"/>
      <c r="AT28" s="1051"/>
      <c r="AU28" s="1051"/>
    </row>
    <row r="29" spans="2:47">
      <c r="E29" s="1051"/>
      <c r="F29" s="1051"/>
      <c r="G29" s="1051"/>
      <c r="H29" s="1051"/>
      <c r="I29" s="1051"/>
      <c r="J29" s="1051"/>
      <c r="K29" s="1051"/>
      <c r="L29" s="1051"/>
      <c r="M29" s="1051"/>
      <c r="N29" s="1051"/>
      <c r="O29" s="1051"/>
      <c r="P29" s="1051"/>
      <c r="Q29" s="1051"/>
      <c r="AD29" s="1051"/>
      <c r="AE29" s="1051"/>
      <c r="AF29" s="1051"/>
      <c r="AG29" s="1051"/>
      <c r="AH29" s="1051"/>
      <c r="AI29" s="1051"/>
      <c r="AJ29" s="1051"/>
      <c r="AK29" s="1051"/>
      <c r="AL29" s="75"/>
      <c r="AN29" s="1051"/>
      <c r="AO29" s="1051"/>
      <c r="AP29" s="1051"/>
      <c r="AS29" s="1051"/>
      <c r="AT29" s="1051"/>
      <c r="AU29" s="1051"/>
    </row>
    <row r="30" spans="2:47">
      <c r="E30" s="1051"/>
      <c r="F30" s="1051"/>
      <c r="G30" s="1051"/>
      <c r="H30" s="1051"/>
      <c r="I30" s="1051"/>
      <c r="J30" s="1051"/>
      <c r="K30" s="1051"/>
      <c r="L30" s="1051"/>
      <c r="M30" s="1051"/>
      <c r="N30" s="1051"/>
      <c r="O30" s="1051"/>
      <c r="P30" s="1051"/>
      <c r="Q30" s="1051"/>
      <c r="AD30" s="1051"/>
      <c r="AE30" s="1051"/>
      <c r="AF30" s="1051"/>
      <c r="AG30" s="1051"/>
      <c r="AH30" s="1051"/>
      <c r="AI30" s="1051"/>
      <c r="AJ30" s="1051"/>
      <c r="AK30" s="1051"/>
      <c r="AL30" s="75"/>
      <c r="AN30" s="1051"/>
      <c r="AO30" s="1051"/>
      <c r="AP30" s="1051"/>
      <c r="AS30" s="1051"/>
      <c r="AT30" s="1051"/>
      <c r="AU30" s="1051"/>
    </row>
    <row r="31" spans="2:47">
      <c r="E31" s="1051"/>
      <c r="F31" s="1051"/>
      <c r="G31" s="1051"/>
      <c r="H31" s="1051"/>
      <c r="I31" s="1051"/>
      <c r="J31" s="1051"/>
      <c r="K31" s="1051"/>
      <c r="L31" s="1051"/>
      <c r="M31" s="1051"/>
      <c r="N31" s="1051"/>
      <c r="O31" s="1051"/>
      <c r="P31" s="1051"/>
      <c r="Q31" s="1051"/>
      <c r="AD31" s="1051"/>
      <c r="AE31" s="1051"/>
      <c r="AF31" s="1051"/>
      <c r="AG31" s="1051"/>
      <c r="AH31" s="1051"/>
      <c r="AI31" s="1051"/>
      <c r="AJ31" s="1051"/>
      <c r="AK31" s="1051"/>
      <c r="AL31" s="75"/>
      <c r="AN31" s="1051"/>
      <c r="AO31" s="1051"/>
      <c r="AP31" s="1051"/>
      <c r="AS31" s="1051"/>
      <c r="AT31" s="1051"/>
      <c r="AU31" s="1051"/>
    </row>
    <row r="32" spans="2:47">
      <c r="E32" s="1051"/>
      <c r="F32" s="1051"/>
      <c r="G32" s="1051"/>
      <c r="H32" s="1051"/>
      <c r="I32" s="1051"/>
      <c r="J32" s="1051"/>
      <c r="K32" s="1051"/>
      <c r="L32" s="1051"/>
      <c r="M32" s="1051"/>
      <c r="N32" s="1051"/>
      <c r="O32" s="1051"/>
      <c r="P32" s="1051"/>
      <c r="Q32" s="1051"/>
      <c r="AD32" s="1051"/>
      <c r="AE32" s="1051"/>
      <c r="AF32" s="1051"/>
      <c r="AG32" s="1051"/>
      <c r="AH32" s="1051"/>
      <c r="AI32" s="1051"/>
      <c r="AJ32" s="1051"/>
      <c r="AK32" s="1051"/>
      <c r="AL32" s="75"/>
      <c r="AN32" s="1051"/>
      <c r="AO32" s="1051"/>
      <c r="AP32" s="1051"/>
      <c r="AS32" s="1051"/>
      <c r="AT32" s="1051"/>
      <c r="AU32" s="1051"/>
    </row>
    <row r="33" spans="5:47">
      <c r="E33" s="1051"/>
      <c r="F33" s="1051"/>
      <c r="G33" s="1051"/>
      <c r="H33" s="1051"/>
      <c r="I33" s="1051"/>
      <c r="J33" s="1051"/>
      <c r="K33" s="1051"/>
      <c r="L33" s="1051"/>
      <c r="M33" s="1051"/>
      <c r="N33" s="1051"/>
      <c r="O33" s="1051"/>
      <c r="P33" s="1051"/>
      <c r="Q33" s="1051"/>
      <c r="AD33" s="1051"/>
      <c r="AE33" s="1051"/>
      <c r="AF33" s="1051"/>
      <c r="AG33" s="1051"/>
      <c r="AH33" s="1051"/>
      <c r="AI33" s="1051"/>
      <c r="AJ33" s="1051"/>
      <c r="AK33" s="1051"/>
      <c r="AL33" s="75"/>
      <c r="AN33" s="1051"/>
      <c r="AO33" s="1051"/>
      <c r="AP33" s="1051"/>
      <c r="AS33" s="1051"/>
      <c r="AT33" s="1051"/>
      <c r="AU33" s="1051"/>
    </row>
    <row r="34" spans="5:47">
      <c r="E34" s="1051"/>
      <c r="F34" s="1051"/>
      <c r="G34" s="1051"/>
      <c r="H34" s="1051"/>
      <c r="I34" s="1051"/>
      <c r="J34" s="1051"/>
      <c r="K34" s="1051"/>
      <c r="L34" s="1051"/>
      <c r="M34" s="1051"/>
      <c r="N34" s="1051"/>
      <c r="O34" s="1051"/>
      <c r="P34" s="1051"/>
      <c r="Q34" s="1051"/>
      <c r="AD34" s="1051"/>
      <c r="AE34" s="1051"/>
      <c r="AF34" s="1051"/>
      <c r="AG34" s="1051"/>
      <c r="AH34" s="1051"/>
      <c r="AI34" s="1051"/>
      <c r="AJ34" s="1051"/>
      <c r="AK34" s="1051"/>
      <c r="AL34" s="75"/>
      <c r="AN34" s="1051"/>
      <c r="AO34" s="1051"/>
      <c r="AP34" s="1051"/>
      <c r="AS34" s="1051"/>
      <c r="AT34" s="1051"/>
      <c r="AU34" s="1051"/>
    </row>
    <row r="35" spans="5:47">
      <c r="E35" s="1051"/>
      <c r="F35" s="1051"/>
      <c r="G35" s="1051"/>
      <c r="H35" s="1051"/>
      <c r="I35" s="1051"/>
      <c r="J35" s="1051"/>
      <c r="K35" s="1051"/>
      <c r="L35" s="1051"/>
      <c r="M35" s="1051"/>
      <c r="N35" s="1051"/>
      <c r="O35" s="1051"/>
      <c r="P35" s="1051"/>
      <c r="Q35" s="1051"/>
      <c r="AD35" s="1051"/>
      <c r="AE35" s="1051"/>
      <c r="AF35" s="1051"/>
      <c r="AG35" s="1051"/>
      <c r="AH35" s="1051"/>
      <c r="AI35" s="1051"/>
      <c r="AJ35" s="1051"/>
      <c r="AK35" s="1051"/>
      <c r="AL35" s="75"/>
      <c r="AN35" s="1051"/>
      <c r="AO35" s="1051"/>
      <c r="AP35" s="1051"/>
      <c r="AS35" s="1051"/>
      <c r="AT35" s="1051"/>
      <c r="AU35" s="1051"/>
    </row>
    <row r="36" spans="5:47">
      <c r="E36" s="1051"/>
      <c r="F36" s="1051"/>
      <c r="G36" s="1051"/>
      <c r="H36" s="1051"/>
      <c r="I36" s="1051"/>
      <c r="J36" s="1051"/>
      <c r="K36" s="1051"/>
      <c r="L36" s="1051"/>
      <c r="M36" s="1051"/>
      <c r="N36" s="1051"/>
      <c r="O36" s="1051"/>
      <c r="P36" s="1051"/>
      <c r="Q36" s="1051"/>
      <c r="AD36" s="1051"/>
      <c r="AE36" s="1051"/>
      <c r="AF36" s="1051"/>
      <c r="AG36" s="1051"/>
      <c r="AH36" s="1051"/>
      <c r="AI36" s="1051"/>
      <c r="AJ36" s="1051"/>
      <c r="AK36" s="1051"/>
      <c r="AL36" s="75"/>
      <c r="AN36" s="1051"/>
      <c r="AO36" s="1051"/>
      <c r="AP36" s="1051"/>
      <c r="AS36" s="1051"/>
      <c r="AT36" s="1051"/>
      <c r="AU36" s="1051"/>
    </row>
    <row r="37" spans="5:47">
      <c r="E37" s="1051"/>
      <c r="F37" s="1051"/>
      <c r="G37" s="1051"/>
      <c r="H37" s="1051"/>
      <c r="I37" s="1051"/>
      <c r="J37" s="1051"/>
      <c r="K37" s="1051"/>
      <c r="L37" s="1051"/>
      <c r="M37" s="1051"/>
      <c r="N37" s="1051"/>
      <c r="O37" s="1051"/>
      <c r="P37" s="1051"/>
      <c r="Q37" s="1051"/>
      <c r="AD37" s="1051"/>
      <c r="AE37" s="1051"/>
      <c r="AF37" s="1051"/>
      <c r="AG37" s="1051"/>
      <c r="AH37" s="1051"/>
      <c r="AI37" s="1051"/>
      <c r="AJ37" s="1051"/>
      <c r="AK37" s="1051"/>
      <c r="AL37" s="75"/>
      <c r="AN37" s="1051"/>
      <c r="AO37" s="1051"/>
      <c r="AP37" s="1051"/>
      <c r="AS37" s="1051"/>
      <c r="AT37" s="1051"/>
      <c r="AU37" s="1051"/>
    </row>
    <row r="38" spans="5:47">
      <c r="E38" s="1051"/>
      <c r="F38" s="1051"/>
      <c r="G38" s="1051"/>
      <c r="H38" s="1051"/>
      <c r="I38" s="1051"/>
      <c r="J38" s="1051"/>
      <c r="K38" s="1051"/>
      <c r="L38" s="1051"/>
      <c r="M38" s="1051"/>
      <c r="N38" s="1051"/>
      <c r="O38" s="1051"/>
      <c r="P38" s="1051"/>
      <c r="Q38" s="1051"/>
      <c r="AD38" s="1051"/>
      <c r="AE38" s="1051"/>
      <c r="AF38" s="1051"/>
      <c r="AG38" s="1051"/>
      <c r="AH38" s="1051"/>
      <c r="AI38" s="1051"/>
      <c r="AJ38" s="1051"/>
      <c r="AK38" s="1051"/>
      <c r="AL38" s="75"/>
      <c r="AN38" s="1051"/>
      <c r="AO38" s="1051"/>
      <c r="AP38" s="1051"/>
      <c r="AS38" s="1051"/>
      <c r="AT38" s="1051"/>
      <c r="AU38" s="1051"/>
    </row>
    <row r="39" spans="5:47">
      <c r="E39" s="1051"/>
      <c r="F39" s="1051"/>
      <c r="G39" s="1051"/>
      <c r="H39" s="1051"/>
      <c r="I39" s="1051"/>
      <c r="J39" s="1051"/>
      <c r="K39" s="1051"/>
      <c r="L39" s="1051"/>
      <c r="M39" s="1051"/>
      <c r="N39" s="1051"/>
      <c r="O39" s="1051"/>
      <c r="P39" s="1051"/>
      <c r="Q39" s="1051"/>
      <c r="AD39" s="1051"/>
      <c r="AE39" s="1051"/>
      <c r="AF39" s="1051"/>
      <c r="AG39" s="1051"/>
      <c r="AH39" s="1051"/>
      <c r="AI39" s="1051"/>
      <c r="AJ39" s="1051"/>
      <c r="AK39" s="1051"/>
      <c r="AL39" s="75"/>
      <c r="AN39" s="1051"/>
      <c r="AO39" s="1051"/>
      <c r="AP39" s="1051"/>
      <c r="AS39" s="1051"/>
      <c r="AT39" s="1051"/>
      <c r="AU39" s="1051"/>
    </row>
    <row r="40" spans="5:47">
      <c r="E40" s="1051"/>
      <c r="F40" s="1051"/>
      <c r="G40" s="1051"/>
      <c r="H40" s="1051"/>
      <c r="I40" s="1051"/>
      <c r="J40" s="1051"/>
      <c r="K40" s="1051"/>
      <c r="L40" s="1051"/>
      <c r="M40" s="1051"/>
      <c r="N40" s="1051"/>
      <c r="O40" s="1051"/>
      <c r="P40" s="1051"/>
      <c r="Q40" s="1051"/>
      <c r="AD40" s="1051"/>
      <c r="AE40" s="1051"/>
      <c r="AF40" s="1051"/>
      <c r="AG40" s="1051"/>
      <c r="AH40" s="1051"/>
      <c r="AI40" s="1051"/>
      <c r="AJ40" s="1051"/>
      <c r="AK40" s="1051"/>
      <c r="AL40" s="75"/>
      <c r="AN40" s="1051"/>
      <c r="AO40" s="1051"/>
      <c r="AP40" s="1051"/>
      <c r="AS40" s="1051"/>
      <c r="AT40" s="1051"/>
      <c r="AU40" s="1051"/>
    </row>
    <row r="41" spans="5:47">
      <c r="E41" s="1051"/>
      <c r="F41" s="1051"/>
      <c r="G41" s="1051"/>
      <c r="H41" s="1051"/>
      <c r="I41" s="1051"/>
      <c r="J41" s="1051"/>
      <c r="K41" s="1051"/>
      <c r="L41" s="1051"/>
      <c r="M41" s="1051"/>
      <c r="N41" s="1051"/>
      <c r="O41" s="1051"/>
      <c r="P41" s="1051"/>
      <c r="Q41" s="1051"/>
      <c r="AD41" s="1051"/>
      <c r="AE41" s="1051"/>
      <c r="AF41" s="1051"/>
      <c r="AG41" s="1051"/>
      <c r="AH41" s="1051"/>
      <c r="AI41" s="1051"/>
      <c r="AJ41" s="1051"/>
      <c r="AK41" s="1051"/>
      <c r="AL41" s="75"/>
      <c r="AN41" s="1051"/>
      <c r="AO41" s="1051"/>
      <c r="AP41" s="1051"/>
      <c r="AS41" s="1051"/>
      <c r="AT41" s="1051"/>
      <c r="AU41" s="1051"/>
    </row>
    <row r="42" spans="5:47">
      <c r="E42" s="1051"/>
      <c r="F42" s="1051"/>
      <c r="G42" s="1051"/>
      <c r="H42" s="1051"/>
      <c r="I42" s="1051"/>
      <c r="J42" s="1051"/>
      <c r="K42" s="1051"/>
      <c r="L42" s="1051"/>
      <c r="M42" s="1051"/>
      <c r="N42" s="1051"/>
      <c r="O42" s="1051"/>
      <c r="P42" s="1051"/>
      <c r="Q42" s="1051"/>
      <c r="AD42" s="1051"/>
      <c r="AE42" s="1051"/>
      <c r="AF42" s="1051"/>
      <c r="AG42" s="1051"/>
      <c r="AH42" s="1051"/>
      <c r="AI42" s="1051"/>
      <c r="AJ42" s="1051"/>
      <c r="AK42" s="1051"/>
      <c r="AL42" s="75"/>
      <c r="AN42" s="1051"/>
      <c r="AO42" s="1051"/>
      <c r="AP42" s="1051"/>
      <c r="AS42" s="1051"/>
      <c r="AT42" s="1051"/>
      <c r="AU42" s="1051"/>
    </row>
    <row r="43" spans="5:47">
      <c r="E43" s="1051"/>
      <c r="F43" s="1051"/>
      <c r="G43" s="1051"/>
      <c r="H43" s="1051"/>
      <c r="I43" s="1051"/>
      <c r="J43" s="1051"/>
      <c r="K43" s="1051"/>
      <c r="L43" s="1051"/>
      <c r="M43" s="1051"/>
      <c r="N43" s="1051"/>
      <c r="O43" s="1051"/>
      <c r="P43" s="1051"/>
      <c r="Q43" s="1051"/>
      <c r="AD43" s="1051"/>
      <c r="AE43" s="1051"/>
      <c r="AF43" s="1051"/>
      <c r="AG43" s="1051"/>
      <c r="AH43" s="1051"/>
      <c r="AI43" s="1051"/>
      <c r="AJ43" s="1051"/>
      <c r="AK43" s="1051"/>
      <c r="AL43" s="75"/>
      <c r="AN43" s="1051"/>
      <c r="AO43" s="1051"/>
      <c r="AP43" s="1051"/>
      <c r="AS43" s="1051"/>
      <c r="AT43" s="1051"/>
      <c r="AU43" s="1051"/>
    </row>
    <row r="44" spans="5:47">
      <c r="E44" s="1051"/>
      <c r="F44" s="1051"/>
      <c r="G44" s="1051"/>
      <c r="H44" s="1051"/>
      <c r="I44" s="1051"/>
      <c r="J44" s="1051"/>
      <c r="K44" s="1051"/>
      <c r="L44" s="1051"/>
      <c r="M44" s="1051"/>
      <c r="N44" s="1051"/>
      <c r="O44" s="1051"/>
      <c r="P44" s="1051"/>
      <c r="Q44" s="1051"/>
      <c r="AD44" s="1051"/>
      <c r="AE44" s="1051"/>
      <c r="AF44" s="1051"/>
      <c r="AG44" s="1051"/>
      <c r="AH44" s="1051"/>
      <c r="AI44" s="1051"/>
      <c r="AJ44" s="1051"/>
      <c r="AK44" s="1051"/>
      <c r="AL44" s="75"/>
      <c r="AN44" s="1051"/>
      <c r="AO44" s="1051"/>
      <c r="AP44" s="1051"/>
      <c r="AS44" s="1051"/>
      <c r="AT44" s="1051"/>
      <c r="AU44" s="1051"/>
    </row>
    <row r="45" spans="5:47">
      <c r="E45" s="1051"/>
      <c r="F45" s="1051"/>
      <c r="G45" s="1051"/>
      <c r="H45" s="1051"/>
      <c r="I45" s="1051"/>
      <c r="J45" s="1051"/>
      <c r="K45" s="1051"/>
      <c r="L45" s="1051"/>
      <c r="M45" s="1051"/>
      <c r="N45" s="1051"/>
      <c r="O45" s="1051"/>
      <c r="P45" s="1051"/>
      <c r="Q45" s="1051"/>
      <c r="AD45" s="1051"/>
      <c r="AE45" s="1051"/>
      <c r="AF45" s="1051"/>
      <c r="AG45" s="1051"/>
      <c r="AH45" s="1051"/>
      <c r="AI45" s="1051"/>
      <c r="AJ45" s="1051"/>
      <c r="AK45" s="1051"/>
      <c r="AL45" s="75"/>
      <c r="AN45" s="1051"/>
      <c r="AO45" s="1051"/>
      <c r="AP45" s="1051"/>
      <c r="AS45" s="1051"/>
      <c r="AT45" s="1051"/>
      <c r="AU45" s="1051"/>
    </row>
    <row r="46" spans="5:47">
      <c r="E46" s="1051"/>
      <c r="F46" s="1051"/>
      <c r="G46" s="1051"/>
      <c r="H46" s="1051"/>
      <c r="I46" s="1051"/>
      <c r="J46" s="1051"/>
      <c r="K46" s="1051"/>
      <c r="L46" s="1051"/>
      <c r="M46" s="1051"/>
      <c r="N46" s="1051"/>
      <c r="O46" s="1051"/>
      <c r="P46" s="1051"/>
      <c r="Q46" s="1051"/>
      <c r="AD46" s="1051"/>
      <c r="AE46" s="1051"/>
      <c r="AF46" s="1051"/>
      <c r="AG46" s="1051"/>
      <c r="AH46" s="1051"/>
      <c r="AI46" s="1051"/>
      <c r="AJ46" s="1051"/>
      <c r="AK46" s="1051"/>
      <c r="AL46" s="75"/>
      <c r="AN46" s="1051"/>
      <c r="AO46" s="1051"/>
      <c r="AP46" s="1051"/>
      <c r="AS46" s="1051"/>
      <c r="AT46" s="1051"/>
      <c r="AU46" s="1051"/>
    </row>
    <row r="47" spans="5:47">
      <c r="E47" s="1051"/>
      <c r="F47" s="1051"/>
      <c r="G47" s="1051"/>
      <c r="H47" s="1051"/>
      <c r="I47" s="1051"/>
      <c r="J47" s="1051"/>
      <c r="K47" s="1051"/>
      <c r="L47" s="1051"/>
      <c r="M47" s="1051"/>
      <c r="N47" s="1051"/>
      <c r="O47" s="1051"/>
      <c r="P47" s="1051"/>
      <c r="Q47" s="1051"/>
      <c r="AD47" s="1051"/>
      <c r="AE47" s="1051"/>
      <c r="AF47" s="1051"/>
      <c r="AG47" s="1051"/>
      <c r="AH47" s="1051"/>
      <c r="AI47" s="1051"/>
      <c r="AJ47" s="1051"/>
      <c r="AK47" s="1051"/>
      <c r="AL47" s="75"/>
      <c r="AN47" s="1051"/>
      <c r="AO47" s="1051"/>
      <c r="AP47" s="1051"/>
      <c r="AS47" s="1051"/>
      <c r="AT47" s="1051"/>
      <c r="AU47" s="1051"/>
    </row>
    <row r="48" spans="5:47">
      <c r="E48" s="1051"/>
      <c r="F48" s="1051"/>
      <c r="G48" s="1051"/>
      <c r="H48" s="1051"/>
      <c r="I48" s="1051"/>
      <c r="J48" s="1051"/>
      <c r="K48" s="1051"/>
      <c r="L48" s="1051"/>
      <c r="M48" s="1051"/>
      <c r="N48" s="1051"/>
      <c r="O48" s="1051"/>
      <c r="P48" s="1051"/>
      <c r="Q48" s="1051"/>
      <c r="AD48" s="1051"/>
      <c r="AE48" s="1051"/>
      <c r="AF48" s="1051"/>
      <c r="AG48" s="1051"/>
      <c r="AH48" s="1051"/>
      <c r="AI48" s="1051"/>
      <c r="AJ48" s="1051"/>
      <c r="AK48" s="1051"/>
      <c r="AL48" s="75"/>
      <c r="AN48" s="1051"/>
      <c r="AO48" s="1051"/>
      <c r="AP48" s="1051"/>
      <c r="AS48" s="1051"/>
      <c r="AT48" s="1051"/>
      <c r="AU48" s="1051"/>
    </row>
    <row r="49" spans="5:47">
      <c r="E49" s="1051"/>
      <c r="F49" s="1051"/>
      <c r="G49" s="1051"/>
      <c r="H49" s="1051"/>
      <c r="I49" s="1051"/>
      <c r="J49" s="1051"/>
      <c r="K49" s="1051"/>
      <c r="L49" s="1051"/>
      <c r="M49" s="1051"/>
      <c r="N49" s="1051"/>
      <c r="O49" s="1051"/>
      <c r="P49" s="1051"/>
      <c r="Q49" s="1051"/>
      <c r="AD49" s="1051"/>
      <c r="AE49" s="1051"/>
      <c r="AF49" s="1051"/>
      <c r="AG49" s="1051"/>
      <c r="AH49" s="1051"/>
      <c r="AI49" s="1051"/>
      <c r="AJ49" s="1051"/>
      <c r="AK49" s="1051"/>
      <c r="AL49" s="75"/>
      <c r="AN49" s="1051"/>
      <c r="AO49" s="1051"/>
      <c r="AP49" s="1051"/>
      <c r="AS49" s="1051"/>
      <c r="AT49" s="1051"/>
      <c r="AU49" s="1051"/>
    </row>
    <row r="50" spans="5:47">
      <c r="E50" s="1051"/>
      <c r="F50" s="1051"/>
      <c r="G50" s="1051"/>
      <c r="H50" s="1051"/>
      <c r="I50" s="1051"/>
      <c r="J50" s="1051"/>
      <c r="K50" s="1051"/>
      <c r="L50" s="1051"/>
      <c r="M50" s="1051"/>
      <c r="N50" s="1051"/>
      <c r="O50" s="1051"/>
      <c r="P50" s="1051"/>
      <c r="Q50" s="1051"/>
      <c r="AD50" s="1051"/>
      <c r="AE50" s="1051"/>
      <c r="AF50" s="1051"/>
      <c r="AG50" s="1051"/>
      <c r="AH50" s="1051"/>
      <c r="AI50" s="1051"/>
      <c r="AJ50" s="1051"/>
      <c r="AK50" s="1051"/>
      <c r="AL50" s="75"/>
      <c r="AN50" s="1051"/>
      <c r="AO50" s="1051"/>
      <c r="AP50" s="1051"/>
      <c r="AS50" s="1051"/>
      <c r="AT50" s="1051"/>
      <c r="AU50" s="1051"/>
    </row>
    <row r="51" spans="5:47">
      <c r="E51" s="1051"/>
      <c r="F51" s="1051"/>
      <c r="G51" s="1051"/>
      <c r="H51" s="1051"/>
      <c r="I51" s="1051"/>
      <c r="J51" s="1051"/>
      <c r="K51" s="1051"/>
      <c r="L51" s="1051"/>
      <c r="M51" s="1051"/>
      <c r="N51" s="1051"/>
      <c r="O51" s="1051"/>
      <c r="P51" s="1051"/>
      <c r="Q51" s="1051"/>
      <c r="AD51" s="1051"/>
      <c r="AE51" s="1051"/>
      <c r="AF51" s="1051"/>
      <c r="AG51" s="1051"/>
      <c r="AH51" s="1051"/>
      <c r="AI51" s="1051"/>
      <c r="AJ51" s="1051"/>
      <c r="AK51" s="1051"/>
      <c r="AL51" s="75"/>
      <c r="AN51" s="1051"/>
      <c r="AO51" s="1051"/>
      <c r="AP51" s="1051"/>
      <c r="AS51" s="1051"/>
      <c r="AT51" s="1051"/>
      <c r="AU51" s="1051"/>
    </row>
    <row r="52" spans="5:47">
      <c r="E52" s="1051"/>
      <c r="F52" s="1051"/>
      <c r="G52" s="1051"/>
      <c r="H52" s="1051"/>
      <c r="I52" s="1051"/>
      <c r="J52" s="1051"/>
      <c r="K52" s="1051"/>
      <c r="L52" s="1051"/>
      <c r="M52" s="1051"/>
      <c r="N52" s="1051"/>
      <c r="O52" s="1051"/>
      <c r="P52" s="1051"/>
      <c r="Q52" s="1051"/>
      <c r="AD52" s="1051"/>
      <c r="AE52" s="1051"/>
      <c r="AF52" s="1051"/>
      <c r="AG52" s="1051"/>
      <c r="AH52" s="1051"/>
      <c r="AI52" s="1051"/>
      <c r="AJ52" s="1051"/>
      <c r="AK52" s="1051"/>
      <c r="AL52" s="75"/>
      <c r="AN52" s="1051"/>
      <c r="AO52" s="1051"/>
      <c r="AP52" s="1051"/>
      <c r="AS52" s="1051"/>
      <c r="AT52" s="1051"/>
      <c r="AU52" s="1051"/>
    </row>
    <row r="53" spans="5:47">
      <c r="E53" s="1051"/>
      <c r="F53" s="1051"/>
      <c r="G53" s="1051"/>
      <c r="H53" s="1051"/>
      <c r="I53" s="1051"/>
      <c r="J53" s="1051"/>
      <c r="K53" s="1051"/>
      <c r="L53" s="1051"/>
      <c r="M53" s="1051"/>
      <c r="N53" s="1051"/>
      <c r="O53" s="1051"/>
      <c r="P53" s="1051"/>
      <c r="Q53" s="1051"/>
      <c r="AD53" s="1051"/>
      <c r="AE53" s="1051"/>
      <c r="AF53" s="1051"/>
      <c r="AG53" s="1051"/>
      <c r="AH53" s="1051"/>
      <c r="AI53" s="1051"/>
      <c r="AJ53" s="1051"/>
      <c r="AK53" s="1051"/>
      <c r="AL53" s="75"/>
      <c r="AN53" s="1051"/>
      <c r="AO53" s="1051"/>
      <c r="AP53" s="1051"/>
      <c r="AS53" s="1051"/>
      <c r="AT53" s="1051"/>
      <c r="AU53" s="1051"/>
    </row>
    <row r="54" spans="5:47">
      <c r="E54" s="69"/>
      <c r="F54" s="69"/>
      <c r="G54" s="69"/>
      <c r="H54" s="69"/>
      <c r="I54" s="69"/>
      <c r="J54" s="69"/>
      <c r="K54" s="69"/>
      <c r="L54" s="69"/>
      <c r="M54" s="69"/>
      <c r="N54" s="69"/>
      <c r="O54" s="69"/>
      <c r="P54" s="69"/>
      <c r="Q54" s="69"/>
      <c r="AD54" s="69"/>
      <c r="AE54" s="69"/>
      <c r="AU54" s="69"/>
    </row>
    <row r="55" spans="5:47">
      <c r="J55" s="69"/>
      <c r="AD55" s="69"/>
      <c r="AE55" s="69"/>
      <c r="AU55" s="69"/>
    </row>
    <row r="56" spans="5:47" ht="15" thickBot="1">
      <c r="N56" s="90" t="s">
        <v>152</v>
      </c>
      <c r="O56" s="90"/>
      <c r="P56" s="90"/>
      <c r="Q56" s="90"/>
      <c r="R56" s="90"/>
      <c r="AD56" s="69"/>
      <c r="AE56" s="69"/>
      <c r="AU56" s="69"/>
    </row>
    <row r="57" spans="5:47" ht="15" thickBot="1">
      <c r="J57" s="82"/>
      <c r="K57" s="101" t="s">
        <v>151</v>
      </c>
      <c r="L57" s="101" t="s">
        <v>150</v>
      </c>
      <c r="M57" s="100"/>
      <c r="AD57" s="69"/>
      <c r="AE57" s="69"/>
      <c r="AU57" s="69"/>
    </row>
    <row r="58" spans="5:47">
      <c r="J58" s="99">
        <v>2030</v>
      </c>
      <c r="K58">
        <v>3.7</v>
      </c>
      <c r="L58">
        <v>0.73</v>
      </c>
      <c r="M58" s="76" t="s">
        <v>149</v>
      </c>
      <c r="AD58" s="69"/>
      <c r="AE58" s="69"/>
      <c r="AU58" s="69"/>
    </row>
    <row r="59" spans="5:47">
      <c r="J59" s="99">
        <v>2050</v>
      </c>
      <c r="K59">
        <v>2.7</v>
      </c>
      <c r="L59">
        <v>0.54</v>
      </c>
      <c r="M59" s="76" t="s">
        <v>149</v>
      </c>
      <c r="AD59" s="69"/>
      <c r="AE59" s="69"/>
      <c r="AU59" s="69"/>
    </row>
    <row r="60" spans="5:47">
      <c r="J60" s="99"/>
      <c r="K60" s="1275">
        <v>0.9</v>
      </c>
      <c r="L60" s="1276"/>
      <c r="M60" s="76" t="s">
        <v>148</v>
      </c>
    </row>
    <row r="61" spans="5:47">
      <c r="J61" s="99">
        <v>2030</v>
      </c>
      <c r="L61">
        <v>4.8411111111111111E-3</v>
      </c>
      <c r="M61" s="76" t="s">
        <v>147</v>
      </c>
    </row>
    <row r="62" spans="5:47" ht="15" thickBot="1">
      <c r="J62" s="98">
        <v>2050</v>
      </c>
      <c r="K62" s="55"/>
      <c r="L62" s="55">
        <v>3.5400000000000002E-3</v>
      </c>
      <c r="M62" s="91"/>
    </row>
    <row r="69" spans="1:19">
      <c r="B69" s="69"/>
      <c r="C69" s="69"/>
      <c r="D69" s="69"/>
      <c r="E69" s="69"/>
      <c r="F69" s="69"/>
      <c r="G69" s="69"/>
      <c r="H69" s="69"/>
      <c r="I69" s="69"/>
      <c r="J69" s="69"/>
      <c r="K69" s="69"/>
      <c r="L69" s="69"/>
      <c r="M69" s="69"/>
      <c r="N69" s="69"/>
      <c r="Q69" s="69"/>
      <c r="R69" s="69"/>
    </row>
    <row r="70" spans="1:19" ht="18" thickBot="1">
      <c r="B70" s="97" t="s">
        <v>146</v>
      </c>
      <c r="C70" s="69"/>
      <c r="D70" s="69"/>
      <c r="E70" s="69"/>
      <c r="F70" s="69"/>
      <c r="G70" s="69"/>
      <c r="H70" s="69"/>
      <c r="I70" s="69"/>
      <c r="J70" s="69"/>
      <c r="K70" s="69"/>
      <c r="L70" s="69"/>
      <c r="M70" s="69"/>
      <c r="N70" s="69"/>
      <c r="O70" s="69"/>
      <c r="P70" s="69"/>
      <c r="Q70" s="7">
        <v>0.52149999999999996</v>
      </c>
      <c r="R70" s="69"/>
    </row>
    <row r="71" spans="1:19" ht="15" thickBot="1">
      <c r="A71" s="96" t="s">
        <v>144</v>
      </c>
      <c r="B71" s="69"/>
      <c r="C71" s="69">
        <v>8.76</v>
      </c>
      <c r="D71" s="69"/>
      <c r="E71" s="69"/>
      <c r="F71" s="69"/>
      <c r="J71" t="s">
        <v>145</v>
      </c>
      <c r="K71">
        <v>3.86</v>
      </c>
      <c r="Q71" s="7">
        <v>0.2235</v>
      </c>
    </row>
    <row r="72" spans="1:19" ht="28.2" thickBot="1">
      <c r="A72" s="92" t="s">
        <v>132</v>
      </c>
      <c r="B72" s="95" t="s">
        <v>143</v>
      </c>
      <c r="C72" s="95">
        <v>1095</v>
      </c>
      <c r="D72" s="95">
        <v>17520</v>
      </c>
      <c r="E72" s="94">
        <v>175200</v>
      </c>
      <c r="J72" t="s">
        <v>142</v>
      </c>
      <c r="K72">
        <v>3860</v>
      </c>
      <c r="M72" s="93"/>
    </row>
    <row r="73" spans="1:19" ht="15" thickBot="1">
      <c r="B73" s="55" t="s">
        <v>141</v>
      </c>
      <c r="C73" s="55">
        <v>1518.2648401826484</v>
      </c>
      <c r="D73" s="55">
        <v>867.57990867579906</v>
      </c>
      <c r="E73" s="91">
        <v>520.54794520547944</v>
      </c>
      <c r="J73" t="s">
        <v>140</v>
      </c>
      <c r="K73">
        <v>3.8600000000000001E-3</v>
      </c>
    </row>
    <row r="74" spans="1:19" ht="15" thickBot="1"/>
    <row r="75" spans="1:19" ht="21.6" thickBot="1">
      <c r="E75" s="90" t="s">
        <v>139</v>
      </c>
      <c r="N75" s="89" t="s">
        <v>138</v>
      </c>
      <c r="O75" s="88">
        <v>7</v>
      </c>
      <c r="P75" s="88">
        <v>6.6666666666666661</v>
      </c>
      <c r="Q75" s="88">
        <v>6.3349753694581281</v>
      </c>
      <c r="R75" s="87">
        <v>6.0549450549450547</v>
      </c>
    </row>
    <row r="76" spans="1:19" ht="15" thickBot="1"/>
    <row r="77" spans="1:19" ht="18.600000000000001" thickBot="1">
      <c r="N77" s="1277" t="s">
        <v>137</v>
      </c>
      <c r="O77" s="1278"/>
      <c r="P77" s="1278"/>
      <c r="Q77" s="1278"/>
      <c r="R77" s="1278"/>
      <c r="S77" s="1279"/>
    </row>
    <row r="78" spans="1:19" ht="15" thickBot="1">
      <c r="N78" s="82"/>
      <c r="O78" s="1" t="s">
        <v>133</v>
      </c>
      <c r="P78" s="1">
        <v>2020</v>
      </c>
      <c r="Q78" s="1">
        <v>2030</v>
      </c>
      <c r="R78" s="1">
        <v>2040</v>
      </c>
      <c r="S78" s="81">
        <v>2050</v>
      </c>
    </row>
    <row r="79" spans="1:19">
      <c r="N79" s="80" t="s">
        <v>132</v>
      </c>
      <c r="O79" t="s">
        <v>131</v>
      </c>
      <c r="P79">
        <v>0.73</v>
      </c>
      <c r="Q79">
        <v>0.33800000000000002</v>
      </c>
      <c r="R79">
        <v>0.23699999999999999</v>
      </c>
      <c r="S79" s="76">
        <v>0.19900000000000001</v>
      </c>
    </row>
    <row r="80" spans="1:19">
      <c r="N80" s="80" t="s">
        <v>130</v>
      </c>
      <c r="O80" t="s">
        <v>129</v>
      </c>
      <c r="P80">
        <v>2.92E-2</v>
      </c>
      <c r="Q80">
        <v>1.3520000000000001E-2</v>
      </c>
      <c r="R80">
        <v>9.4800000000000006E-3</v>
      </c>
      <c r="S80" s="76">
        <v>7.9600000000000001E-3</v>
      </c>
    </row>
    <row r="81" spans="14:19">
      <c r="N81" s="1273" t="s">
        <v>128</v>
      </c>
      <c r="O81" t="s">
        <v>127</v>
      </c>
      <c r="P81">
        <v>250</v>
      </c>
      <c r="Q81">
        <v>225</v>
      </c>
      <c r="R81">
        <v>203</v>
      </c>
      <c r="S81" s="76">
        <v>182</v>
      </c>
    </row>
    <row r="82" spans="14:19">
      <c r="N82" s="1273"/>
      <c r="O82" t="s">
        <v>126</v>
      </c>
      <c r="P82" s="86">
        <v>8.9999999999999998E-4</v>
      </c>
      <c r="Q82" s="86">
        <v>8.0999999999999996E-4</v>
      </c>
      <c r="R82" s="86">
        <v>7.3079999999999998E-4</v>
      </c>
      <c r="S82" s="85">
        <v>6.5519999999999999E-4</v>
      </c>
    </row>
    <row r="83" spans="14:19">
      <c r="N83" s="1273" t="s">
        <v>136</v>
      </c>
      <c r="O83" t="s">
        <v>127</v>
      </c>
      <c r="P83">
        <v>1750</v>
      </c>
      <c r="Q83">
        <v>1500</v>
      </c>
      <c r="R83">
        <v>1286</v>
      </c>
      <c r="S83" s="76">
        <v>1102</v>
      </c>
    </row>
    <row r="84" spans="14:19">
      <c r="N84" s="1273"/>
      <c r="O84" t="s">
        <v>126</v>
      </c>
      <c r="P84" s="75">
        <v>6.3E-3</v>
      </c>
      <c r="Q84" s="75">
        <v>5.3999999999999994E-3</v>
      </c>
      <c r="R84" s="75">
        <v>4.6296000000000002E-3</v>
      </c>
      <c r="S84" s="79">
        <v>3.9671999999999997E-3</v>
      </c>
    </row>
    <row r="85" spans="14:19" ht="15" thickBot="1">
      <c r="N85" s="1274"/>
      <c r="O85" t="s">
        <v>135</v>
      </c>
      <c r="P85" s="84">
        <v>7</v>
      </c>
      <c r="Q85" s="84">
        <v>6.6666666666666661</v>
      </c>
      <c r="R85" s="84">
        <v>6.3349753694581281</v>
      </c>
      <c r="S85" s="83">
        <v>6.0549450549450547</v>
      </c>
    </row>
    <row r="86" spans="14:19" ht="18.600000000000001" thickBot="1">
      <c r="N86" s="1277" t="s">
        <v>134</v>
      </c>
      <c r="O86" s="1278"/>
      <c r="P86" s="1278"/>
      <c r="Q86" s="1278"/>
      <c r="R86" s="1278"/>
      <c r="S86" s="1279"/>
    </row>
    <row r="87" spans="14:19" ht="15" thickBot="1">
      <c r="N87" s="82"/>
      <c r="O87" s="1" t="s">
        <v>133</v>
      </c>
      <c r="P87" s="1">
        <v>2020</v>
      </c>
      <c r="Q87" s="1">
        <v>2030</v>
      </c>
      <c r="R87" s="1">
        <v>2040</v>
      </c>
      <c r="S87" s="81">
        <v>2050</v>
      </c>
    </row>
    <row r="88" spans="14:19">
      <c r="N88" s="80" t="s">
        <v>132</v>
      </c>
      <c r="O88" t="s">
        <v>131</v>
      </c>
      <c r="P88">
        <v>0.81499999999999995</v>
      </c>
      <c r="Q88">
        <v>0.378</v>
      </c>
      <c r="R88">
        <v>0.26500000000000001</v>
      </c>
      <c r="S88" s="76">
        <v>0.222</v>
      </c>
    </row>
    <row r="89" spans="14:19">
      <c r="N89" s="80" t="s">
        <v>130</v>
      </c>
      <c r="O89" t="s">
        <v>129</v>
      </c>
      <c r="P89" s="75">
        <v>3.0154999999999998E-2</v>
      </c>
      <c r="Q89" s="75">
        <v>1.3986E-2</v>
      </c>
      <c r="R89" s="75">
        <v>9.8049999999999995E-3</v>
      </c>
      <c r="S89" s="79">
        <v>8.2139999999999991E-3</v>
      </c>
    </row>
    <row r="90" spans="14:19">
      <c r="N90" s="1273" t="s">
        <v>128</v>
      </c>
      <c r="O90" t="s">
        <v>127</v>
      </c>
      <c r="P90">
        <v>1535</v>
      </c>
      <c r="Q90">
        <v>1458</v>
      </c>
      <c r="R90">
        <v>1385</v>
      </c>
      <c r="S90" s="76">
        <v>1316</v>
      </c>
    </row>
    <row r="91" spans="14:19" ht="15" thickBot="1">
      <c r="N91" s="1274"/>
      <c r="O91" s="55" t="s">
        <v>126</v>
      </c>
      <c r="P91" s="78">
        <v>5.5259999999999997E-3</v>
      </c>
      <c r="Q91" s="78">
        <v>5.2487999999999996E-3</v>
      </c>
      <c r="R91" s="78">
        <v>4.986E-3</v>
      </c>
      <c r="S91" s="77">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76">
        <v>0.19900000000000001</v>
      </c>
      <c r="P97" s="76">
        <v>7.9600000000000001E-3</v>
      </c>
    </row>
    <row r="98" spans="15:16">
      <c r="O98">
        <v>0.81499999999999995</v>
      </c>
      <c r="P98" s="75">
        <v>3.0154999999999998E-2</v>
      </c>
    </row>
    <row r="99" spans="15:16">
      <c r="O99">
        <v>0.378</v>
      </c>
      <c r="P99" s="75">
        <v>1.3986E-2</v>
      </c>
    </row>
    <row r="100" spans="15:16">
      <c r="O100">
        <v>0.26500000000000001</v>
      </c>
      <c r="P100" s="75">
        <v>9.8049999999999995E-3</v>
      </c>
    </row>
    <row r="101" spans="15:16">
      <c r="O101">
        <v>0.222</v>
      </c>
      <c r="P101" s="75">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zoomScale="65" zoomScaleNormal="40" workbookViewId="0">
      <selection activeCell="J63" sqref="J63"/>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58" t="s">
        <v>190</v>
      </c>
      <c r="M1" s="158">
        <v>7.45</v>
      </c>
    </row>
    <row r="2" spans="2:25">
      <c r="L2" s="158"/>
      <c r="M2" s="158"/>
    </row>
    <row r="3" spans="2:25">
      <c r="B3" s="69"/>
      <c r="C3" s="69"/>
      <c r="D3" s="69"/>
      <c r="E3" s="69"/>
      <c r="F3" s="121"/>
      <c r="G3" s="121"/>
      <c r="H3" s="121"/>
      <c r="I3" s="121" t="s">
        <v>0</v>
      </c>
      <c r="J3" s="121"/>
      <c r="K3" s="121"/>
      <c r="L3" s="69"/>
      <c r="M3" s="69"/>
      <c r="N3" s="69"/>
      <c r="O3" s="69"/>
      <c r="P3" s="69"/>
      <c r="Q3" s="69"/>
      <c r="R3" s="69"/>
      <c r="S3" s="69"/>
      <c r="T3" s="69"/>
      <c r="U3" s="69"/>
      <c r="V3" s="69"/>
      <c r="W3" s="69"/>
      <c r="X3" s="69"/>
    </row>
    <row r="4" spans="2:25">
      <c r="B4" s="157" t="s">
        <v>2</v>
      </c>
      <c r="C4" s="157" t="s">
        <v>11</v>
      </c>
      <c r="D4" s="157" t="s">
        <v>32</v>
      </c>
      <c r="E4" s="157" t="s">
        <v>189</v>
      </c>
      <c r="F4" s="157" t="s">
        <v>3</v>
      </c>
      <c r="G4" s="157" t="s">
        <v>33</v>
      </c>
      <c r="H4" s="157" t="s">
        <v>158</v>
      </c>
      <c r="I4" s="157" t="s">
        <v>1441</v>
      </c>
      <c r="J4" s="157" t="s">
        <v>34</v>
      </c>
      <c r="K4" s="157" t="s">
        <v>187</v>
      </c>
      <c r="L4" s="157" t="s">
        <v>188</v>
      </c>
      <c r="M4" s="155" t="s">
        <v>239</v>
      </c>
      <c r="N4" s="155" t="s">
        <v>186</v>
      </c>
      <c r="O4" s="155" t="s">
        <v>185</v>
      </c>
      <c r="P4" s="156" t="s">
        <v>238</v>
      </c>
      <c r="Q4" s="156" t="s">
        <v>237</v>
      </c>
      <c r="R4" s="156" t="s">
        <v>236</v>
      </c>
      <c r="S4" s="156" t="s">
        <v>235</v>
      </c>
      <c r="T4" s="155" t="s">
        <v>9</v>
      </c>
      <c r="U4" s="155" t="s">
        <v>6</v>
      </c>
      <c r="V4" s="155" t="s">
        <v>7</v>
      </c>
      <c r="W4" s="155" t="s">
        <v>8</v>
      </c>
      <c r="X4" s="117" t="s">
        <v>39</v>
      </c>
      <c r="Y4" s="154" t="s">
        <v>41</v>
      </c>
    </row>
    <row r="5" spans="2:25" ht="40.200000000000003">
      <c r="B5" s="115" t="s">
        <v>184</v>
      </c>
      <c r="C5" s="115" t="s">
        <v>19</v>
      </c>
      <c r="D5" s="115" t="s">
        <v>183</v>
      </c>
      <c r="E5" s="115" t="s">
        <v>182</v>
      </c>
      <c r="F5" s="115" t="s">
        <v>181</v>
      </c>
      <c r="G5" s="115" t="s">
        <v>234</v>
      </c>
      <c r="H5" s="115"/>
      <c r="I5" s="115"/>
      <c r="J5" s="115"/>
      <c r="K5" s="115" t="s">
        <v>233</v>
      </c>
      <c r="L5" s="115" t="s">
        <v>180</v>
      </c>
      <c r="M5" s="115" t="s">
        <v>232</v>
      </c>
      <c r="N5" s="115" t="s">
        <v>178</v>
      </c>
      <c r="O5" s="115" t="s">
        <v>177</v>
      </c>
      <c r="P5" s="115"/>
      <c r="Q5" s="115"/>
      <c r="R5" s="115"/>
      <c r="S5" s="115"/>
      <c r="T5" s="115" t="s">
        <v>176</v>
      </c>
      <c r="U5" s="115" t="s">
        <v>175</v>
      </c>
      <c r="V5" s="115" t="s">
        <v>174</v>
      </c>
      <c r="W5" s="115" t="s">
        <v>173</v>
      </c>
      <c r="X5" s="114" t="s">
        <v>67</v>
      </c>
      <c r="Y5" s="113"/>
    </row>
    <row r="6" spans="2:25" ht="27.6" thickBot="1">
      <c r="B6" s="112" t="s">
        <v>172</v>
      </c>
      <c r="C6" s="111"/>
      <c r="D6" s="111"/>
      <c r="E6" s="111"/>
      <c r="F6" s="111"/>
      <c r="G6" s="111"/>
      <c r="H6" s="111"/>
      <c r="I6" s="111"/>
      <c r="J6" s="111"/>
      <c r="K6" s="111" t="s">
        <v>231</v>
      </c>
      <c r="L6" s="111" t="s">
        <v>230</v>
      </c>
      <c r="M6" s="111" t="s">
        <v>229</v>
      </c>
      <c r="N6" s="111"/>
      <c r="O6" s="111" t="s">
        <v>62</v>
      </c>
      <c r="P6" s="111"/>
      <c r="Q6" s="111"/>
      <c r="R6" s="111"/>
      <c r="S6" s="111"/>
      <c r="T6" s="111" t="s">
        <v>228</v>
      </c>
      <c r="U6" s="110" t="s">
        <v>227</v>
      </c>
      <c r="V6" s="110" t="s">
        <v>226</v>
      </c>
      <c r="W6" s="110" t="s">
        <v>225</v>
      </c>
      <c r="X6" s="110" t="s">
        <v>165</v>
      </c>
      <c r="Y6" s="109"/>
    </row>
    <row r="7" spans="2:25">
      <c r="B7" s="19" t="s">
        <v>302</v>
      </c>
      <c r="C7" s="104" t="s">
        <v>224</v>
      </c>
      <c r="D7" s="104" t="s">
        <v>71</v>
      </c>
      <c r="E7" s="104"/>
      <c r="F7" s="104"/>
      <c r="G7" s="104"/>
      <c r="H7" s="104">
        <v>2015</v>
      </c>
      <c r="I7" s="104">
        <v>2025</v>
      </c>
      <c r="J7" s="104" t="s">
        <v>70</v>
      </c>
      <c r="K7" s="104">
        <v>0.34</v>
      </c>
      <c r="L7" s="104"/>
      <c r="M7" s="104"/>
      <c r="N7" s="104">
        <v>0.9</v>
      </c>
      <c r="O7" s="104">
        <v>20</v>
      </c>
      <c r="Q7" s="69"/>
      <c r="S7" s="69"/>
      <c r="T7" s="104">
        <v>3.1536000000000002E-2</v>
      </c>
      <c r="U7" s="104">
        <v>40.662100000000002</v>
      </c>
      <c r="V7" s="104">
        <v>1.2198629999999999</v>
      </c>
      <c r="W7" s="104">
        <v>0</v>
      </c>
      <c r="X7" s="104">
        <v>2</v>
      </c>
      <c r="Y7" s="104" t="s">
        <v>220</v>
      </c>
    </row>
    <row r="8" spans="2:25">
      <c r="B8" s="7"/>
      <c r="C8" s="69"/>
      <c r="D8" s="69"/>
      <c r="E8" s="69"/>
      <c r="F8" s="69" t="s">
        <v>223</v>
      </c>
      <c r="G8" s="69"/>
      <c r="H8" s="69"/>
      <c r="I8" s="1077"/>
      <c r="J8" s="69"/>
      <c r="K8" s="69"/>
      <c r="L8" s="69"/>
      <c r="M8" s="69"/>
      <c r="N8" s="69"/>
      <c r="O8" s="69"/>
      <c r="P8">
        <v>0</v>
      </c>
      <c r="Q8">
        <v>5</v>
      </c>
      <c r="R8">
        <v>0.40500000000000003</v>
      </c>
      <c r="S8">
        <v>5</v>
      </c>
      <c r="T8" s="69"/>
      <c r="U8" s="69"/>
      <c r="V8" s="69"/>
      <c r="W8" s="69"/>
      <c r="X8" s="69"/>
      <c r="Y8" s="69"/>
    </row>
    <row r="9" spans="2:25">
      <c r="B9" s="7"/>
      <c r="C9" s="69"/>
      <c r="F9" s="69" t="s">
        <v>222</v>
      </c>
      <c r="H9" s="69"/>
      <c r="I9" s="1077"/>
      <c r="J9" s="69"/>
      <c r="K9" s="69"/>
      <c r="M9" s="69"/>
      <c r="N9" s="69"/>
      <c r="O9" s="69"/>
      <c r="P9">
        <v>0</v>
      </c>
      <c r="Q9">
        <v>5</v>
      </c>
      <c r="R9">
        <v>0.40500000000000003</v>
      </c>
      <c r="S9">
        <v>5</v>
      </c>
      <c r="T9" s="69"/>
      <c r="U9" s="69"/>
      <c r="V9" s="69"/>
      <c r="W9" s="69"/>
      <c r="X9" s="69"/>
      <c r="Y9" s="69"/>
    </row>
    <row r="10" spans="2:25">
      <c r="B10" s="7"/>
      <c r="C10" s="69"/>
      <c r="D10" s="69"/>
      <c r="E10" s="69"/>
      <c r="F10" s="69" t="s">
        <v>211</v>
      </c>
      <c r="H10" s="69"/>
      <c r="I10" s="1077"/>
      <c r="J10" s="69"/>
      <c r="K10" s="69"/>
      <c r="L10" s="69"/>
      <c r="M10" s="69"/>
      <c r="N10" s="69"/>
      <c r="O10" s="69"/>
      <c r="P10">
        <v>0.1</v>
      </c>
      <c r="Q10">
        <v>5</v>
      </c>
      <c r="R10">
        <v>0.88</v>
      </c>
      <c r="S10">
        <v>5</v>
      </c>
      <c r="T10" s="69"/>
      <c r="U10" s="69"/>
      <c r="V10" s="69"/>
      <c r="W10" s="69"/>
      <c r="X10" s="69"/>
    </row>
    <row r="11" spans="2:25">
      <c r="B11" s="7"/>
      <c r="C11" s="69"/>
      <c r="D11" s="69"/>
      <c r="E11" s="69"/>
      <c r="G11" s="69" t="s">
        <v>216</v>
      </c>
      <c r="H11" s="69"/>
      <c r="I11" s="1077"/>
      <c r="J11" s="69"/>
      <c r="K11" s="69"/>
      <c r="L11" s="69"/>
      <c r="M11" s="148">
        <v>0.33565217391304347</v>
      </c>
      <c r="N11" s="69"/>
      <c r="O11" s="69"/>
      <c r="T11" s="69"/>
      <c r="U11" s="69"/>
      <c r="V11" s="69"/>
      <c r="W11" s="69"/>
      <c r="X11" s="69"/>
      <c r="Y11" s="153" t="s">
        <v>217</v>
      </c>
    </row>
    <row r="12" spans="2:25">
      <c r="B12" s="7"/>
      <c r="C12" s="69"/>
      <c r="D12" s="69"/>
      <c r="E12" s="69" t="s">
        <v>153</v>
      </c>
      <c r="G12" s="69"/>
      <c r="H12" s="69"/>
      <c r="I12" s="1077"/>
      <c r="J12" s="69"/>
      <c r="K12" s="69"/>
      <c r="L12" s="141">
        <v>76.793856491480682</v>
      </c>
      <c r="M12" s="69"/>
      <c r="N12" s="69"/>
      <c r="O12" s="69"/>
      <c r="T12" s="69"/>
      <c r="U12" s="69"/>
      <c r="V12" s="69"/>
      <c r="W12" s="69"/>
      <c r="X12" s="69"/>
    </row>
    <row r="13" spans="2:25">
      <c r="B13" s="7"/>
      <c r="C13" s="142" t="s">
        <v>224</v>
      </c>
      <c r="D13" s="142" t="s">
        <v>71</v>
      </c>
      <c r="E13" s="142"/>
      <c r="F13" s="142"/>
      <c r="G13" s="142"/>
      <c r="H13" s="142">
        <v>2020</v>
      </c>
      <c r="I13" s="142"/>
      <c r="J13" s="142" t="s">
        <v>70</v>
      </c>
      <c r="K13" s="142">
        <v>0.37</v>
      </c>
      <c r="L13" s="142"/>
      <c r="M13" s="142"/>
      <c r="N13" s="142">
        <v>0.9</v>
      </c>
      <c r="O13" s="142">
        <v>25</v>
      </c>
      <c r="P13" s="143"/>
      <c r="Q13" s="142"/>
      <c r="R13" s="143"/>
      <c r="S13" s="142"/>
      <c r="T13" s="142">
        <v>3.1536000000000002E-2</v>
      </c>
      <c r="U13" s="142">
        <v>33.227000000000004</v>
      </c>
      <c r="V13" s="142">
        <v>0.99681000000000008</v>
      </c>
      <c r="W13" s="142">
        <v>0</v>
      </c>
      <c r="X13" s="142">
        <v>2</v>
      </c>
      <c r="Y13" s="142"/>
    </row>
    <row r="14" spans="2:25">
      <c r="B14" s="7"/>
      <c r="C14" s="69"/>
      <c r="D14" s="69"/>
      <c r="E14" s="69"/>
      <c r="F14" s="69" t="s">
        <v>223</v>
      </c>
      <c r="G14" s="69"/>
      <c r="H14" s="69"/>
      <c r="I14" s="1077"/>
      <c r="J14" s="69"/>
      <c r="K14" s="69"/>
      <c r="L14" s="69"/>
      <c r="M14" s="69"/>
      <c r="N14" s="69"/>
      <c r="O14" s="69"/>
      <c r="P14">
        <v>0</v>
      </c>
      <c r="Q14">
        <v>5</v>
      </c>
      <c r="R14">
        <v>0.40500000000000003</v>
      </c>
      <c r="S14">
        <v>5</v>
      </c>
      <c r="T14" s="69"/>
      <c r="U14" s="69"/>
      <c r="V14" s="69"/>
      <c r="W14" s="69"/>
      <c r="X14" s="69"/>
      <c r="Y14" s="69"/>
    </row>
    <row r="15" spans="2:25">
      <c r="B15" s="7"/>
      <c r="C15" s="69"/>
      <c r="F15" s="69" t="s">
        <v>222</v>
      </c>
      <c r="H15" s="69"/>
      <c r="I15" s="1077"/>
      <c r="J15" s="69"/>
      <c r="K15" s="69"/>
      <c r="M15" s="69"/>
      <c r="N15" s="69"/>
      <c r="O15" s="69"/>
      <c r="P15">
        <v>0</v>
      </c>
      <c r="Q15">
        <v>5</v>
      </c>
      <c r="R15">
        <v>0.40500000000000003</v>
      </c>
      <c r="S15">
        <v>5</v>
      </c>
      <c r="T15" s="69"/>
      <c r="U15" s="69"/>
      <c r="V15" s="69"/>
      <c r="W15" s="69"/>
      <c r="X15" s="69"/>
      <c r="Y15" s="69"/>
    </row>
    <row r="16" spans="2:25">
      <c r="B16" s="7"/>
      <c r="C16" s="69"/>
      <c r="D16" s="69"/>
      <c r="E16" s="69"/>
      <c r="F16" s="69" t="s">
        <v>211</v>
      </c>
      <c r="H16" s="69"/>
      <c r="I16" s="1077"/>
      <c r="J16" s="69"/>
      <c r="K16" s="69"/>
      <c r="L16" s="69"/>
      <c r="M16" s="69"/>
      <c r="N16" s="69"/>
      <c r="O16" s="69"/>
      <c r="P16">
        <v>0.1</v>
      </c>
      <c r="Q16">
        <v>5</v>
      </c>
      <c r="R16">
        <v>0.88</v>
      </c>
      <c r="S16">
        <v>5</v>
      </c>
      <c r="T16" s="69"/>
      <c r="U16" s="69"/>
      <c r="V16" s="69"/>
      <c r="W16" s="69"/>
      <c r="X16" s="69"/>
    </row>
    <row r="17" spans="2:25">
      <c r="B17" s="7"/>
      <c r="C17" s="69"/>
      <c r="D17" s="69"/>
      <c r="E17" s="69"/>
      <c r="G17" s="69" t="s">
        <v>216</v>
      </c>
      <c r="H17" s="69"/>
      <c r="I17" s="1077"/>
      <c r="J17" s="69"/>
      <c r="K17" s="69"/>
      <c r="L17" s="69"/>
      <c r="M17" s="148">
        <v>0.33565217391304347</v>
      </c>
      <c r="N17" s="69"/>
      <c r="O17" s="69"/>
      <c r="T17" s="69"/>
      <c r="U17" s="69"/>
      <c r="V17" s="69"/>
      <c r="W17" s="69"/>
      <c r="X17" s="69"/>
    </row>
    <row r="18" spans="2:25">
      <c r="B18" s="7"/>
      <c r="C18" s="69"/>
      <c r="D18" s="69"/>
      <c r="E18" s="69" t="s">
        <v>153</v>
      </c>
      <c r="G18" s="69"/>
      <c r="H18" s="69"/>
      <c r="I18" s="1077"/>
      <c r="J18" s="69"/>
      <c r="K18" s="69"/>
      <c r="L18" s="141">
        <v>76.543209876543216</v>
      </c>
      <c r="M18" s="69"/>
      <c r="N18" s="69"/>
      <c r="O18" s="69"/>
      <c r="T18" s="69"/>
      <c r="U18" s="69"/>
      <c r="V18" s="69"/>
      <c r="W18" s="69"/>
      <c r="X18" s="69"/>
    </row>
    <row r="19" spans="2:25">
      <c r="B19" s="7"/>
      <c r="C19" s="142" t="s">
        <v>224</v>
      </c>
      <c r="D19" s="142" t="s">
        <v>71</v>
      </c>
      <c r="E19" s="142"/>
      <c r="F19" s="142"/>
      <c r="G19" s="142"/>
      <c r="H19" s="142">
        <v>2030</v>
      </c>
      <c r="I19" s="142"/>
      <c r="J19" s="142" t="s">
        <v>70</v>
      </c>
      <c r="K19" s="142">
        <v>0.38</v>
      </c>
      <c r="L19" s="142"/>
      <c r="M19" s="142"/>
      <c r="N19" s="142">
        <v>0.95</v>
      </c>
      <c r="O19" s="143">
        <v>25</v>
      </c>
      <c r="P19" s="142"/>
      <c r="Q19" s="143"/>
      <c r="R19" s="142"/>
      <c r="S19" s="142"/>
      <c r="T19" s="142">
        <v>3.1536000000000002E-2</v>
      </c>
      <c r="U19" s="142">
        <v>20.561999999999998</v>
      </c>
      <c r="V19" s="142">
        <v>0.61685999999999985</v>
      </c>
      <c r="W19" s="142">
        <v>0</v>
      </c>
      <c r="X19" s="142">
        <v>2</v>
      </c>
      <c r="Y19" s="142"/>
    </row>
    <row r="20" spans="2:25">
      <c r="B20" s="7"/>
      <c r="C20" s="69"/>
      <c r="D20" s="69"/>
      <c r="E20" s="69"/>
      <c r="F20" s="69" t="s">
        <v>223</v>
      </c>
      <c r="G20" s="69"/>
      <c r="H20" s="69"/>
      <c r="I20" s="1077"/>
      <c r="J20" s="69"/>
      <c r="K20" s="69"/>
      <c r="L20" s="69"/>
      <c r="M20" s="69"/>
      <c r="N20" s="69"/>
      <c r="O20" s="69"/>
      <c r="P20">
        <v>0</v>
      </c>
      <c r="Q20">
        <v>5</v>
      </c>
      <c r="R20">
        <v>0.40500000000000003</v>
      </c>
      <c r="S20">
        <v>5</v>
      </c>
      <c r="T20" s="69"/>
      <c r="U20" s="69"/>
      <c r="V20" s="69"/>
      <c r="W20" s="69"/>
      <c r="X20" s="69"/>
      <c r="Y20" s="69"/>
    </row>
    <row r="21" spans="2:25">
      <c r="B21" s="7"/>
      <c r="C21" s="69"/>
      <c r="F21" s="69" t="s">
        <v>222</v>
      </c>
      <c r="H21" s="69"/>
      <c r="I21" s="1077"/>
      <c r="J21" s="69"/>
      <c r="K21" s="69"/>
      <c r="M21" s="69"/>
      <c r="N21" s="69"/>
      <c r="O21" s="69"/>
      <c r="P21">
        <v>0</v>
      </c>
      <c r="Q21">
        <v>5</v>
      </c>
      <c r="R21">
        <v>0.40500000000000003</v>
      </c>
      <c r="S21">
        <v>5</v>
      </c>
      <c r="T21" s="69"/>
      <c r="U21" s="69"/>
      <c r="V21" s="69"/>
      <c r="W21" s="69"/>
      <c r="X21" s="69"/>
      <c r="Y21" s="69"/>
    </row>
    <row r="22" spans="2:25">
      <c r="B22" s="7"/>
      <c r="C22" s="69"/>
      <c r="D22" s="69"/>
      <c r="E22" s="69"/>
      <c r="F22" s="69" t="s">
        <v>211</v>
      </c>
      <c r="H22" s="69"/>
      <c r="I22" s="1077"/>
      <c r="J22" s="69"/>
      <c r="K22" s="69"/>
      <c r="L22" s="69"/>
      <c r="M22" s="69"/>
      <c r="N22" s="69"/>
      <c r="O22" s="69"/>
      <c r="P22">
        <v>0.1</v>
      </c>
      <c r="Q22">
        <v>5</v>
      </c>
      <c r="R22">
        <v>0.88</v>
      </c>
      <c r="S22">
        <v>5</v>
      </c>
      <c r="T22" s="69"/>
      <c r="U22" s="69"/>
      <c r="V22" s="69"/>
      <c r="W22" s="69"/>
      <c r="X22" s="69"/>
    </row>
    <row r="23" spans="2:25">
      <c r="B23" s="7"/>
      <c r="C23" s="69"/>
      <c r="D23" s="69"/>
      <c r="E23" s="69"/>
      <c r="G23" s="69" t="s">
        <v>216</v>
      </c>
      <c r="H23" s="69"/>
      <c r="I23" s="1077"/>
      <c r="J23" s="69"/>
      <c r="K23" s="69"/>
      <c r="L23" s="69"/>
      <c r="M23" s="148">
        <v>0.33565217391304347</v>
      </c>
      <c r="N23" s="69"/>
      <c r="O23" s="69"/>
      <c r="T23" s="69"/>
      <c r="U23" s="69"/>
      <c r="V23" s="69"/>
      <c r="W23" s="69"/>
      <c r="X23" s="69"/>
    </row>
    <row r="24" spans="2:25">
      <c r="B24" s="7"/>
      <c r="C24" s="69"/>
      <c r="D24" s="69"/>
      <c r="E24" s="69" t="s">
        <v>153</v>
      </c>
      <c r="G24" s="69"/>
      <c r="H24" s="69"/>
      <c r="I24" s="1077"/>
      <c r="J24" s="69"/>
      <c r="K24" s="69"/>
      <c r="L24" s="141">
        <v>76.408787010506217</v>
      </c>
      <c r="M24" s="69"/>
      <c r="N24" s="69"/>
      <c r="O24" s="69"/>
      <c r="T24" s="69"/>
      <c r="U24" s="69"/>
      <c r="V24" s="69"/>
      <c r="W24" s="69"/>
      <c r="X24" s="69"/>
    </row>
    <row r="25" spans="2:25">
      <c r="B25" s="7"/>
      <c r="C25" s="142" t="s">
        <v>224</v>
      </c>
      <c r="D25" s="142" t="s">
        <v>71</v>
      </c>
      <c r="E25" s="142"/>
      <c r="F25" s="142"/>
      <c r="G25" s="142"/>
      <c r="H25" s="142">
        <v>2040</v>
      </c>
      <c r="I25" s="142"/>
      <c r="J25" s="142" t="s">
        <v>70</v>
      </c>
      <c r="K25" s="142">
        <v>0.4</v>
      </c>
      <c r="L25" s="142"/>
      <c r="M25" s="142"/>
      <c r="N25" s="142">
        <v>0.95</v>
      </c>
      <c r="O25" s="143">
        <v>25</v>
      </c>
      <c r="P25" s="142"/>
      <c r="Q25" s="143"/>
      <c r="R25" s="142"/>
      <c r="S25" s="142"/>
      <c r="T25" s="142">
        <v>3.1536000000000002E-2</v>
      </c>
      <c r="U25" s="142">
        <v>18.416399999999999</v>
      </c>
      <c r="V25" s="142">
        <v>0.55249199999999998</v>
      </c>
      <c r="W25" s="142">
        <v>0</v>
      </c>
      <c r="X25" s="142">
        <v>2</v>
      </c>
      <c r="Y25" s="142"/>
    </row>
    <row r="26" spans="2:25">
      <c r="B26" s="7"/>
      <c r="C26" s="69"/>
      <c r="D26" s="69"/>
      <c r="E26" s="69"/>
      <c r="F26" s="69" t="s">
        <v>223</v>
      </c>
      <c r="G26" s="69"/>
      <c r="H26" s="69"/>
      <c r="I26" s="1077"/>
      <c r="J26" s="69"/>
      <c r="K26" s="69"/>
      <c r="L26" s="69"/>
      <c r="M26" s="69"/>
      <c r="N26" s="69"/>
      <c r="O26" s="69"/>
      <c r="P26">
        <v>0</v>
      </c>
      <c r="Q26">
        <v>5</v>
      </c>
      <c r="R26">
        <v>0.40500000000000003</v>
      </c>
      <c r="S26">
        <v>5</v>
      </c>
      <c r="T26" s="69"/>
      <c r="U26" s="69"/>
      <c r="V26" s="69"/>
      <c r="W26" s="69"/>
      <c r="X26" s="69"/>
      <c r="Y26" s="69"/>
    </row>
    <row r="27" spans="2:25">
      <c r="B27" s="7"/>
      <c r="C27" s="69"/>
      <c r="F27" s="69" t="s">
        <v>222</v>
      </c>
      <c r="H27" s="69"/>
      <c r="I27" s="1077"/>
      <c r="J27" s="69"/>
      <c r="K27" s="69"/>
      <c r="M27" s="69"/>
      <c r="N27" s="69"/>
      <c r="O27" s="69"/>
      <c r="P27">
        <v>0</v>
      </c>
      <c r="Q27">
        <v>5</v>
      </c>
      <c r="R27">
        <v>0.40500000000000003</v>
      </c>
      <c r="S27">
        <v>5</v>
      </c>
      <c r="T27" s="69"/>
      <c r="U27" s="69"/>
      <c r="V27" s="69"/>
      <c r="W27" s="69"/>
      <c r="X27" s="69"/>
      <c r="Y27" s="69"/>
    </row>
    <row r="28" spans="2:25">
      <c r="B28" s="7"/>
      <c r="C28" s="69"/>
      <c r="D28" s="69"/>
      <c r="E28" s="69"/>
      <c r="F28" s="69" t="s">
        <v>211</v>
      </c>
      <c r="H28" s="69"/>
      <c r="I28" s="1077"/>
      <c r="J28" s="69"/>
      <c r="K28" s="69"/>
      <c r="L28" s="69"/>
      <c r="M28" s="69"/>
      <c r="N28" s="69"/>
      <c r="O28" s="69"/>
      <c r="P28">
        <v>0.1</v>
      </c>
      <c r="Q28">
        <v>5</v>
      </c>
      <c r="R28">
        <v>0.88</v>
      </c>
      <c r="S28">
        <v>5</v>
      </c>
      <c r="T28" s="69"/>
      <c r="U28" s="69"/>
      <c r="V28" s="69"/>
      <c r="W28" s="69"/>
      <c r="X28" s="69"/>
    </row>
    <row r="29" spans="2:25">
      <c r="B29" s="7"/>
      <c r="C29" s="69"/>
      <c r="D29" s="69"/>
      <c r="E29" s="69"/>
      <c r="G29" s="69" t="s">
        <v>216</v>
      </c>
      <c r="H29" s="69"/>
      <c r="I29" s="1077"/>
      <c r="J29" s="69"/>
      <c r="K29" s="69"/>
      <c r="L29" s="69"/>
      <c r="M29" s="148">
        <v>0.33565217391304347</v>
      </c>
      <c r="N29" s="69"/>
      <c r="O29" s="69"/>
      <c r="T29" s="69"/>
      <c r="U29" s="69"/>
      <c r="V29" s="69"/>
      <c r="W29" s="69"/>
      <c r="X29" s="69"/>
    </row>
    <row r="30" spans="2:25">
      <c r="B30" s="7"/>
      <c r="C30" s="69"/>
      <c r="D30" s="69"/>
      <c r="E30" s="69" t="s">
        <v>153</v>
      </c>
      <c r="G30" s="69"/>
      <c r="H30" s="69"/>
      <c r="I30" s="1077"/>
      <c r="J30" s="69"/>
      <c r="K30" s="69"/>
      <c r="L30" s="141">
        <v>76.452599388379213</v>
      </c>
      <c r="M30" s="69"/>
      <c r="N30" s="69"/>
      <c r="O30" s="69"/>
      <c r="T30" s="69"/>
      <c r="U30" s="69"/>
      <c r="V30" s="69"/>
      <c r="W30" s="69"/>
      <c r="X30" s="69"/>
    </row>
    <row r="31" spans="2:25">
      <c r="B31" s="7"/>
      <c r="C31" s="142" t="s">
        <v>224</v>
      </c>
      <c r="D31" s="142" t="s">
        <v>71</v>
      </c>
      <c r="E31" s="142"/>
      <c r="F31" s="142"/>
      <c r="G31" s="142"/>
      <c r="H31" s="142">
        <v>2050</v>
      </c>
      <c r="I31" s="142"/>
      <c r="J31" s="142" t="s">
        <v>70</v>
      </c>
      <c r="K31" s="142">
        <v>0.4</v>
      </c>
      <c r="L31" s="142"/>
      <c r="M31" s="142"/>
      <c r="N31" s="142">
        <v>0.95</v>
      </c>
      <c r="O31" s="143">
        <v>25</v>
      </c>
      <c r="P31" s="142"/>
      <c r="Q31" s="143"/>
      <c r="R31" s="142"/>
      <c r="S31" s="142"/>
      <c r="T31" s="142">
        <v>3.1536000000000002E-2</v>
      </c>
      <c r="U31" s="142">
        <v>18.133300000000002</v>
      </c>
      <c r="V31" s="142">
        <v>0.54399900000000001</v>
      </c>
      <c r="W31" s="142">
        <v>0</v>
      </c>
      <c r="X31" s="142">
        <v>2</v>
      </c>
      <c r="Y31" s="142"/>
    </row>
    <row r="32" spans="2:25">
      <c r="B32" s="7"/>
      <c r="C32" s="69"/>
      <c r="D32" s="69"/>
      <c r="E32" s="69"/>
      <c r="F32" s="69" t="s">
        <v>223</v>
      </c>
      <c r="G32" s="69"/>
      <c r="H32" s="69"/>
      <c r="I32" s="1077"/>
      <c r="J32" s="69"/>
      <c r="K32" s="69"/>
      <c r="L32" s="69"/>
      <c r="M32" s="69"/>
      <c r="N32" s="69"/>
      <c r="O32" s="69"/>
      <c r="P32">
        <v>0</v>
      </c>
      <c r="Q32">
        <v>5</v>
      </c>
      <c r="R32">
        <v>0.40500000000000003</v>
      </c>
      <c r="S32">
        <v>5</v>
      </c>
      <c r="T32" s="69"/>
      <c r="U32" s="69"/>
      <c r="V32" s="69"/>
      <c r="W32" s="69"/>
      <c r="X32" s="69"/>
      <c r="Y32" s="69"/>
    </row>
    <row r="33" spans="2:25">
      <c r="B33" s="7"/>
      <c r="C33" s="69"/>
      <c r="F33" s="69" t="s">
        <v>222</v>
      </c>
      <c r="H33" s="69"/>
      <c r="I33" s="1077"/>
      <c r="J33" s="69"/>
      <c r="K33" s="69"/>
      <c r="M33" s="69"/>
      <c r="N33" s="69"/>
      <c r="O33" s="69"/>
      <c r="P33">
        <v>0</v>
      </c>
      <c r="Q33">
        <v>5</v>
      </c>
      <c r="R33">
        <v>0.40500000000000003</v>
      </c>
      <c r="S33">
        <v>5</v>
      </c>
      <c r="T33" s="69"/>
      <c r="U33" s="69"/>
      <c r="V33" s="69"/>
      <c r="W33" s="69"/>
      <c r="X33" s="69"/>
      <c r="Y33" s="69"/>
    </row>
    <row r="34" spans="2:25">
      <c r="B34" s="7"/>
      <c r="C34" s="69"/>
      <c r="D34" s="69"/>
      <c r="E34" s="69"/>
      <c r="F34" s="69" t="s">
        <v>211</v>
      </c>
      <c r="H34" s="69"/>
      <c r="I34" s="1077"/>
      <c r="J34" s="69"/>
      <c r="K34" s="69"/>
      <c r="L34" s="69"/>
      <c r="M34" s="69"/>
      <c r="N34" s="69"/>
      <c r="O34" s="69"/>
      <c r="P34">
        <v>0.1</v>
      </c>
      <c r="Q34">
        <v>5</v>
      </c>
      <c r="R34">
        <v>0.88</v>
      </c>
      <c r="S34">
        <v>5</v>
      </c>
      <c r="T34" s="69"/>
      <c r="U34" s="69"/>
      <c r="V34" s="69"/>
      <c r="W34" s="69"/>
      <c r="X34" s="69"/>
    </row>
    <row r="35" spans="2:25">
      <c r="B35" s="7"/>
      <c r="C35" s="69"/>
      <c r="D35" s="69"/>
      <c r="E35" s="69"/>
      <c r="G35" s="69" t="s">
        <v>216</v>
      </c>
      <c r="H35" s="69"/>
      <c r="I35" s="1077"/>
      <c r="J35" s="69"/>
      <c r="K35" s="69"/>
      <c r="L35" s="69"/>
      <c r="M35" s="148">
        <v>0.33565217391304347</v>
      </c>
      <c r="N35" s="69"/>
      <c r="O35" s="69"/>
      <c r="T35" s="69"/>
      <c r="U35" s="69"/>
      <c r="V35" s="69"/>
      <c r="W35" s="69"/>
      <c r="X35" s="69"/>
    </row>
    <row r="36" spans="2:25" ht="15" thickBot="1">
      <c r="B36" s="7"/>
      <c r="C36" s="69"/>
      <c r="D36" s="69"/>
      <c r="E36" s="69" t="s">
        <v>153</v>
      </c>
      <c r="G36" s="69"/>
      <c r="H36" s="69"/>
      <c r="I36" s="1077"/>
      <c r="J36" s="69"/>
      <c r="K36" s="69"/>
      <c r="L36" s="141">
        <v>77.060931899641574</v>
      </c>
      <c r="M36" s="69"/>
      <c r="N36" s="69"/>
      <c r="O36" s="69"/>
      <c r="T36" s="69"/>
      <c r="U36" s="69"/>
      <c r="V36" s="69"/>
      <c r="W36" s="69"/>
      <c r="X36" s="69"/>
    </row>
    <row r="37" spans="2:25">
      <c r="B37" s="19" t="s">
        <v>303</v>
      </c>
      <c r="C37" s="104" t="s">
        <v>221</v>
      </c>
      <c r="D37" s="104" t="s">
        <v>71</v>
      </c>
      <c r="E37" s="104"/>
      <c r="F37" s="104"/>
      <c r="G37" s="104"/>
      <c r="H37" s="104">
        <v>2015</v>
      </c>
      <c r="I37" s="104">
        <v>2025</v>
      </c>
      <c r="J37" s="104" t="s">
        <v>70</v>
      </c>
      <c r="K37" s="104">
        <v>0.44</v>
      </c>
      <c r="L37" s="104"/>
      <c r="M37" s="104"/>
      <c r="N37" s="104">
        <v>0.9</v>
      </c>
      <c r="O37" s="152">
        <v>10</v>
      </c>
      <c r="P37" s="104"/>
      <c r="Q37" s="104"/>
      <c r="R37" s="104"/>
      <c r="S37" s="104"/>
      <c r="T37" s="104">
        <v>3.1536000000000002E-2</v>
      </c>
      <c r="U37" s="104">
        <v>41.056950000000001</v>
      </c>
      <c r="V37" s="104">
        <v>1.2317084999999999</v>
      </c>
      <c r="W37" s="104">
        <v>0</v>
      </c>
      <c r="X37" s="104">
        <v>2</v>
      </c>
      <c r="Y37" s="104" t="s">
        <v>220</v>
      </c>
    </row>
    <row r="38" spans="2:25">
      <c r="B38" s="7"/>
      <c r="C38" s="69"/>
      <c r="D38" s="69"/>
      <c r="E38" s="69"/>
      <c r="F38" s="69" t="s">
        <v>223</v>
      </c>
      <c r="G38" s="69"/>
      <c r="H38" s="69"/>
      <c r="I38" s="1077"/>
      <c r="J38" s="69"/>
      <c r="K38" s="69"/>
      <c r="L38" s="69"/>
      <c r="M38" s="69"/>
      <c r="N38" s="69"/>
      <c r="O38" s="69"/>
      <c r="P38" s="69">
        <v>0</v>
      </c>
      <c r="Q38" s="69">
        <v>5</v>
      </c>
      <c r="R38" s="69">
        <v>0.40500000000000003</v>
      </c>
      <c r="S38" s="69">
        <v>5</v>
      </c>
      <c r="T38" s="69"/>
      <c r="U38" s="69"/>
      <c r="V38" s="69"/>
      <c r="W38" s="69"/>
      <c r="X38" s="69"/>
      <c r="Y38" s="69"/>
    </row>
    <row r="39" spans="2:25">
      <c r="B39" s="7"/>
      <c r="C39" s="69"/>
      <c r="F39" s="69" t="s">
        <v>222</v>
      </c>
      <c r="H39" s="69"/>
      <c r="I39" s="1077"/>
      <c r="J39" s="69"/>
      <c r="K39" s="69"/>
      <c r="M39" s="69"/>
      <c r="N39" s="69"/>
      <c r="O39" s="69"/>
      <c r="P39">
        <v>0</v>
      </c>
      <c r="Q39">
        <v>5</v>
      </c>
      <c r="R39">
        <v>0.40500000000000003</v>
      </c>
      <c r="S39">
        <v>5</v>
      </c>
      <c r="T39" s="69"/>
      <c r="U39" s="69"/>
      <c r="V39" s="69"/>
      <c r="W39" s="69"/>
      <c r="X39" s="69"/>
      <c r="Y39" s="69"/>
    </row>
    <row r="40" spans="2:25">
      <c r="B40" s="7"/>
      <c r="C40" s="69"/>
      <c r="D40" s="69"/>
      <c r="E40" s="69"/>
      <c r="F40" s="69" t="s">
        <v>211</v>
      </c>
      <c r="G40" s="69"/>
      <c r="H40" s="69"/>
      <c r="I40" s="1077"/>
      <c r="J40" s="69"/>
      <c r="K40" s="69"/>
      <c r="L40" s="69"/>
      <c r="M40" s="69"/>
      <c r="N40" s="69"/>
      <c r="O40" s="69"/>
      <c r="P40">
        <v>0.1</v>
      </c>
      <c r="Q40">
        <v>5</v>
      </c>
      <c r="R40">
        <v>0.88</v>
      </c>
      <c r="S40">
        <v>5</v>
      </c>
      <c r="T40" s="69"/>
      <c r="U40" s="69"/>
      <c r="V40" s="69"/>
      <c r="W40" s="69"/>
      <c r="X40" s="69"/>
      <c r="Y40" s="69"/>
    </row>
    <row r="41" spans="2:25">
      <c r="B41" s="7"/>
      <c r="C41" s="69"/>
      <c r="D41" s="69"/>
      <c r="E41" s="69" t="s">
        <v>153</v>
      </c>
      <c r="F41" s="69"/>
      <c r="G41" s="69"/>
      <c r="H41" s="69"/>
      <c r="I41" s="1077"/>
      <c r="J41" s="69"/>
      <c r="K41" s="69"/>
      <c r="L41" s="141">
        <v>76.69082125603866</v>
      </c>
      <c r="M41" s="69"/>
      <c r="N41" s="69"/>
      <c r="O41" s="69"/>
      <c r="T41" s="69"/>
      <c r="U41" s="69"/>
      <c r="V41" s="69"/>
      <c r="W41" s="69"/>
      <c r="X41" s="69"/>
      <c r="Y41" s="69"/>
    </row>
    <row r="42" spans="2:25">
      <c r="B42" s="7"/>
      <c r="C42" s="142" t="s">
        <v>221</v>
      </c>
      <c r="D42" s="142" t="s">
        <v>71</v>
      </c>
      <c r="E42" s="142"/>
      <c r="F42" s="142"/>
      <c r="G42" s="142"/>
      <c r="H42" s="142">
        <v>2020</v>
      </c>
      <c r="I42" s="142"/>
      <c r="J42" s="142" t="s">
        <v>70</v>
      </c>
      <c r="K42" s="142">
        <v>0.44</v>
      </c>
      <c r="L42" s="142"/>
      <c r="M42" s="142"/>
      <c r="N42" s="142">
        <v>0.9</v>
      </c>
      <c r="O42" s="143">
        <v>10</v>
      </c>
      <c r="P42" s="142"/>
      <c r="Q42" s="143"/>
      <c r="R42" s="142"/>
      <c r="S42" s="142"/>
      <c r="T42" s="142">
        <v>3.1536000000000002E-2</v>
      </c>
      <c r="U42" s="142">
        <v>26.007950000000001</v>
      </c>
      <c r="V42" s="142">
        <v>0.78023850000000006</v>
      </c>
      <c r="W42" s="142">
        <v>0</v>
      </c>
      <c r="X42" s="142">
        <v>2</v>
      </c>
      <c r="Y42" s="142"/>
    </row>
    <row r="43" spans="2:25">
      <c r="B43" s="7"/>
      <c r="C43" s="69"/>
      <c r="D43" s="69"/>
      <c r="E43" s="69"/>
      <c r="F43" s="69" t="s">
        <v>223</v>
      </c>
      <c r="G43" s="69"/>
      <c r="H43" s="69"/>
      <c r="I43" s="1077"/>
      <c r="J43" s="69"/>
      <c r="K43" s="69"/>
      <c r="L43" s="69"/>
      <c r="M43" s="69"/>
      <c r="N43" s="69"/>
      <c r="O43" s="69"/>
      <c r="P43" s="69">
        <v>0</v>
      </c>
      <c r="Q43" s="69">
        <v>5</v>
      </c>
      <c r="R43" s="69">
        <v>0.40500000000000003</v>
      </c>
      <c r="S43" s="69">
        <v>5</v>
      </c>
      <c r="T43" s="69"/>
      <c r="U43" s="69"/>
      <c r="V43" s="69"/>
      <c r="W43" s="69"/>
      <c r="X43" s="69"/>
      <c r="Y43" s="69"/>
    </row>
    <row r="44" spans="2:25">
      <c r="B44" s="7"/>
      <c r="C44" s="69"/>
      <c r="F44" s="69" t="s">
        <v>222</v>
      </c>
      <c r="H44" s="69"/>
      <c r="I44" s="1077"/>
      <c r="J44" s="69"/>
      <c r="K44" s="69"/>
      <c r="M44" s="69"/>
      <c r="N44" s="69"/>
      <c r="O44" s="69"/>
      <c r="P44">
        <v>0</v>
      </c>
      <c r="Q44">
        <v>5</v>
      </c>
      <c r="R44">
        <v>0.40500000000000003</v>
      </c>
      <c r="S44">
        <v>5</v>
      </c>
      <c r="T44" s="69"/>
      <c r="U44" s="69"/>
      <c r="V44" s="69"/>
      <c r="W44" s="69"/>
      <c r="X44" s="69"/>
      <c r="Y44" s="69"/>
    </row>
    <row r="45" spans="2:25">
      <c r="B45" s="7"/>
      <c r="C45" s="69"/>
      <c r="D45" s="69"/>
      <c r="E45" s="69"/>
      <c r="F45" s="69" t="s">
        <v>211</v>
      </c>
      <c r="G45" s="69"/>
      <c r="H45" s="69"/>
      <c r="I45" s="1077"/>
      <c r="J45" s="69"/>
      <c r="K45" s="69"/>
      <c r="L45" s="69"/>
      <c r="M45" s="69"/>
      <c r="N45" s="69"/>
      <c r="O45" s="69"/>
      <c r="P45">
        <v>0.1</v>
      </c>
      <c r="Q45">
        <v>5</v>
      </c>
      <c r="R45">
        <v>0.88</v>
      </c>
      <c r="S45">
        <v>5</v>
      </c>
      <c r="T45" s="69"/>
      <c r="U45" s="69"/>
      <c r="V45" s="69"/>
      <c r="W45" s="69"/>
      <c r="X45" s="69"/>
      <c r="Y45" s="69"/>
    </row>
    <row r="46" spans="2:25">
      <c r="B46" s="7"/>
      <c r="C46" s="69"/>
      <c r="D46" s="69"/>
      <c r="E46" s="69" t="s">
        <v>153</v>
      </c>
      <c r="F46" s="69"/>
      <c r="G46" s="69"/>
      <c r="H46" s="69"/>
      <c r="I46" s="1077"/>
      <c r="J46" s="69"/>
      <c r="K46" s="69"/>
      <c r="L46" s="141">
        <v>76.435495898583142</v>
      </c>
      <c r="M46" s="69"/>
      <c r="N46" s="69"/>
      <c r="O46" s="69"/>
      <c r="T46" s="69"/>
      <c r="U46" s="69"/>
      <c r="V46" s="69"/>
      <c r="W46" s="69"/>
      <c r="X46" s="69"/>
      <c r="Y46" s="69"/>
    </row>
    <row r="47" spans="2:25">
      <c r="B47" s="7"/>
      <c r="C47" s="142" t="s">
        <v>221</v>
      </c>
      <c r="D47" s="142" t="s">
        <v>71</v>
      </c>
      <c r="E47" s="142"/>
      <c r="F47" s="142"/>
      <c r="G47" s="142"/>
      <c r="H47" s="142">
        <v>2030</v>
      </c>
      <c r="I47" s="142"/>
      <c r="J47" s="142" t="s">
        <v>70</v>
      </c>
      <c r="K47" s="142">
        <v>0.45</v>
      </c>
      <c r="L47" s="142"/>
      <c r="M47" s="142"/>
      <c r="N47" s="142">
        <v>0.95</v>
      </c>
      <c r="O47" s="143">
        <v>15</v>
      </c>
      <c r="P47" s="142"/>
      <c r="Q47" s="143"/>
      <c r="R47" s="142"/>
      <c r="S47" s="142"/>
      <c r="T47" s="142">
        <v>3.1536000000000002E-2</v>
      </c>
      <c r="U47" s="142">
        <v>18.803799999999999</v>
      </c>
      <c r="V47" s="142">
        <v>0.56411399999999989</v>
      </c>
      <c r="W47" s="142">
        <v>0</v>
      </c>
      <c r="X47" s="142">
        <v>2</v>
      </c>
      <c r="Y47" s="142"/>
    </row>
    <row r="48" spans="2:25">
      <c r="B48" s="7"/>
      <c r="C48" s="69"/>
      <c r="D48" s="69"/>
      <c r="E48" s="69"/>
      <c r="F48" s="69" t="s">
        <v>223</v>
      </c>
      <c r="G48" s="69"/>
      <c r="H48" s="69"/>
      <c r="I48" s="1077"/>
      <c r="J48" s="69"/>
      <c r="K48" s="69"/>
      <c r="L48" s="69"/>
      <c r="M48" s="69"/>
      <c r="N48" s="69"/>
      <c r="O48" s="69"/>
      <c r="P48" s="69">
        <v>0</v>
      </c>
      <c r="Q48" s="69">
        <v>5</v>
      </c>
      <c r="R48" s="69">
        <v>0.40500000000000003</v>
      </c>
      <c r="S48" s="69">
        <v>5</v>
      </c>
      <c r="T48" s="69"/>
      <c r="U48" s="69"/>
      <c r="V48" s="69"/>
      <c r="W48" s="69"/>
      <c r="X48" s="69"/>
      <c r="Y48" s="69"/>
    </row>
    <row r="49" spans="2:32">
      <c r="B49" s="7"/>
      <c r="C49" s="69"/>
      <c r="F49" s="69" t="s">
        <v>222</v>
      </c>
      <c r="H49" s="69"/>
      <c r="I49" s="1077"/>
      <c r="J49" s="69"/>
      <c r="K49" s="69"/>
      <c r="M49" s="69"/>
      <c r="N49" s="69"/>
      <c r="O49" s="69"/>
      <c r="P49">
        <v>0</v>
      </c>
      <c r="Q49">
        <v>5</v>
      </c>
      <c r="R49">
        <v>0.40500000000000003</v>
      </c>
      <c r="S49">
        <v>5</v>
      </c>
      <c r="T49" s="69"/>
      <c r="U49" s="69"/>
      <c r="V49" s="69"/>
      <c r="W49" s="69"/>
      <c r="X49" s="69"/>
      <c r="Y49" s="69"/>
    </row>
    <row r="50" spans="2:32">
      <c r="B50" s="7"/>
      <c r="C50" s="69"/>
      <c r="D50" s="69"/>
      <c r="E50" s="69"/>
      <c r="F50" s="69" t="s">
        <v>211</v>
      </c>
      <c r="G50" s="69"/>
      <c r="H50" s="69"/>
      <c r="I50" s="1077"/>
      <c r="J50" s="69"/>
      <c r="K50" s="69"/>
      <c r="L50" s="69"/>
      <c r="M50" s="69"/>
      <c r="N50" s="69"/>
      <c r="O50" s="69"/>
      <c r="P50">
        <v>0.1</v>
      </c>
      <c r="Q50">
        <v>5</v>
      </c>
      <c r="R50">
        <v>0.88</v>
      </c>
      <c r="S50">
        <v>5</v>
      </c>
      <c r="T50" s="69"/>
      <c r="U50" s="69"/>
      <c r="V50" s="69"/>
      <c r="W50" s="69"/>
      <c r="X50" s="69"/>
      <c r="Y50" s="69"/>
    </row>
    <row r="51" spans="2:32">
      <c r="B51" s="7"/>
      <c r="C51" s="69"/>
      <c r="D51" s="69"/>
      <c r="E51" s="69" t="s">
        <v>153</v>
      </c>
      <c r="F51" s="69"/>
      <c r="G51" s="69"/>
      <c r="H51" s="69"/>
      <c r="I51" s="1077"/>
      <c r="J51" s="69"/>
      <c r="K51" s="69"/>
      <c r="L51" s="141">
        <v>76.628352490421449</v>
      </c>
      <c r="M51" s="69"/>
      <c r="N51" s="69"/>
      <c r="O51" s="69"/>
      <c r="T51" s="69"/>
      <c r="U51" s="69"/>
      <c r="V51" s="69"/>
      <c r="W51" s="69"/>
      <c r="X51" s="69"/>
      <c r="Y51" s="69"/>
    </row>
    <row r="52" spans="2:32">
      <c r="B52" s="7"/>
      <c r="C52" s="142" t="s">
        <v>221</v>
      </c>
      <c r="D52" s="142" t="s">
        <v>71</v>
      </c>
      <c r="E52" s="142"/>
      <c r="F52" s="142"/>
      <c r="G52" s="142"/>
      <c r="H52" s="142">
        <v>2040</v>
      </c>
      <c r="I52" s="142"/>
      <c r="J52" s="142" t="s">
        <v>70</v>
      </c>
      <c r="K52" s="142">
        <v>0.45</v>
      </c>
      <c r="L52" s="142"/>
      <c r="M52" s="142"/>
      <c r="N52" s="142">
        <v>0.95</v>
      </c>
      <c r="O52" s="143">
        <v>15</v>
      </c>
      <c r="P52" s="142"/>
      <c r="Q52" s="143"/>
      <c r="R52" s="142"/>
      <c r="S52" s="142"/>
      <c r="T52" s="142">
        <v>3.1536000000000002E-2</v>
      </c>
      <c r="U52" s="142">
        <v>17.187149999999999</v>
      </c>
      <c r="V52" s="142">
        <v>0.51561449999999998</v>
      </c>
      <c r="W52" s="142">
        <v>0</v>
      </c>
      <c r="X52" s="142">
        <v>2</v>
      </c>
      <c r="Y52" s="142"/>
    </row>
    <row r="53" spans="2:32">
      <c r="B53" s="7"/>
      <c r="C53" s="69"/>
      <c r="D53" s="69"/>
      <c r="E53" s="69"/>
      <c r="F53" s="69" t="s">
        <v>223</v>
      </c>
      <c r="G53" s="69"/>
      <c r="H53" s="69"/>
      <c r="I53" s="1077"/>
      <c r="J53" s="69"/>
      <c r="K53" s="69"/>
      <c r="L53" s="69"/>
      <c r="M53" s="69"/>
      <c r="N53" s="69"/>
      <c r="O53" s="69"/>
      <c r="P53" s="69">
        <v>0</v>
      </c>
      <c r="Q53" s="69">
        <v>5</v>
      </c>
      <c r="R53" s="69">
        <v>0.40500000000000003</v>
      </c>
      <c r="S53" s="69">
        <v>5</v>
      </c>
      <c r="T53" s="69"/>
      <c r="U53" s="69"/>
      <c r="V53" s="69"/>
      <c r="W53" s="69"/>
      <c r="X53" s="69"/>
      <c r="Y53" s="69"/>
    </row>
    <row r="54" spans="2:32">
      <c r="B54" s="7"/>
      <c r="C54" s="69"/>
      <c r="F54" s="69" t="s">
        <v>222</v>
      </c>
      <c r="H54" s="69"/>
      <c r="I54" s="1077"/>
      <c r="J54" s="69"/>
      <c r="K54" s="69"/>
      <c r="M54" s="69"/>
      <c r="N54" s="69"/>
      <c r="O54" s="69"/>
      <c r="P54">
        <v>0</v>
      </c>
      <c r="Q54">
        <v>5</v>
      </c>
      <c r="R54">
        <v>0.40500000000000003</v>
      </c>
      <c r="S54">
        <v>5</v>
      </c>
      <c r="T54" s="69"/>
      <c r="U54" s="69"/>
      <c r="V54" s="69"/>
      <c r="W54" s="69"/>
      <c r="X54" s="69"/>
      <c r="Y54" s="69"/>
    </row>
    <row r="55" spans="2:32">
      <c r="B55" s="7"/>
      <c r="C55" s="69"/>
      <c r="D55" s="69"/>
      <c r="E55" s="69"/>
      <c r="F55" s="69" t="s">
        <v>211</v>
      </c>
      <c r="G55" s="69"/>
      <c r="H55" s="69"/>
      <c r="I55" s="1077"/>
      <c r="J55" s="69"/>
      <c r="K55" s="69"/>
      <c r="L55" s="69"/>
      <c r="M55" s="69"/>
      <c r="N55" s="69"/>
      <c r="O55" s="69"/>
      <c r="P55">
        <v>0.1</v>
      </c>
      <c r="Q55">
        <v>5</v>
      </c>
      <c r="R55">
        <v>0.88</v>
      </c>
      <c r="S55">
        <v>5</v>
      </c>
      <c r="T55" s="69"/>
      <c r="U55" s="69"/>
      <c r="V55" s="69"/>
      <c r="W55" s="69"/>
      <c r="X55" s="69"/>
      <c r="Y55" s="69"/>
    </row>
    <row r="56" spans="2:32">
      <c r="B56" s="7"/>
      <c r="C56" s="69"/>
      <c r="D56" s="69"/>
      <c r="E56" s="69" t="s">
        <v>153</v>
      </c>
      <c r="F56" s="69"/>
      <c r="G56" s="69"/>
      <c r="H56" s="69"/>
      <c r="I56" s="1077"/>
      <c r="J56" s="69"/>
      <c r="K56" s="69"/>
      <c r="L56" s="141">
        <v>76.687116564417181</v>
      </c>
      <c r="M56" s="69"/>
      <c r="N56" s="69"/>
      <c r="O56" s="69"/>
      <c r="T56" s="69"/>
      <c r="U56" s="69"/>
      <c r="V56" s="69"/>
      <c r="W56" s="69"/>
      <c r="X56" s="69"/>
      <c r="Y56" s="69"/>
    </row>
    <row r="57" spans="2:32">
      <c r="B57" s="7"/>
      <c r="C57" s="142" t="s">
        <v>221</v>
      </c>
      <c r="D57" s="142" t="s">
        <v>71</v>
      </c>
      <c r="E57" s="142"/>
      <c r="F57" s="142"/>
      <c r="G57" s="142"/>
      <c r="H57" s="142">
        <v>2050</v>
      </c>
      <c r="I57" s="142"/>
      <c r="J57" s="142" t="s">
        <v>70</v>
      </c>
      <c r="K57" s="142">
        <v>0.45</v>
      </c>
      <c r="L57" s="142"/>
      <c r="M57" s="142"/>
      <c r="N57" s="142">
        <v>0.95</v>
      </c>
      <c r="O57" s="143">
        <v>15</v>
      </c>
      <c r="P57" s="142"/>
      <c r="Q57" s="143"/>
      <c r="R57" s="142"/>
      <c r="S57" s="142"/>
      <c r="T57" s="142">
        <v>3.1536000000000002E-2</v>
      </c>
      <c r="U57" s="142">
        <v>16.941300000000002</v>
      </c>
      <c r="V57" s="142">
        <v>0.508239</v>
      </c>
      <c r="W57" s="142">
        <v>0</v>
      </c>
      <c r="X57" s="142">
        <v>2</v>
      </c>
      <c r="Y57" s="142"/>
    </row>
    <row r="58" spans="2:32">
      <c r="B58" s="7"/>
      <c r="C58" s="69"/>
      <c r="D58" s="69"/>
      <c r="E58" s="69"/>
      <c r="F58" s="69" t="s">
        <v>223</v>
      </c>
      <c r="G58" s="69"/>
      <c r="H58" s="69"/>
      <c r="I58" s="1077"/>
      <c r="J58" s="69"/>
      <c r="K58" s="69"/>
      <c r="L58" s="69"/>
      <c r="M58" s="69"/>
      <c r="N58" s="69"/>
      <c r="O58" s="69"/>
      <c r="P58" s="69">
        <v>0</v>
      </c>
      <c r="Q58" s="69">
        <v>5</v>
      </c>
      <c r="R58" s="69">
        <v>0.40500000000000003</v>
      </c>
      <c r="S58" s="69">
        <v>5</v>
      </c>
      <c r="T58" s="69"/>
      <c r="U58" s="69"/>
      <c r="V58" s="69"/>
      <c r="W58" s="69"/>
      <c r="X58" s="69"/>
      <c r="Y58" s="69"/>
    </row>
    <row r="59" spans="2:32">
      <c r="B59" s="7"/>
      <c r="C59" s="69"/>
      <c r="F59" s="69" t="s">
        <v>222</v>
      </c>
      <c r="H59" s="69"/>
      <c r="I59" s="1077"/>
      <c r="J59" s="69"/>
      <c r="K59" s="69"/>
      <c r="M59" s="69"/>
      <c r="N59" s="69"/>
      <c r="O59" s="69"/>
      <c r="P59">
        <v>0</v>
      </c>
      <c r="Q59">
        <v>5</v>
      </c>
      <c r="R59">
        <v>0.40500000000000003</v>
      </c>
      <c r="S59">
        <v>5</v>
      </c>
      <c r="T59" s="69"/>
      <c r="U59" s="69"/>
      <c r="V59" s="69"/>
      <c r="W59" s="69"/>
      <c r="X59" s="69"/>
      <c r="Y59" s="69"/>
    </row>
    <row r="60" spans="2:32">
      <c r="B60" s="7"/>
      <c r="C60" s="69"/>
      <c r="D60" s="69"/>
      <c r="E60" s="69"/>
      <c r="F60" s="69" t="s">
        <v>211</v>
      </c>
      <c r="G60" s="69"/>
      <c r="H60" s="69"/>
      <c r="I60" s="1077"/>
      <c r="J60" s="69"/>
      <c r="K60" s="69"/>
      <c r="L60" s="69"/>
      <c r="M60" s="69"/>
      <c r="N60" s="69"/>
      <c r="O60" s="69"/>
      <c r="P60">
        <v>0.1</v>
      </c>
      <c r="Q60">
        <v>5</v>
      </c>
      <c r="R60">
        <v>0.88</v>
      </c>
      <c r="S60">
        <v>5</v>
      </c>
      <c r="T60" s="69"/>
      <c r="U60" s="69"/>
      <c r="V60" s="69"/>
      <c r="W60" s="69"/>
      <c r="X60" s="69"/>
      <c r="Y60" s="69"/>
    </row>
    <row r="61" spans="2:32" ht="15" thickBot="1">
      <c r="B61" s="28"/>
      <c r="C61" s="107"/>
      <c r="D61" s="107"/>
      <c r="E61" s="107" t="s">
        <v>153</v>
      </c>
      <c r="F61" s="107"/>
      <c r="G61" s="107"/>
      <c r="H61" s="107"/>
      <c r="I61" s="107"/>
      <c r="J61" s="107"/>
      <c r="K61" s="107"/>
      <c r="L61" s="151">
        <v>76.41136281912982</v>
      </c>
      <c r="M61" s="107"/>
      <c r="N61" s="107"/>
      <c r="O61" s="107"/>
      <c r="P61" s="55"/>
      <c r="Q61" s="55"/>
      <c r="R61" s="55"/>
      <c r="S61" s="55"/>
      <c r="T61" s="107"/>
      <c r="U61" s="107"/>
      <c r="V61" s="107"/>
      <c r="W61" s="107"/>
      <c r="X61" s="107"/>
      <c r="Y61" s="107"/>
    </row>
    <row r="62" spans="2:32">
      <c r="B62" s="19" t="s">
        <v>304</v>
      </c>
      <c r="C62" s="69" t="s">
        <v>219</v>
      </c>
      <c r="D62" s="69" t="s">
        <v>71</v>
      </c>
      <c r="E62" s="69"/>
      <c r="F62" s="69"/>
      <c r="G62" s="69"/>
      <c r="H62" s="69">
        <v>2015</v>
      </c>
      <c r="I62" s="104">
        <v>2025</v>
      </c>
      <c r="J62" s="69" t="s">
        <v>70</v>
      </c>
      <c r="K62" s="149">
        <v>0.44000000000000006</v>
      </c>
      <c r="L62" s="69"/>
      <c r="M62" s="69"/>
      <c r="N62" s="69">
        <v>0.9</v>
      </c>
      <c r="O62" s="69">
        <v>20</v>
      </c>
      <c r="Q62" s="69"/>
      <c r="S62" s="69"/>
      <c r="T62" s="69">
        <v>3.1536000000000002E-2</v>
      </c>
      <c r="U62" s="69">
        <v>33.524999999999999</v>
      </c>
      <c r="V62" s="69">
        <v>1.0057499999999999</v>
      </c>
      <c r="W62" s="69">
        <v>0</v>
      </c>
      <c r="X62" s="69">
        <v>2</v>
      </c>
      <c r="Y62" s="69" t="s">
        <v>214</v>
      </c>
    </row>
    <row r="63" spans="2:32">
      <c r="B63" s="7"/>
      <c r="C63" s="69"/>
      <c r="D63" s="69"/>
      <c r="E63" s="69"/>
      <c r="F63" s="69" t="s">
        <v>223</v>
      </c>
      <c r="G63" s="69"/>
      <c r="H63" s="69"/>
      <c r="I63" s="1077"/>
      <c r="J63" s="69"/>
      <c r="K63" s="69"/>
      <c r="L63" s="69"/>
      <c r="M63" s="69"/>
      <c r="N63" s="69"/>
      <c r="O63" s="69"/>
      <c r="P63">
        <v>0</v>
      </c>
      <c r="Q63">
        <v>5</v>
      </c>
      <c r="R63">
        <v>0.40500000000000003</v>
      </c>
      <c r="S63">
        <v>5</v>
      </c>
      <c r="T63" s="69"/>
      <c r="U63" s="69"/>
      <c r="V63" s="69"/>
      <c r="W63" s="69"/>
      <c r="X63" s="69"/>
      <c r="Y63" s="146" t="s">
        <v>218</v>
      </c>
      <c r="Z63" s="124"/>
      <c r="AA63" s="124"/>
      <c r="AB63" s="124"/>
      <c r="AC63" s="124"/>
      <c r="AF63" s="145">
        <v>0.1</v>
      </c>
    </row>
    <row r="64" spans="2:32">
      <c r="B64" s="7"/>
      <c r="C64" s="69"/>
      <c r="F64" s="69" t="s">
        <v>222</v>
      </c>
      <c r="H64" s="69"/>
      <c r="I64" s="1077"/>
      <c r="J64" s="69"/>
      <c r="K64" s="69"/>
      <c r="M64" s="69"/>
      <c r="N64" s="69"/>
      <c r="O64" s="69"/>
      <c r="P64">
        <v>0</v>
      </c>
      <c r="Q64">
        <v>5</v>
      </c>
      <c r="R64">
        <v>0.40500000000000003</v>
      </c>
      <c r="S64">
        <v>5</v>
      </c>
      <c r="T64" s="69"/>
      <c r="U64" s="69"/>
      <c r="V64" s="69"/>
      <c r="W64" s="69"/>
      <c r="X64" s="69"/>
      <c r="Y64" s="69"/>
    </row>
    <row r="65" spans="2:25">
      <c r="B65" s="7"/>
      <c r="C65" s="69"/>
      <c r="D65" s="69"/>
      <c r="E65" s="69"/>
      <c r="F65" s="69" t="s">
        <v>211</v>
      </c>
      <c r="H65" s="69"/>
      <c r="I65" s="1077"/>
      <c r="J65" s="69"/>
      <c r="K65" s="69"/>
      <c r="L65" s="69"/>
      <c r="M65" s="69"/>
      <c r="N65" s="69"/>
      <c r="O65" s="69"/>
      <c r="P65">
        <v>0.1</v>
      </c>
      <c r="Q65">
        <v>5</v>
      </c>
      <c r="R65">
        <v>0.88</v>
      </c>
      <c r="S65">
        <v>5</v>
      </c>
      <c r="T65" s="69"/>
      <c r="U65" s="69"/>
      <c r="V65" s="69"/>
      <c r="W65" s="69"/>
      <c r="X65" s="69"/>
    </row>
    <row r="66" spans="2:25">
      <c r="B66" s="7"/>
      <c r="C66" s="69"/>
      <c r="D66" s="69"/>
      <c r="E66" s="69"/>
      <c r="G66" s="69" t="s">
        <v>216</v>
      </c>
      <c r="H66" s="69"/>
      <c r="I66" s="1077"/>
      <c r="J66" s="69"/>
      <c r="K66" s="69"/>
      <c r="L66" s="69"/>
      <c r="M66" s="148">
        <v>0.33565217391304347</v>
      </c>
      <c r="N66" s="69"/>
      <c r="O66" s="69"/>
      <c r="T66" s="69"/>
      <c r="U66" s="69"/>
      <c r="V66" s="69"/>
      <c r="W66" s="69"/>
      <c r="X66" s="69"/>
      <c r="Y66" s="105" t="s">
        <v>217</v>
      </c>
    </row>
    <row r="67" spans="2:25">
      <c r="B67" s="7"/>
      <c r="C67" s="69"/>
      <c r="D67" s="69"/>
      <c r="E67" s="69" t="s">
        <v>161</v>
      </c>
      <c r="G67" s="69"/>
      <c r="H67" s="69"/>
      <c r="I67" s="1077"/>
      <c r="J67" s="69"/>
      <c r="K67" s="70"/>
      <c r="L67" s="150">
        <v>76.793856491480682</v>
      </c>
      <c r="M67" s="69"/>
      <c r="N67" s="69"/>
      <c r="O67" s="69"/>
      <c r="T67" s="69"/>
      <c r="U67" s="69"/>
      <c r="V67" s="69"/>
      <c r="W67" s="69"/>
      <c r="X67" s="69"/>
    </row>
    <row r="68" spans="2:25">
      <c r="B68" s="7"/>
      <c r="C68" s="142" t="s">
        <v>219</v>
      </c>
      <c r="D68" s="142" t="s">
        <v>71</v>
      </c>
      <c r="E68" s="142"/>
      <c r="F68" s="142"/>
      <c r="G68" s="142"/>
      <c r="H68" s="142">
        <v>2020</v>
      </c>
      <c r="I68" s="142"/>
      <c r="J68" s="142" t="s">
        <v>70</v>
      </c>
      <c r="K68" s="149">
        <v>0.47</v>
      </c>
      <c r="L68" s="141"/>
      <c r="M68" s="142"/>
      <c r="N68" s="142">
        <v>0.9</v>
      </c>
      <c r="O68" s="142">
        <v>25</v>
      </c>
      <c r="P68" s="143"/>
      <c r="Q68" s="142"/>
      <c r="R68" s="143"/>
      <c r="S68" s="142"/>
      <c r="T68" s="142">
        <v>3.1536000000000002E-2</v>
      </c>
      <c r="U68" s="142">
        <v>26.074999999999999</v>
      </c>
      <c r="V68" s="142">
        <v>0.78225</v>
      </c>
      <c r="W68" s="142">
        <v>0</v>
      </c>
      <c r="X68" s="142">
        <v>2</v>
      </c>
      <c r="Y68" s="142"/>
    </row>
    <row r="69" spans="2:25">
      <c r="B69" s="7"/>
      <c r="C69" s="69"/>
      <c r="D69" s="69"/>
      <c r="E69" s="69"/>
      <c r="F69" s="69" t="s">
        <v>223</v>
      </c>
      <c r="G69" s="69"/>
      <c r="H69" s="69"/>
      <c r="I69" s="1077"/>
      <c r="J69" s="69"/>
      <c r="K69" s="69"/>
      <c r="L69" s="141"/>
      <c r="M69" s="69"/>
      <c r="N69" s="69"/>
      <c r="O69" s="69"/>
      <c r="P69">
        <v>0</v>
      </c>
      <c r="Q69">
        <v>5</v>
      </c>
      <c r="R69">
        <v>0.40500000000000003</v>
      </c>
      <c r="S69">
        <v>5</v>
      </c>
      <c r="T69" s="69"/>
      <c r="U69" s="69"/>
      <c r="V69" s="69"/>
      <c r="W69" s="69"/>
      <c r="X69" s="69"/>
      <c r="Y69" s="69"/>
    </row>
    <row r="70" spans="2:25">
      <c r="B70" s="7"/>
      <c r="C70" s="69"/>
      <c r="F70" s="69" t="s">
        <v>222</v>
      </c>
      <c r="H70" s="69"/>
      <c r="I70" s="1077"/>
      <c r="J70" s="69"/>
      <c r="K70" s="69"/>
      <c r="L70" s="141"/>
      <c r="M70" s="69"/>
      <c r="N70" s="69"/>
      <c r="O70" s="69"/>
      <c r="P70">
        <v>0</v>
      </c>
      <c r="Q70">
        <v>5</v>
      </c>
      <c r="R70">
        <v>0.40500000000000003</v>
      </c>
      <c r="S70">
        <v>5</v>
      </c>
      <c r="T70" s="69"/>
      <c r="U70" s="69"/>
      <c r="V70" s="69"/>
      <c r="W70" s="69"/>
      <c r="X70" s="69"/>
      <c r="Y70" s="69"/>
    </row>
    <row r="71" spans="2:25">
      <c r="B71" s="7"/>
      <c r="C71" s="69"/>
      <c r="D71" s="69"/>
      <c r="E71" s="69"/>
      <c r="F71" s="69" t="s">
        <v>211</v>
      </c>
      <c r="H71" s="69"/>
      <c r="I71" s="1077"/>
      <c r="J71" s="69"/>
      <c r="K71" s="69"/>
      <c r="L71" s="141"/>
      <c r="M71" s="69"/>
      <c r="N71" s="69"/>
      <c r="O71" s="69"/>
      <c r="P71">
        <v>0.1</v>
      </c>
      <c r="Q71">
        <v>5</v>
      </c>
      <c r="R71">
        <v>0.88</v>
      </c>
      <c r="S71">
        <v>5</v>
      </c>
      <c r="T71" s="69"/>
      <c r="U71" s="69"/>
      <c r="V71" s="69"/>
      <c r="W71" s="69"/>
      <c r="X71" s="69"/>
    </row>
    <row r="72" spans="2:25">
      <c r="B72" s="7"/>
      <c r="C72" s="69"/>
      <c r="D72" s="69"/>
      <c r="E72" s="69"/>
      <c r="G72" s="69" t="s">
        <v>216</v>
      </c>
      <c r="H72" s="69"/>
      <c r="I72" s="1077"/>
      <c r="J72" s="69"/>
      <c r="K72" s="69"/>
      <c r="L72" s="141"/>
      <c r="M72" s="148">
        <v>0.33565217391304347</v>
      </c>
      <c r="N72" s="69"/>
      <c r="O72" s="69"/>
      <c r="T72" s="69"/>
      <c r="U72" s="69"/>
      <c r="V72" s="69"/>
      <c r="W72" s="69"/>
      <c r="X72" s="69"/>
    </row>
    <row r="73" spans="2:25">
      <c r="B73" s="7"/>
      <c r="C73" s="69"/>
      <c r="D73" s="69"/>
      <c r="E73" s="69" t="s">
        <v>161</v>
      </c>
      <c r="G73" s="69"/>
      <c r="H73" s="69"/>
      <c r="I73" s="1077"/>
      <c r="J73" s="69"/>
      <c r="K73" s="70"/>
      <c r="L73" s="150">
        <v>76.543209876543216</v>
      </c>
      <c r="M73" s="69"/>
      <c r="N73" s="69"/>
      <c r="O73" s="69"/>
      <c r="T73" s="69"/>
      <c r="U73" s="69"/>
      <c r="V73" s="69"/>
      <c r="W73" s="69"/>
      <c r="X73" s="69"/>
    </row>
    <row r="74" spans="2:25">
      <c r="B74" s="7"/>
      <c r="C74" s="142" t="s">
        <v>219</v>
      </c>
      <c r="D74" s="142" t="s">
        <v>71</v>
      </c>
      <c r="E74" s="142"/>
      <c r="F74" s="142"/>
      <c r="G74" s="142"/>
      <c r="H74" s="142">
        <v>2030</v>
      </c>
      <c r="I74" s="142"/>
      <c r="J74" s="142" t="s">
        <v>70</v>
      </c>
      <c r="K74" s="149">
        <v>0.48</v>
      </c>
      <c r="L74" s="141"/>
      <c r="M74" s="142"/>
      <c r="N74" s="142">
        <v>0.95</v>
      </c>
      <c r="O74" s="143">
        <v>25</v>
      </c>
      <c r="P74" s="142"/>
      <c r="Q74" s="143"/>
      <c r="R74" s="142"/>
      <c r="S74" s="142"/>
      <c r="T74" s="142">
        <v>3.1536000000000002E-2</v>
      </c>
      <c r="U74" s="142">
        <v>12.888500000000001</v>
      </c>
      <c r="V74" s="142">
        <v>0.38665500000000003</v>
      </c>
      <c r="W74" s="142">
        <v>0</v>
      </c>
      <c r="X74" s="142">
        <v>2</v>
      </c>
      <c r="Y74" s="142"/>
    </row>
    <row r="75" spans="2:25">
      <c r="B75" s="7"/>
      <c r="C75" s="69"/>
      <c r="D75" s="69"/>
      <c r="E75" s="69"/>
      <c r="F75" s="69" t="s">
        <v>223</v>
      </c>
      <c r="G75" s="69"/>
      <c r="H75" s="69"/>
      <c r="I75" s="1077"/>
      <c r="J75" s="69"/>
      <c r="K75" s="69"/>
      <c r="L75" s="141"/>
      <c r="M75" s="69"/>
      <c r="N75" s="69"/>
      <c r="O75" s="69"/>
      <c r="P75">
        <v>0</v>
      </c>
      <c r="Q75">
        <v>5</v>
      </c>
      <c r="R75">
        <v>0.40500000000000003</v>
      </c>
      <c r="S75">
        <v>5</v>
      </c>
      <c r="T75" s="69"/>
      <c r="U75" s="69"/>
      <c r="V75" s="69"/>
      <c r="W75" s="69"/>
      <c r="X75" s="69"/>
      <c r="Y75" s="69"/>
    </row>
    <row r="76" spans="2:25">
      <c r="B76" s="7"/>
      <c r="C76" s="69"/>
      <c r="F76" s="69" t="s">
        <v>222</v>
      </c>
      <c r="H76" s="69"/>
      <c r="I76" s="1077"/>
      <c r="J76" s="69"/>
      <c r="K76" s="69"/>
      <c r="L76" s="141"/>
      <c r="M76" s="69"/>
      <c r="N76" s="69"/>
      <c r="O76" s="69"/>
      <c r="P76">
        <v>0</v>
      </c>
      <c r="Q76">
        <v>5</v>
      </c>
      <c r="R76">
        <v>0.40500000000000003</v>
      </c>
      <c r="S76">
        <v>5</v>
      </c>
      <c r="T76" s="69"/>
      <c r="U76" s="69"/>
      <c r="V76" s="69"/>
      <c r="W76" s="69"/>
      <c r="X76" s="69"/>
      <c r="Y76" s="69"/>
    </row>
    <row r="77" spans="2:25">
      <c r="B77" s="7"/>
      <c r="C77" s="69"/>
      <c r="D77" s="69"/>
      <c r="E77" s="69"/>
      <c r="F77" s="69" t="s">
        <v>211</v>
      </c>
      <c r="H77" s="69"/>
      <c r="I77" s="1077"/>
      <c r="J77" s="69"/>
      <c r="K77" s="69"/>
      <c r="L77" s="141"/>
      <c r="M77" s="69"/>
      <c r="N77" s="69"/>
      <c r="O77" s="69"/>
      <c r="P77">
        <v>0.1</v>
      </c>
      <c r="Q77">
        <v>5</v>
      </c>
      <c r="R77">
        <v>0.88</v>
      </c>
      <c r="S77">
        <v>5</v>
      </c>
      <c r="T77" s="69"/>
      <c r="U77" s="69"/>
      <c r="V77" s="69"/>
      <c r="W77" s="69"/>
      <c r="X77" s="69"/>
    </row>
    <row r="78" spans="2:25">
      <c r="B78" s="7"/>
      <c r="C78" s="69"/>
      <c r="D78" s="69"/>
      <c r="E78" s="69"/>
      <c r="F78" s="69"/>
      <c r="G78" s="69" t="s">
        <v>216</v>
      </c>
      <c r="H78" s="69"/>
      <c r="I78" s="1077"/>
      <c r="J78" s="69"/>
      <c r="K78" s="69"/>
      <c r="L78" s="141"/>
      <c r="M78" s="148">
        <v>0.33565217391304347</v>
      </c>
      <c r="N78" s="69"/>
      <c r="O78" s="69"/>
      <c r="T78" s="69"/>
      <c r="U78" s="69"/>
      <c r="V78" s="69"/>
      <c r="W78" s="69"/>
      <c r="X78" s="69"/>
    </row>
    <row r="79" spans="2:25">
      <c r="B79" s="7"/>
      <c r="C79" s="69"/>
      <c r="D79" s="69"/>
      <c r="E79" s="69" t="s">
        <v>161</v>
      </c>
      <c r="F79" s="69"/>
      <c r="G79" s="69"/>
      <c r="H79" s="69"/>
      <c r="I79" s="1077"/>
      <c r="J79" s="69"/>
      <c r="K79" s="70"/>
      <c r="L79" s="150">
        <v>76.408787010506217</v>
      </c>
      <c r="M79" s="69"/>
      <c r="N79" s="69"/>
      <c r="O79" s="69"/>
      <c r="T79" s="69"/>
      <c r="U79" s="69"/>
      <c r="V79" s="69"/>
      <c r="W79" s="69"/>
      <c r="X79" s="69"/>
    </row>
    <row r="80" spans="2:25">
      <c r="B80" s="7"/>
      <c r="C80" s="142" t="s">
        <v>219</v>
      </c>
      <c r="D80" s="142" t="s">
        <v>71</v>
      </c>
      <c r="E80" s="142"/>
      <c r="F80" s="142"/>
      <c r="G80" s="142"/>
      <c r="H80" s="142">
        <v>2040</v>
      </c>
      <c r="I80" s="142"/>
      <c r="J80" s="142" t="s">
        <v>70</v>
      </c>
      <c r="K80" s="149">
        <v>0.5</v>
      </c>
      <c r="L80" s="141"/>
      <c r="M80" s="142"/>
      <c r="N80" s="142">
        <v>0.95</v>
      </c>
      <c r="O80" s="143">
        <v>25</v>
      </c>
      <c r="P80" s="142"/>
      <c r="Q80" s="143"/>
      <c r="R80" s="142"/>
      <c r="S80" s="142"/>
      <c r="T80" s="142">
        <v>3.1536000000000002E-2</v>
      </c>
      <c r="U80" s="142">
        <v>10.8025</v>
      </c>
      <c r="V80" s="142">
        <v>0.324075</v>
      </c>
      <c r="W80" s="142">
        <v>0</v>
      </c>
      <c r="X80" s="142">
        <v>2</v>
      </c>
      <c r="Y80" s="142"/>
    </row>
    <row r="81" spans="2:32">
      <c r="B81" s="7"/>
      <c r="C81" s="69"/>
      <c r="D81" s="69"/>
      <c r="E81" s="69"/>
      <c r="F81" s="69" t="s">
        <v>223</v>
      </c>
      <c r="G81" s="69"/>
      <c r="H81" s="69"/>
      <c r="I81" s="1077"/>
      <c r="J81" s="69"/>
      <c r="K81" s="69"/>
      <c r="L81" s="141"/>
      <c r="M81" s="69"/>
      <c r="N81" s="69"/>
      <c r="O81" s="69"/>
      <c r="P81">
        <v>0</v>
      </c>
      <c r="Q81">
        <v>5</v>
      </c>
      <c r="R81">
        <v>0.40500000000000003</v>
      </c>
      <c r="S81">
        <v>5</v>
      </c>
      <c r="T81" s="69"/>
      <c r="U81" s="69"/>
      <c r="V81" s="69"/>
      <c r="W81" s="69"/>
      <c r="X81" s="69"/>
      <c r="Y81" s="69"/>
    </row>
    <row r="82" spans="2:32">
      <c r="B82" s="7"/>
      <c r="C82" s="69"/>
      <c r="F82" s="69" t="s">
        <v>222</v>
      </c>
      <c r="H82" s="69"/>
      <c r="I82" s="1077"/>
      <c r="J82" s="69"/>
      <c r="K82" s="69"/>
      <c r="L82" s="141"/>
      <c r="M82" s="69"/>
      <c r="N82" s="69"/>
      <c r="O82" s="69"/>
      <c r="P82">
        <v>0</v>
      </c>
      <c r="Q82">
        <v>5</v>
      </c>
      <c r="R82">
        <v>0.40500000000000003</v>
      </c>
      <c r="S82">
        <v>5</v>
      </c>
      <c r="T82" s="69"/>
      <c r="U82" s="69"/>
      <c r="V82" s="69"/>
      <c r="W82" s="69"/>
      <c r="X82" s="69"/>
      <c r="Y82" s="69"/>
    </row>
    <row r="83" spans="2:32">
      <c r="B83" s="7"/>
      <c r="C83" s="69"/>
      <c r="D83" s="69"/>
      <c r="E83" s="69"/>
      <c r="F83" s="69" t="s">
        <v>211</v>
      </c>
      <c r="H83" s="69"/>
      <c r="I83" s="1077"/>
      <c r="J83" s="69"/>
      <c r="K83" s="69"/>
      <c r="L83" s="141"/>
      <c r="M83" s="69"/>
      <c r="N83" s="69"/>
      <c r="O83" s="69"/>
      <c r="P83">
        <v>0.1</v>
      </c>
      <c r="Q83">
        <v>5</v>
      </c>
      <c r="R83">
        <v>0.88</v>
      </c>
      <c r="S83">
        <v>5</v>
      </c>
      <c r="T83" s="69"/>
      <c r="U83" s="69"/>
      <c r="V83" s="69"/>
      <c r="W83" s="69"/>
      <c r="X83" s="69"/>
    </row>
    <row r="84" spans="2:32">
      <c r="B84" s="7"/>
      <c r="C84" s="69"/>
      <c r="D84" s="69"/>
      <c r="E84" s="69"/>
      <c r="G84" s="69" t="s">
        <v>216</v>
      </c>
      <c r="H84" s="69"/>
      <c r="I84" s="1077"/>
      <c r="J84" s="69"/>
      <c r="K84" s="69"/>
      <c r="L84" s="141"/>
      <c r="M84" s="148">
        <v>0.33565217391304347</v>
      </c>
      <c r="N84" s="69"/>
      <c r="O84" s="69"/>
      <c r="T84" s="69"/>
      <c r="U84" s="69"/>
      <c r="V84" s="69"/>
      <c r="W84" s="69"/>
      <c r="X84" s="69"/>
    </row>
    <row r="85" spans="2:32">
      <c r="B85" s="7"/>
      <c r="C85" s="69"/>
      <c r="D85" s="69"/>
      <c r="E85" s="69" t="s">
        <v>161</v>
      </c>
      <c r="G85" s="69"/>
      <c r="H85" s="69"/>
      <c r="I85" s="1077"/>
      <c r="J85" s="69"/>
      <c r="K85" s="70"/>
      <c r="L85" s="150">
        <v>76.452599388379213</v>
      </c>
      <c r="M85" s="69"/>
      <c r="N85" s="69"/>
      <c r="O85" s="69"/>
      <c r="T85" s="69"/>
      <c r="U85" s="69"/>
      <c r="V85" s="69"/>
      <c r="W85" s="69"/>
      <c r="X85" s="69"/>
    </row>
    <row r="86" spans="2:32">
      <c r="B86" s="7"/>
      <c r="C86" s="142" t="s">
        <v>219</v>
      </c>
      <c r="D86" s="142" t="s">
        <v>71</v>
      </c>
      <c r="E86" s="142"/>
      <c r="F86" s="142"/>
      <c r="G86" s="142"/>
      <c r="H86" s="142">
        <v>2050</v>
      </c>
      <c r="I86" s="142"/>
      <c r="J86" s="142" t="s">
        <v>70</v>
      </c>
      <c r="K86" s="149">
        <v>0.5</v>
      </c>
      <c r="L86" s="141"/>
      <c r="M86" s="142"/>
      <c r="N86" s="142">
        <v>0.95</v>
      </c>
      <c r="O86" s="143">
        <v>25</v>
      </c>
      <c r="P86" s="142"/>
      <c r="Q86" s="143"/>
      <c r="R86" s="142"/>
      <c r="S86" s="142"/>
      <c r="T86" s="142">
        <v>3.1536000000000002E-2</v>
      </c>
      <c r="U86" s="142">
        <v>10.5045</v>
      </c>
      <c r="V86" s="142">
        <v>0.315135</v>
      </c>
      <c r="W86" s="142">
        <v>0</v>
      </c>
      <c r="X86" s="142">
        <v>2</v>
      </c>
      <c r="Y86" s="142"/>
    </row>
    <row r="87" spans="2:32">
      <c r="B87" s="7"/>
      <c r="C87" s="69"/>
      <c r="D87" s="69"/>
      <c r="E87" s="69"/>
      <c r="F87" s="69" t="s">
        <v>223</v>
      </c>
      <c r="G87" s="69"/>
      <c r="H87" s="69"/>
      <c r="I87" s="1077"/>
      <c r="J87" s="69"/>
      <c r="K87" s="69"/>
      <c r="L87" s="141"/>
      <c r="M87" s="69"/>
      <c r="N87" s="69"/>
      <c r="O87" s="69"/>
      <c r="P87">
        <v>0</v>
      </c>
      <c r="Q87">
        <v>5</v>
      </c>
      <c r="R87">
        <v>0.40500000000000003</v>
      </c>
      <c r="S87">
        <v>5</v>
      </c>
      <c r="T87" s="69"/>
      <c r="U87" s="69"/>
      <c r="V87" s="69"/>
      <c r="W87" s="69"/>
      <c r="X87" s="69"/>
      <c r="Y87" s="69"/>
    </row>
    <row r="88" spans="2:32">
      <c r="B88" s="7"/>
      <c r="C88" s="69"/>
      <c r="F88" s="69" t="s">
        <v>222</v>
      </c>
      <c r="H88" s="69"/>
      <c r="I88" s="1077"/>
      <c r="J88" s="69"/>
      <c r="K88" s="69"/>
      <c r="L88" s="141"/>
      <c r="M88" s="69"/>
      <c r="N88" s="69"/>
      <c r="O88" s="69"/>
      <c r="P88">
        <v>0</v>
      </c>
      <c r="Q88">
        <v>5</v>
      </c>
      <c r="R88">
        <v>0.40500000000000003</v>
      </c>
      <c r="S88">
        <v>5</v>
      </c>
      <c r="T88" s="69"/>
      <c r="U88" s="69"/>
      <c r="V88" s="69"/>
      <c r="W88" s="69"/>
      <c r="X88" s="69"/>
      <c r="Y88" s="69"/>
    </row>
    <row r="89" spans="2:32">
      <c r="B89" s="7"/>
      <c r="C89" s="69"/>
      <c r="D89" s="69"/>
      <c r="E89" s="69"/>
      <c r="F89" s="69" t="s">
        <v>211</v>
      </c>
      <c r="H89" s="69"/>
      <c r="I89" s="1077"/>
      <c r="J89" s="69"/>
      <c r="K89" s="69"/>
      <c r="L89" s="141"/>
      <c r="M89" s="69"/>
      <c r="N89" s="69"/>
      <c r="O89" s="69"/>
      <c r="P89">
        <v>0.1</v>
      </c>
      <c r="Q89">
        <v>5</v>
      </c>
      <c r="R89">
        <v>0.88</v>
      </c>
      <c r="S89">
        <v>5</v>
      </c>
      <c r="T89" s="69"/>
      <c r="U89" s="69"/>
      <c r="V89" s="69"/>
      <c r="W89" s="69"/>
      <c r="X89" s="69"/>
    </row>
    <row r="90" spans="2:32">
      <c r="B90" s="7"/>
      <c r="C90" s="69"/>
      <c r="D90" s="69"/>
      <c r="E90" s="69"/>
      <c r="G90" s="69" t="s">
        <v>216</v>
      </c>
      <c r="H90" s="69"/>
      <c r="I90" s="1077"/>
      <c r="J90" s="69"/>
      <c r="K90" s="69"/>
      <c r="L90" s="141"/>
      <c r="M90" s="148">
        <v>0.33565217391304347</v>
      </c>
      <c r="N90" s="69"/>
      <c r="O90" s="69"/>
      <c r="T90" s="69"/>
      <c r="U90" s="69"/>
      <c r="V90" s="69"/>
      <c r="W90" s="69"/>
      <c r="X90" s="69"/>
    </row>
    <row r="91" spans="2:32" ht="15" thickBot="1">
      <c r="B91" s="7"/>
      <c r="C91" s="69"/>
      <c r="D91" s="69"/>
      <c r="E91" s="69" t="s">
        <v>161</v>
      </c>
      <c r="G91" s="69"/>
      <c r="H91" s="69"/>
      <c r="I91" s="1077"/>
      <c r="J91" s="69"/>
      <c r="K91" s="69"/>
      <c r="L91" s="141">
        <v>77.060931899641574</v>
      </c>
      <c r="M91" s="69"/>
      <c r="N91" s="69"/>
      <c r="O91" s="69"/>
      <c r="T91" s="69"/>
      <c r="U91" s="69"/>
      <c r="V91" s="69"/>
      <c r="W91" s="69"/>
      <c r="X91" s="69"/>
    </row>
    <row r="92" spans="2:32">
      <c r="B92" s="19" t="s">
        <v>305</v>
      </c>
      <c r="C92" s="104" t="s">
        <v>215</v>
      </c>
      <c r="D92" s="104" t="s">
        <v>71</v>
      </c>
      <c r="E92" s="104"/>
      <c r="F92" s="104"/>
      <c r="G92" s="104"/>
      <c r="H92" s="104">
        <v>2015</v>
      </c>
      <c r="I92" s="104">
        <v>2025</v>
      </c>
      <c r="J92" s="104" t="s">
        <v>70</v>
      </c>
      <c r="K92" s="147">
        <v>0.57000000000000006</v>
      </c>
      <c r="L92" s="104"/>
      <c r="M92" s="104"/>
      <c r="N92" s="104">
        <v>0.9</v>
      </c>
      <c r="O92" s="104">
        <v>10</v>
      </c>
      <c r="P92" s="104"/>
      <c r="Q92" s="104"/>
      <c r="R92" s="104"/>
      <c r="S92" s="104"/>
      <c r="T92" s="104">
        <v>3.1536000000000002E-2</v>
      </c>
      <c r="U92" s="104">
        <v>32.665384615384617</v>
      </c>
      <c r="V92" s="104">
        <v>0.97996153846153844</v>
      </c>
      <c r="W92" s="104">
        <v>0</v>
      </c>
      <c r="X92" s="104">
        <v>2</v>
      </c>
      <c r="Y92" s="69" t="s">
        <v>214</v>
      </c>
    </row>
    <row r="93" spans="2:32">
      <c r="B93" s="7"/>
      <c r="C93" s="69"/>
      <c r="D93" s="69"/>
      <c r="E93" s="69"/>
      <c r="F93" s="69" t="s">
        <v>223</v>
      </c>
      <c r="G93" s="69"/>
      <c r="H93" s="69"/>
      <c r="I93" s="1077"/>
      <c r="J93" s="69"/>
      <c r="K93" s="69"/>
      <c r="L93" s="69"/>
      <c r="M93" s="69"/>
      <c r="N93" s="69"/>
      <c r="O93" s="69"/>
      <c r="P93" s="69">
        <v>0</v>
      </c>
      <c r="Q93" s="69">
        <v>5</v>
      </c>
      <c r="R93" s="69">
        <v>0.40500000000000003</v>
      </c>
      <c r="S93" s="69">
        <v>5</v>
      </c>
      <c r="T93" s="69"/>
      <c r="U93" s="69"/>
      <c r="V93" s="69"/>
      <c r="W93" s="69"/>
      <c r="X93" s="69"/>
      <c r="Y93" s="146" t="s">
        <v>213</v>
      </c>
      <c r="Z93" s="124"/>
      <c r="AA93" s="124"/>
      <c r="AB93" s="124"/>
      <c r="AC93" s="124"/>
      <c r="AF93" s="145">
        <v>0.13</v>
      </c>
    </row>
    <row r="94" spans="2:32">
      <c r="B94" s="7"/>
      <c r="C94" s="69"/>
      <c r="F94" s="69" t="s">
        <v>222</v>
      </c>
      <c r="H94" s="69"/>
      <c r="I94" s="1077"/>
      <c r="J94" s="69"/>
      <c r="M94" s="69"/>
      <c r="N94" s="69"/>
      <c r="O94" s="69"/>
      <c r="P94">
        <v>0</v>
      </c>
      <c r="Q94">
        <v>5</v>
      </c>
      <c r="R94">
        <v>0.40500000000000003</v>
      </c>
      <c r="S94">
        <v>5</v>
      </c>
      <c r="T94" s="69"/>
      <c r="U94" s="69"/>
      <c r="V94" s="69"/>
      <c r="W94" s="69"/>
      <c r="X94" s="69"/>
      <c r="Y94" s="69"/>
    </row>
    <row r="95" spans="2:32">
      <c r="B95" s="7"/>
      <c r="C95" s="69"/>
      <c r="D95" s="69"/>
      <c r="E95" s="69"/>
      <c r="F95" s="69" t="s">
        <v>211</v>
      </c>
      <c r="G95" s="69"/>
      <c r="H95" s="69"/>
      <c r="I95" s="1077"/>
      <c r="J95" s="69"/>
      <c r="K95" s="69"/>
      <c r="L95" s="69"/>
      <c r="M95" s="69"/>
      <c r="N95" s="69"/>
      <c r="O95" s="69"/>
      <c r="P95">
        <v>0.1</v>
      </c>
      <c r="Q95">
        <v>5</v>
      </c>
      <c r="R95">
        <v>0.88</v>
      </c>
      <c r="S95">
        <v>5</v>
      </c>
      <c r="T95" s="69"/>
      <c r="U95" s="69"/>
      <c r="V95" s="69"/>
      <c r="W95" s="69"/>
      <c r="X95" s="69"/>
      <c r="Y95" s="69"/>
    </row>
    <row r="96" spans="2:32">
      <c r="B96" s="7"/>
      <c r="C96" s="69"/>
      <c r="D96" s="69"/>
      <c r="E96" s="69" t="s">
        <v>161</v>
      </c>
      <c r="F96" s="69"/>
      <c r="G96" s="69"/>
      <c r="H96" s="69"/>
      <c r="I96" s="1077"/>
      <c r="J96" s="69"/>
      <c r="K96" s="141"/>
      <c r="L96" s="141">
        <v>76.69082125603866</v>
      </c>
      <c r="M96" s="69"/>
      <c r="N96" s="69"/>
      <c r="O96" s="69"/>
      <c r="T96" s="69"/>
      <c r="U96" s="69"/>
      <c r="V96" s="69"/>
      <c r="W96" s="69"/>
      <c r="X96" s="69"/>
      <c r="Y96" s="69"/>
    </row>
    <row r="97" spans="2:25">
      <c r="B97" s="7"/>
      <c r="C97" s="142" t="s">
        <v>215</v>
      </c>
      <c r="D97" s="142" t="s">
        <v>71</v>
      </c>
      <c r="E97" s="142"/>
      <c r="F97" s="142"/>
      <c r="G97" s="142"/>
      <c r="H97" s="142">
        <v>2020</v>
      </c>
      <c r="I97" s="142"/>
      <c r="J97" s="142" t="s">
        <v>70</v>
      </c>
      <c r="K97" s="144">
        <v>0.57000000000000006</v>
      </c>
      <c r="L97" s="142"/>
      <c r="M97" s="142"/>
      <c r="N97" s="142">
        <v>0.9</v>
      </c>
      <c r="O97" s="143">
        <v>10</v>
      </c>
      <c r="P97" s="142"/>
      <c r="Q97" s="143"/>
      <c r="R97" s="142"/>
      <c r="S97" s="142"/>
      <c r="T97" s="142">
        <v>3.1536000000000002E-2</v>
      </c>
      <c r="U97" s="142">
        <v>17.19230769230769</v>
      </c>
      <c r="V97" s="142">
        <v>0.51576923076923065</v>
      </c>
      <c r="W97" s="142">
        <v>0</v>
      </c>
      <c r="X97" s="142">
        <v>2</v>
      </c>
      <c r="Y97" s="142"/>
    </row>
    <row r="98" spans="2:25">
      <c r="B98" s="7"/>
      <c r="C98" s="69"/>
      <c r="D98" s="69"/>
      <c r="E98" s="69"/>
      <c r="F98" s="69" t="s">
        <v>223</v>
      </c>
      <c r="G98" s="69"/>
      <c r="H98" s="69"/>
      <c r="I98" s="1077"/>
      <c r="J98" s="69"/>
      <c r="K98" s="69"/>
      <c r="L98" s="69"/>
      <c r="M98" s="69"/>
      <c r="N98" s="69"/>
      <c r="O98" s="69"/>
      <c r="P98" s="69">
        <v>0</v>
      </c>
      <c r="Q98" s="69">
        <v>5</v>
      </c>
      <c r="R98" s="69">
        <v>0.40500000000000003</v>
      </c>
      <c r="S98" s="69">
        <v>5</v>
      </c>
      <c r="T98" s="69"/>
      <c r="U98" s="69"/>
      <c r="V98" s="69"/>
      <c r="W98" s="69"/>
      <c r="X98" s="69"/>
      <c r="Y98" s="69"/>
    </row>
    <row r="99" spans="2:25">
      <c r="B99" s="7"/>
      <c r="C99" s="69"/>
      <c r="F99" s="69" t="s">
        <v>222</v>
      </c>
      <c r="H99" s="69"/>
      <c r="I99" s="1077"/>
      <c r="J99" s="69"/>
      <c r="M99" s="69"/>
      <c r="N99" s="69"/>
      <c r="O99" s="69"/>
      <c r="P99">
        <v>0</v>
      </c>
      <c r="Q99">
        <v>5</v>
      </c>
      <c r="R99">
        <v>0.40500000000000003</v>
      </c>
      <c r="S99">
        <v>5</v>
      </c>
      <c r="T99" s="69"/>
      <c r="U99" s="69"/>
      <c r="V99" s="69"/>
      <c r="W99" s="69"/>
      <c r="X99" s="69"/>
      <c r="Y99" s="69"/>
    </row>
    <row r="100" spans="2:25">
      <c r="B100" s="7"/>
      <c r="C100" s="69"/>
      <c r="D100" s="69"/>
      <c r="E100" s="69"/>
      <c r="F100" s="69" t="s">
        <v>211</v>
      </c>
      <c r="G100" s="69"/>
      <c r="H100" s="69"/>
      <c r="I100" s="1077"/>
      <c r="J100" s="69"/>
      <c r="K100" s="69"/>
      <c r="L100" s="69"/>
      <c r="M100" s="69"/>
      <c r="N100" s="69"/>
      <c r="O100" s="69"/>
      <c r="P100">
        <v>0.1</v>
      </c>
      <c r="Q100">
        <v>5</v>
      </c>
      <c r="R100">
        <v>0.88</v>
      </c>
      <c r="S100">
        <v>5</v>
      </c>
      <c r="T100" s="69"/>
      <c r="U100" s="69"/>
      <c r="V100" s="69"/>
      <c r="W100" s="69"/>
      <c r="X100" s="69"/>
      <c r="Y100" s="69"/>
    </row>
    <row r="101" spans="2:25">
      <c r="B101" s="7"/>
      <c r="C101" s="69"/>
      <c r="D101" s="69"/>
      <c r="E101" s="69" t="s">
        <v>161</v>
      </c>
      <c r="F101" s="69"/>
      <c r="G101" s="69"/>
      <c r="H101" s="69"/>
      <c r="I101" s="1077"/>
      <c r="J101" s="69"/>
      <c r="K101" s="141"/>
      <c r="L101" s="141">
        <v>76.435495898583142</v>
      </c>
      <c r="M101" s="69"/>
      <c r="N101" s="69"/>
      <c r="O101" s="69"/>
      <c r="T101" s="69"/>
      <c r="U101" s="69"/>
      <c r="V101" s="69"/>
      <c r="W101" s="69"/>
      <c r="X101" s="69"/>
      <c r="Y101" s="69"/>
    </row>
    <row r="102" spans="2:25">
      <c r="B102" s="7"/>
      <c r="C102" s="142" t="s">
        <v>215</v>
      </c>
      <c r="D102" s="142" t="s">
        <v>71</v>
      </c>
      <c r="E102" s="142"/>
      <c r="F102" s="142"/>
      <c r="G102" s="142"/>
      <c r="H102" s="142">
        <v>2030</v>
      </c>
      <c r="I102" s="142"/>
      <c r="J102" s="142" t="s">
        <v>70</v>
      </c>
      <c r="K102" s="144">
        <v>0.58000000000000007</v>
      </c>
      <c r="L102" s="142"/>
      <c r="M102" s="142"/>
      <c r="N102" s="142">
        <v>0.95</v>
      </c>
      <c r="O102" s="143">
        <v>15</v>
      </c>
      <c r="P102" s="142"/>
      <c r="Q102" s="143"/>
      <c r="R102" s="142"/>
      <c r="S102" s="142"/>
      <c r="T102" s="142">
        <v>3.1536000000000002E-2</v>
      </c>
      <c r="U102" s="142">
        <v>11.060384615384615</v>
      </c>
      <c r="V102" s="142">
        <v>0.33181153846153844</v>
      </c>
      <c r="W102" s="142">
        <v>0</v>
      </c>
      <c r="X102" s="142">
        <v>2</v>
      </c>
      <c r="Y102" s="142"/>
    </row>
    <row r="103" spans="2:25">
      <c r="B103" s="7"/>
      <c r="C103" s="69"/>
      <c r="D103" s="69"/>
      <c r="E103" s="69"/>
      <c r="F103" s="69" t="s">
        <v>223</v>
      </c>
      <c r="G103" s="69"/>
      <c r="H103" s="69"/>
      <c r="I103" s="1077"/>
      <c r="J103" s="69"/>
      <c r="K103" s="69"/>
      <c r="L103" s="69"/>
      <c r="M103" s="69"/>
      <c r="N103" s="69"/>
      <c r="O103" s="69"/>
      <c r="P103" s="69">
        <v>0</v>
      </c>
      <c r="Q103" s="69">
        <v>5</v>
      </c>
      <c r="R103" s="69">
        <v>0.40500000000000003</v>
      </c>
      <c r="S103" s="69">
        <v>5</v>
      </c>
      <c r="T103" s="69"/>
      <c r="U103" s="69"/>
      <c r="V103" s="69"/>
      <c r="W103" s="69"/>
      <c r="X103" s="69"/>
      <c r="Y103" s="69"/>
    </row>
    <row r="104" spans="2:25">
      <c r="B104" s="7"/>
      <c r="C104" s="69"/>
      <c r="F104" s="69" t="s">
        <v>222</v>
      </c>
      <c r="H104" s="69"/>
      <c r="I104" s="1077"/>
      <c r="J104" s="69"/>
      <c r="M104" s="69"/>
      <c r="N104" s="69"/>
      <c r="O104" s="69"/>
      <c r="P104">
        <v>0</v>
      </c>
      <c r="Q104">
        <v>5</v>
      </c>
      <c r="R104">
        <v>0.40500000000000003</v>
      </c>
      <c r="S104">
        <v>5</v>
      </c>
      <c r="T104" s="69"/>
      <c r="U104" s="69"/>
      <c r="V104" s="69"/>
      <c r="W104" s="69"/>
      <c r="X104" s="69"/>
      <c r="Y104" s="69"/>
    </row>
    <row r="105" spans="2:25">
      <c r="B105" s="7"/>
      <c r="C105" s="69"/>
      <c r="D105" s="69"/>
      <c r="E105" s="69"/>
      <c r="F105" s="69" t="s">
        <v>211</v>
      </c>
      <c r="G105" s="69"/>
      <c r="H105" s="69"/>
      <c r="I105" s="1077"/>
      <c r="J105" s="69"/>
      <c r="K105" s="69"/>
      <c r="L105" s="69"/>
      <c r="M105" s="69"/>
      <c r="N105" s="69"/>
      <c r="O105" s="69"/>
      <c r="P105">
        <v>0.1</v>
      </c>
      <c r="Q105">
        <v>5</v>
      </c>
      <c r="R105">
        <v>0.88</v>
      </c>
      <c r="S105">
        <v>5</v>
      </c>
      <c r="T105" s="69"/>
      <c r="U105" s="69"/>
      <c r="V105" s="69"/>
      <c r="W105" s="69"/>
      <c r="X105" s="69"/>
      <c r="Y105" s="69"/>
    </row>
    <row r="106" spans="2:25">
      <c r="B106" s="7"/>
      <c r="C106" s="69"/>
      <c r="D106" s="69"/>
      <c r="E106" s="69" t="s">
        <v>161</v>
      </c>
      <c r="F106" s="69" t="s">
        <v>1315</v>
      </c>
      <c r="G106" s="69"/>
      <c r="H106" s="69"/>
      <c r="I106" s="1077"/>
      <c r="J106" s="69"/>
      <c r="K106" s="141"/>
      <c r="L106" s="141">
        <v>76.628352490421449</v>
      </c>
      <c r="M106" s="69"/>
      <c r="N106" s="69"/>
      <c r="O106" s="69"/>
      <c r="T106" s="69"/>
      <c r="U106" s="69"/>
      <c r="V106" s="69"/>
      <c r="W106" s="69"/>
      <c r="X106" s="69"/>
      <c r="Y106" s="69"/>
    </row>
    <row r="107" spans="2:25">
      <c r="B107" s="7"/>
      <c r="C107" s="142" t="s">
        <v>215</v>
      </c>
      <c r="D107" s="142" t="s">
        <v>71</v>
      </c>
      <c r="E107" s="142"/>
      <c r="F107" s="142"/>
      <c r="G107" s="142"/>
      <c r="H107" s="142">
        <v>2040</v>
      </c>
      <c r="I107" s="142"/>
      <c r="J107" s="142" t="s">
        <v>70</v>
      </c>
      <c r="K107" s="144">
        <v>0.58000000000000007</v>
      </c>
      <c r="L107" s="142"/>
      <c r="M107" s="142"/>
      <c r="N107" s="142">
        <v>0.95</v>
      </c>
      <c r="O107" s="143">
        <v>15</v>
      </c>
      <c r="P107" s="142"/>
      <c r="Q107" s="143"/>
      <c r="R107" s="142"/>
      <c r="S107" s="142"/>
      <c r="T107" s="142">
        <v>3.1536000000000002E-2</v>
      </c>
      <c r="U107" s="142">
        <v>9.4557692307692314</v>
      </c>
      <c r="V107" s="142">
        <v>0.28367307692307692</v>
      </c>
      <c r="W107" s="142">
        <v>0</v>
      </c>
      <c r="X107" s="142">
        <v>2</v>
      </c>
      <c r="Y107" s="142"/>
    </row>
    <row r="108" spans="2:25">
      <c r="B108" s="7"/>
      <c r="C108" s="69"/>
      <c r="D108" s="69"/>
      <c r="E108" s="69"/>
      <c r="F108" s="69" t="s">
        <v>223</v>
      </c>
      <c r="G108" s="69"/>
      <c r="H108" s="69"/>
      <c r="I108" s="1077"/>
      <c r="J108" s="69"/>
      <c r="K108" s="69"/>
      <c r="L108" s="69"/>
      <c r="M108" s="69"/>
      <c r="N108" s="69"/>
      <c r="O108" s="69"/>
      <c r="P108" s="69">
        <v>0</v>
      </c>
      <c r="Q108" s="69">
        <v>5</v>
      </c>
      <c r="R108" s="69">
        <v>0.40500000000000003</v>
      </c>
      <c r="S108" s="69">
        <v>5</v>
      </c>
      <c r="T108" s="69"/>
      <c r="U108" s="69"/>
      <c r="V108" s="69"/>
      <c r="W108" s="69"/>
      <c r="X108" s="69"/>
      <c r="Y108" s="69"/>
    </row>
    <row r="109" spans="2:25">
      <c r="B109" s="7"/>
      <c r="C109" s="69"/>
      <c r="F109" s="69" t="s">
        <v>222</v>
      </c>
      <c r="H109" s="69"/>
      <c r="I109" s="1077"/>
      <c r="J109" s="69"/>
      <c r="M109" s="69"/>
      <c r="N109" s="69"/>
      <c r="O109" s="69"/>
      <c r="P109">
        <v>0</v>
      </c>
      <c r="Q109">
        <v>5</v>
      </c>
      <c r="R109">
        <v>0.40500000000000003</v>
      </c>
      <c r="S109">
        <v>5</v>
      </c>
      <c r="T109" s="69"/>
      <c r="U109" s="69"/>
      <c r="V109" s="69"/>
      <c r="W109" s="69"/>
      <c r="X109" s="69"/>
      <c r="Y109" s="69"/>
    </row>
    <row r="110" spans="2:25">
      <c r="B110" s="7"/>
      <c r="C110" s="69"/>
      <c r="D110" s="69"/>
      <c r="E110" s="69"/>
      <c r="F110" s="69" t="s">
        <v>211</v>
      </c>
      <c r="G110" s="69"/>
      <c r="H110" s="69"/>
      <c r="I110" s="1077"/>
      <c r="J110" s="69"/>
      <c r="K110" s="69"/>
      <c r="L110" s="69"/>
      <c r="M110" s="69"/>
      <c r="N110" s="69"/>
      <c r="O110" s="69"/>
      <c r="P110">
        <v>0.1</v>
      </c>
      <c r="Q110">
        <v>5</v>
      </c>
      <c r="R110">
        <v>0.88</v>
      </c>
      <c r="S110">
        <v>5</v>
      </c>
      <c r="T110" s="69"/>
      <c r="U110" s="69"/>
      <c r="V110" s="69"/>
      <c r="W110" s="69"/>
      <c r="X110" s="69"/>
      <c r="Y110" s="69"/>
    </row>
    <row r="111" spans="2:25">
      <c r="B111" s="7"/>
      <c r="C111" s="69"/>
      <c r="D111" s="69"/>
      <c r="E111" s="69" t="s">
        <v>161</v>
      </c>
      <c r="F111" s="69"/>
      <c r="G111" s="69"/>
      <c r="H111" s="69"/>
      <c r="I111" s="1077"/>
      <c r="J111" s="69"/>
      <c r="K111" s="141"/>
      <c r="L111" s="141">
        <v>76.687116564417181</v>
      </c>
      <c r="M111" s="69"/>
      <c r="N111" s="69"/>
      <c r="O111" s="69"/>
      <c r="T111" s="69"/>
      <c r="U111" s="69"/>
      <c r="V111" s="69"/>
      <c r="W111" s="69"/>
      <c r="X111" s="69"/>
      <c r="Y111" s="69"/>
    </row>
    <row r="112" spans="2:25">
      <c r="B112" s="7"/>
      <c r="C112" s="142" t="s">
        <v>215</v>
      </c>
      <c r="D112" s="142" t="s">
        <v>71</v>
      </c>
      <c r="E112" s="142"/>
      <c r="F112" s="142"/>
      <c r="G112" s="142"/>
      <c r="H112" s="142">
        <v>2050</v>
      </c>
      <c r="I112" s="142"/>
      <c r="J112" s="142" t="s">
        <v>70</v>
      </c>
      <c r="K112" s="144">
        <v>0.58000000000000007</v>
      </c>
      <c r="L112" s="142"/>
      <c r="M112" s="142"/>
      <c r="N112" s="142">
        <v>0.95</v>
      </c>
      <c r="O112" s="143">
        <v>15</v>
      </c>
      <c r="P112" s="142"/>
      <c r="Q112" s="143"/>
      <c r="R112" s="142"/>
      <c r="S112" s="142"/>
      <c r="T112" s="142">
        <v>3.1536000000000002E-2</v>
      </c>
      <c r="U112" s="142">
        <v>9.2265384615384622</v>
      </c>
      <c r="V112" s="142">
        <v>0.27679615384615386</v>
      </c>
      <c r="W112" s="142">
        <v>0</v>
      </c>
      <c r="X112" s="142">
        <v>2</v>
      </c>
      <c r="Y112" s="142"/>
    </row>
    <row r="113" spans="2:27">
      <c r="B113" s="7"/>
      <c r="C113" s="69"/>
      <c r="D113" s="69"/>
      <c r="E113" s="69"/>
      <c r="F113" s="69" t="s">
        <v>223</v>
      </c>
      <c r="G113" s="69"/>
      <c r="H113" s="69"/>
      <c r="I113" s="1077"/>
      <c r="J113" s="69"/>
      <c r="K113" s="69"/>
      <c r="L113" s="69"/>
      <c r="M113" s="69"/>
      <c r="N113" s="69"/>
      <c r="O113" s="69"/>
      <c r="P113" s="69">
        <v>0</v>
      </c>
      <c r="Q113" s="69">
        <v>5</v>
      </c>
      <c r="R113" s="69">
        <v>0.40500000000000003</v>
      </c>
      <c r="S113" s="69">
        <v>5</v>
      </c>
      <c r="T113" s="69"/>
      <c r="U113" s="69"/>
      <c r="V113" s="69"/>
      <c r="W113" s="69"/>
      <c r="X113" s="69"/>
      <c r="Y113" s="69"/>
    </row>
    <row r="114" spans="2:27">
      <c r="B114" s="7"/>
      <c r="C114" s="69"/>
      <c r="F114" s="69" t="s">
        <v>222</v>
      </c>
      <c r="H114" s="69"/>
      <c r="I114" s="1077"/>
      <c r="J114" s="69"/>
      <c r="K114" s="69"/>
      <c r="M114" s="69"/>
      <c r="N114" s="69"/>
      <c r="O114" s="69"/>
      <c r="P114">
        <v>0</v>
      </c>
      <c r="Q114">
        <v>5</v>
      </c>
      <c r="R114">
        <v>0.40500000000000003</v>
      </c>
      <c r="S114">
        <v>5</v>
      </c>
      <c r="T114" s="69"/>
      <c r="U114" s="69"/>
      <c r="V114" s="69"/>
      <c r="W114" s="69"/>
      <c r="X114" s="69"/>
      <c r="Y114" s="69"/>
    </row>
    <row r="115" spans="2:27">
      <c r="B115" s="7"/>
      <c r="C115" s="69"/>
      <c r="D115" s="69"/>
      <c r="E115" s="69"/>
      <c r="F115" s="69" t="s">
        <v>211</v>
      </c>
      <c r="G115" s="69"/>
      <c r="H115" s="69"/>
      <c r="I115" s="1077"/>
      <c r="J115" s="69"/>
      <c r="K115" s="69"/>
      <c r="L115" s="69"/>
      <c r="M115" s="69"/>
      <c r="N115" s="69"/>
      <c r="O115" s="69"/>
      <c r="P115">
        <v>0.1</v>
      </c>
      <c r="Q115">
        <v>5</v>
      </c>
      <c r="R115">
        <v>0.88</v>
      </c>
      <c r="S115">
        <v>5</v>
      </c>
      <c r="T115" s="69"/>
      <c r="U115" s="69"/>
      <c r="V115" s="69"/>
      <c r="W115" s="69"/>
      <c r="X115" s="69"/>
      <c r="Y115" s="69"/>
    </row>
    <row r="116" spans="2:27" ht="15.6" customHeight="1" thickBot="1">
      <c r="B116" s="7"/>
      <c r="C116" s="69"/>
      <c r="D116" s="69"/>
      <c r="E116" s="69" t="s">
        <v>161</v>
      </c>
      <c r="F116" s="69"/>
      <c r="G116" s="69"/>
      <c r="H116" s="69"/>
      <c r="I116" s="1077"/>
      <c r="J116" s="69"/>
      <c r="K116" s="69"/>
      <c r="L116" s="141">
        <v>76.41136281912982</v>
      </c>
      <c r="M116" s="69"/>
      <c r="N116" s="69"/>
      <c r="O116" s="69"/>
      <c r="T116" s="69"/>
      <c r="U116" s="69"/>
      <c r="V116" s="69"/>
      <c r="W116" s="69"/>
      <c r="X116" s="69"/>
      <c r="Y116" s="69"/>
    </row>
    <row r="117" spans="2:27" ht="15" thickBot="1">
      <c r="B117" s="19" t="s">
        <v>306</v>
      </c>
      <c r="C117" s="139" t="s">
        <v>212</v>
      </c>
      <c r="D117" s="139" t="s">
        <v>1419</v>
      </c>
      <c r="E117" s="139"/>
      <c r="F117" s="139" t="s">
        <v>211</v>
      </c>
      <c r="G117" s="139"/>
      <c r="H117" s="139">
        <v>2020</v>
      </c>
      <c r="I117" s="104">
        <v>2025</v>
      </c>
      <c r="J117" s="139" t="s">
        <v>210</v>
      </c>
      <c r="K117" s="139">
        <v>0.8</v>
      </c>
      <c r="L117" s="139"/>
      <c r="M117" s="139"/>
      <c r="N117" s="139"/>
      <c r="O117" s="139">
        <v>15</v>
      </c>
      <c r="P117" s="139"/>
      <c r="Q117" s="139"/>
      <c r="R117" s="139"/>
      <c r="S117" s="139"/>
      <c r="T117" s="139">
        <v>3.1536000000000002E-2</v>
      </c>
      <c r="U117" s="140">
        <v>4.2791499138426188</v>
      </c>
      <c r="V117" s="101">
        <v>0.21395749569213096</v>
      </c>
      <c r="W117" s="139">
        <v>0.12837449741527857</v>
      </c>
      <c r="X117" s="101">
        <v>1</v>
      </c>
      <c r="Y117" s="101" t="s">
        <v>205</v>
      </c>
    </row>
    <row r="118" spans="2:27" ht="15" thickBot="1">
      <c r="B118" s="7"/>
      <c r="C118" s="69"/>
      <c r="D118" s="69"/>
      <c r="E118" s="69"/>
      <c r="F118" s="69"/>
      <c r="G118" s="69"/>
      <c r="H118" s="69"/>
      <c r="I118" s="69"/>
      <c r="J118" s="69"/>
      <c r="K118" s="69"/>
      <c r="L118" s="69"/>
      <c r="M118" s="69"/>
      <c r="N118" s="69"/>
      <c r="O118" s="69"/>
      <c r="P118" s="69"/>
      <c r="Q118" s="69"/>
      <c r="R118" s="69"/>
      <c r="S118" s="69"/>
      <c r="V118" s="69"/>
    </row>
    <row r="119" spans="2:27">
      <c r="Y119" s="96" t="s">
        <v>209</v>
      </c>
      <c r="Z119" s="95">
        <v>174.1</v>
      </c>
      <c r="AA119" s="94">
        <v>199.5</v>
      </c>
    </row>
    <row r="120" spans="2:27">
      <c r="Y120" s="132" t="s">
        <v>208</v>
      </c>
      <c r="Z120">
        <v>100</v>
      </c>
      <c r="AA120" s="76">
        <v>90</v>
      </c>
    </row>
    <row r="121" spans="2:27" ht="21.6" thickBot="1">
      <c r="O121" s="138" t="s">
        <v>207</v>
      </c>
      <c r="P121" s="138"/>
      <c r="Y121" s="92" t="s">
        <v>206</v>
      </c>
      <c r="Z121" s="55">
        <v>0.57438253877082135</v>
      </c>
      <c r="AA121" s="91">
        <v>0.45112781954887216</v>
      </c>
    </row>
    <row r="122" spans="2:27" ht="15" thickBot="1"/>
    <row r="123" spans="2:27">
      <c r="C123" s="1280" t="s">
        <v>204</v>
      </c>
      <c r="D123" s="95">
        <v>147</v>
      </c>
      <c r="E123" s="95">
        <v>133</v>
      </c>
      <c r="F123" s="95">
        <v>95</v>
      </c>
      <c r="G123" s="95">
        <v>83</v>
      </c>
      <c r="H123" s="94">
        <v>78</v>
      </c>
    </row>
    <row r="124" spans="2:27">
      <c r="C124" s="1281"/>
      <c r="D124">
        <v>550</v>
      </c>
      <c r="E124">
        <v>479</v>
      </c>
      <c r="F124">
        <v>340</v>
      </c>
      <c r="G124">
        <v>299</v>
      </c>
      <c r="H124" s="76">
        <v>281</v>
      </c>
    </row>
    <row r="125" spans="2:27">
      <c r="C125" s="1281" t="s">
        <v>202</v>
      </c>
      <c r="D125" s="136">
        <v>128</v>
      </c>
      <c r="E125" s="136">
        <v>124</v>
      </c>
      <c r="F125" s="136">
        <v>96</v>
      </c>
      <c r="G125" s="136">
        <v>90</v>
      </c>
      <c r="H125" s="135">
        <v>86</v>
      </c>
    </row>
    <row r="126" spans="2:27">
      <c r="C126" s="1282"/>
      <c r="D126" s="134">
        <v>463</v>
      </c>
      <c r="E126" s="134">
        <v>450</v>
      </c>
      <c r="F126" s="134">
        <v>349</v>
      </c>
      <c r="G126" s="134">
        <v>327</v>
      </c>
      <c r="H126" s="133">
        <v>310</v>
      </c>
    </row>
    <row r="127" spans="2:27">
      <c r="C127" s="132" t="s">
        <v>201</v>
      </c>
      <c r="D127" s="84">
        <v>0.27645788336933047</v>
      </c>
      <c r="E127" s="84">
        <v>0.27555555555555555</v>
      </c>
      <c r="F127" s="84">
        <v>0.27507163323782235</v>
      </c>
      <c r="G127" s="84">
        <v>0.27522935779816515</v>
      </c>
      <c r="H127" s="83">
        <v>0.27741935483870966</v>
      </c>
    </row>
    <row r="128" spans="2:27">
      <c r="C128" s="132" t="s">
        <v>200</v>
      </c>
      <c r="D128" s="84">
        <v>7.6793856491480683E-2</v>
      </c>
      <c r="E128" s="84">
        <v>7.6543209876543214E-2</v>
      </c>
      <c r="F128" s="84">
        <v>7.6408787010506213E-2</v>
      </c>
      <c r="G128" s="84">
        <v>7.6452599388379214E-2</v>
      </c>
      <c r="H128" s="83">
        <v>7.7060931899641569E-2</v>
      </c>
    </row>
    <row r="129" spans="3:18" ht="15" thickBot="1">
      <c r="C129" s="131" t="s">
        <v>199</v>
      </c>
      <c r="D129" s="130">
        <v>76.793856491480682</v>
      </c>
      <c r="E129" s="130">
        <v>76.543209876543216</v>
      </c>
      <c r="F129" s="130">
        <v>76.408787010506217</v>
      </c>
      <c r="G129" s="130">
        <v>76.452599388379213</v>
      </c>
      <c r="H129" s="129">
        <v>77.060931899641574</v>
      </c>
    </row>
    <row r="140" spans="3:18" ht="18">
      <c r="Q140" s="128" t="s">
        <v>205</v>
      </c>
      <c r="R140" s="128"/>
    </row>
    <row r="165" spans="3:12" ht="15" thickBot="1"/>
    <row r="166" spans="3:12" ht="21">
      <c r="C166" s="1280" t="s">
        <v>204</v>
      </c>
      <c r="D166" s="95">
        <v>147</v>
      </c>
      <c r="E166" s="95">
        <v>133</v>
      </c>
      <c r="F166" s="95">
        <v>95</v>
      </c>
      <c r="G166" s="95">
        <v>83</v>
      </c>
      <c r="H166" s="94">
        <v>78</v>
      </c>
      <c r="L166" s="137" t="s">
        <v>203</v>
      </c>
    </row>
    <row r="167" spans="3:12">
      <c r="C167" s="1281"/>
      <c r="D167">
        <v>550</v>
      </c>
      <c r="E167">
        <v>479</v>
      </c>
      <c r="F167">
        <v>340</v>
      </c>
      <c r="G167">
        <v>299</v>
      </c>
      <c r="H167" s="76">
        <v>281</v>
      </c>
    </row>
    <row r="168" spans="3:12">
      <c r="C168" s="1281" t="s">
        <v>202</v>
      </c>
      <c r="D168" s="136">
        <v>127</v>
      </c>
      <c r="E168" s="136">
        <v>123</v>
      </c>
      <c r="F168" s="136">
        <v>96</v>
      </c>
      <c r="G168" s="136">
        <v>90</v>
      </c>
      <c r="H168" s="135">
        <v>85</v>
      </c>
    </row>
    <row r="169" spans="3:12">
      <c r="C169" s="1282"/>
      <c r="D169" s="134">
        <v>460</v>
      </c>
      <c r="E169" s="134">
        <v>447</v>
      </c>
      <c r="F169" s="134">
        <v>348</v>
      </c>
      <c r="G169" s="134">
        <v>326</v>
      </c>
      <c r="H169" s="133">
        <v>309</v>
      </c>
    </row>
    <row r="170" spans="3:12">
      <c r="C170" s="132" t="s">
        <v>201</v>
      </c>
      <c r="D170" s="84">
        <v>0.27608695652173915</v>
      </c>
      <c r="E170" s="84">
        <v>0.27516778523489932</v>
      </c>
      <c r="F170" s="84">
        <v>0.27586206896551724</v>
      </c>
      <c r="G170" s="84">
        <v>0.27607361963190186</v>
      </c>
      <c r="H170" s="83">
        <v>0.27508090614886732</v>
      </c>
    </row>
    <row r="171" spans="3:12">
      <c r="C171" s="132" t="s">
        <v>200</v>
      </c>
      <c r="D171" s="84">
        <v>7.6690821256038655E-2</v>
      </c>
      <c r="E171" s="84">
        <v>7.6435495898583145E-2</v>
      </c>
      <c r="F171" s="84">
        <v>7.662835249042145E-2</v>
      </c>
      <c r="G171" s="84">
        <v>7.6687116564417179E-2</v>
      </c>
      <c r="H171" s="83">
        <v>7.6411362819129816E-2</v>
      </c>
    </row>
    <row r="172" spans="3:12" ht="15" thickBot="1">
      <c r="C172" s="131" t="s">
        <v>199</v>
      </c>
      <c r="D172" s="130">
        <v>76.69082125603866</v>
      </c>
      <c r="E172" s="130">
        <v>76.435495898583142</v>
      </c>
      <c r="F172" s="130">
        <v>76.628352490421449</v>
      </c>
      <c r="G172" s="130">
        <v>76.687116564417181</v>
      </c>
      <c r="H172" s="129">
        <v>76.41136281912982</v>
      </c>
    </row>
    <row r="174" spans="3:12" ht="18">
      <c r="C174" s="128" t="s">
        <v>198</v>
      </c>
      <c r="D174" s="128"/>
      <c r="E174" s="128"/>
      <c r="F174" s="128"/>
      <c r="G174" s="90"/>
      <c r="H174" s="90"/>
      <c r="I174" s="90"/>
    </row>
    <row r="175" spans="3:12">
      <c r="D175" t="s">
        <v>196</v>
      </c>
      <c r="E175">
        <v>14</v>
      </c>
      <c r="G175">
        <v>70</v>
      </c>
    </row>
    <row r="176" spans="3:12">
      <c r="C176" s="127">
        <v>0.25</v>
      </c>
      <c r="D176" s="125" t="s">
        <v>195</v>
      </c>
      <c r="E176">
        <v>10.5</v>
      </c>
      <c r="G176">
        <v>52.5</v>
      </c>
    </row>
    <row r="177" spans="4:12">
      <c r="D177" t="s">
        <v>194</v>
      </c>
      <c r="E177">
        <v>51</v>
      </c>
      <c r="F177">
        <v>42</v>
      </c>
      <c r="G177">
        <v>139</v>
      </c>
      <c r="H177">
        <v>125</v>
      </c>
      <c r="I177">
        <v>123</v>
      </c>
    </row>
    <row r="178" spans="4:12">
      <c r="D178" t="s">
        <v>193</v>
      </c>
      <c r="E178">
        <v>40.5</v>
      </c>
      <c r="F178">
        <v>31.5</v>
      </c>
      <c r="G178">
        <v>86.5</v>
      </c>
      <c r="H178">
        <v>72.5</v>
      </c>
      <c r="I178">
        <v>70.5</v>
      </c>
    </row>
    <row r="179" spans="4:12" ht="23.4">
      <c r="D179" t="s">
        <v>192</v>
      </c>
      <c r="E179">
        <v>9</v>
      </c>
      <c r="F179">
        <v>9</v>
      </c>
      <c r="G179">
        <v>50</v>
      </c>
      <c r="H179">
        <v>50</v>
      </c>
      <c r="I179">
        <v>50</v>
      </c>
      <c r="L179" s="126" t="s">
        <v>197</v>
      </c>
    </row>
    <row r="180" spans="4:12">
      <c r="D180" s="124" t="s">
        <v>191</v>
      </c>
      <c r="E180" s="124">
        <v>4.5</v>
      </c>
      <c r="F180" s="124">
        <v>3.5</v>
      </c>
      <c r="G180" s="124">
        <v>1.73</v>
      </c>
      <c r="H180" s="124">
        <v>1.45</v>
      </c>
      <c r="I180" s="124">
        <v>1.41</v>
      </c>
    </row>
    <row r="182" spans="4:12">
      <c r="D182" t="s">
        <v>196</v>
      </c>
      <c r="E182">
        <v>20</v>
      </c>
      <c r="G182">
        <v>90</v>
      </c>
    </row>
    <row r="183" spans="4:12">
      <c r="D183" s="125" t="s">
        <v>195</v>
      </c>
      <c r="E183">
        <v>15</v>
      </c>
      <c r="G183">
        <v>67.5</v>
      </c>
    </row>
    <row r="184" spans="4:12">
      <c r="D184" t="s">
        <v>194</v>
      </c>
      <c r="E184">
        <v>72</v>
      </c>
      <c r="F184">
        <v>45</v>
      </c>
      <c r="G184">
        <v>164</v>
      </c>
      <c r="H184">
        <v>150</v>
      </c>
      <c r="I184">
        <v>148</v>
      </c>
    </row>
    <row r="185" spans="4:12">
      <c r="D185" t="s">
        <v>193</v>
      </c>
      <c r="E185">
        <v>57</v>
      </c>
      <c r="F185">
        <v>30</v>
      </c>
      <c r="G185">
        <v>96.5</v>
      </c>
      <c r="H185">
        <v>82.5</v>
      </c>
      <c r="I185">
        <v>80.5</v>
      </c>
    </row>
    <row r="186" spans="4:12">
      <c r="D186" t="s">
        <v>192</v>
      </c>
      <c r="E186">
        <v>13</v>
      </c>
      <c r="F186">
        <v>13</v>
      </c>
      <c r="G186">
        <v>65</v>
      </c>
      <c r="H186">
        <v>65</v>
      </c>
      <c r="I186">
        <v>65</v>
      </c>
    </row>
    <row r="187" spans="4:12">
      <c r="D187" s="124" t="s">
        <v>191</v>
      </c>
      <c r="E187" s="124">
        <v>4.384615384615385</v>
      </c>
      <c r="F187" s="124">
        <v>2.3076923076923075</v>
      </c>
      <c r="G187" s="124">
        <v>1.4846153846153847</v>
      </c>
      <c r="H187" s="124">
        <v>1.2692307692307692</v>
      </c>
      <c r="I187" s="124">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E26" sqref="E26"/>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21" t="s">
        <v>300</v>
      </c>
      <c r="H1"/>
      <c r="I1"/>
      <c r="J1" s="158" t="s">
        <v>190</v>
      </c>
      <c r="K1" s="158">
        <v>7.45</v>
      </c>
    </row>
    <row r="2" spans="2:34" ht="18">
      <c r="B2" s="221"/>
      <c r="H2"/>
      <c r="I2"/>
      <c r="J2" s="158"/>
      <c r="K2" s="158"/>
    </row>
    <row r="3" spans="2:34">
      <c r="F3" s="8"/>
      <c r="H3" s="8" t="s">
        <v>0</v>
      </c>
    </row>
    <row r="4" spans="2:34" ht="14.4">
      <c r="B4" s="10" t="s">
        <v>2</v>
      </c>
      <c r="C4" s="11" t="s">
        <v>31</v>
      </c>
      <c r="D4" s="11" t="s">
        <v>32</v>
      </c>
      <c r="E4" s="11" t="s">
        <v>3</v>
      </c>
      <c r="F4" s="11" t="s">
        <v>33</v>
      </c>
      <c r="G4" s="11" t="s">
        <v>34</v>
      </c>
      <c r="H4" s="11" t="s">
        <v>158</v>
      </c>
      <c r="I4" s="11" t="s">
        <v>4</v>
      </c>
      <c r="J4" s="11" t="s">
        <v>36</v>
      </c>
      <c r="K4" s="11" t="s">
        <v>37</v>
      </c>
      <c r="L4" s="11" t="s">
        <v>5</v>
      </c>
      <c r="M4" s="11" t="s">
        <v>6</v>
      </c>
      <c r="N4" s="11" t="s">
        <v>7</v>
      </c>
      <c r="O4" s="11" t="s">
        <v>8</v>
      </c>
      <c r="P4" s="11" t="s">
        <v>38</v>
      </c>
      <c r="Q4" s="11" t="s">
        <v>9</v>
      </c>
      <c r="R4" s="220"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299</v>
      </c>
      <c r="O5" s="13" t="s">
        <v>298</v>
      </c>
      <c r="P5" s="13" t="s">
        <v>52</v>
      </c>
      <c r="Q5" s="13" t="s">
        <v>297</v>
      </c>
      <c r="R5" s="14" t="s">
        <v>54</v>
      </c>
      <c r="S5" s="13" t="s">
        <v>55</v>
      </c>
      <c r="T5" s="13" t="s">
        <v>56</v>
      </c>
      <c r="W5" s="219" t="s">
        <v>296</v>
      </c>
      <c r="X5" s="1283" t="s">
        <v>295</v>
      </c>
      <c r="Y5" s="1284"/>
      <c r="Z5" s="1284"/>
      <c r="AA5" s="1284"/>
      <c r="AB5" s="1284"/>
      <c r="AC5" s="1284"/>
      <c r="AD5" s="1284"/>
      <c r="AE5" s="1284"/>
      <c r="AF5" s="1284"/>
      <c r="AG5" s="1284"/>
      <c r="AH5" s="1285"/>
    </row>
    <row r="6" spans="2:34" ht="15" thickBot="1">
      <c r="B6" s="15" t="s">
        <v>42</v>
      </c>
      <c r="C6" s="15"/>
      <c r="D6" s="15"/>
      <c r="E6" s="15"/>
      <c r="F6" s="15"/>
      <c r="G6" s="15"/>
      <c r="H6" s="15"/>
      <c r="I6" s="15"/>
      <c r="J6" s="15" t="s">
        <v>294</v>
      </c>
      <c r="K6" s="15" t="s">
        <v>294</v>
      </c>
      <c r="L6" s="15" t="s">
        <v>62</v>
      </c>
      <c r="M6" s="15" t="s">
        <v>293</v>
      </c>
      <c r="N6" s="15" t="s">
        <v>292</v>
      </c>
      <c r="O6" s="15" t="s">
        <v>291</v>
      </c>
      <c r="P6" s="15" t="s">
        <v>66</v>
      </c>
      <c r="Q6" s="15"/>
      <c r="R6" s="16" t="s">
        <v>67</v>
      </c>
      <c r="S6" s="15"/>
      <c r="T6" s="15"/>
      <c r="W6" s="162"/>
      <c r="X6" s="162">
        <v>2015</v>
      </c>
      <c r="Y6" s="162">
        <v>2020</v>
      </c>
      <c r="Z6" s="162">
        <v>2030</v>
      </c>
      <c r="AA6" s="162">
        <v>2040</v>
      </c>
      <c r="AB6" s="162">
        <v>2050</v>
      </c>
      <c r="AC6" s="1286" t="s">
        <v>290</v>
      </c>
      <c r="AD6" s="1287"/>
      <c r="AE6" s="1286" t="s">
        <v>289</v>
      </c>
      <c r="AF6" s="1287"/>
      <c r="AG6" s="161" t="s">
        <v>288</v>
      </c>
      <c r="AH6" s="161" t="s">
        <v>287</v>
      </c>
    </row>
    <row r="7" spans="2:34" ht="14.4" customHeight="1">
      <c r="B7" s="19" t="s">
        <v>307</v>
      </c>
      <c r="C7" s="18" t="s">
        <v>286</v>
      </c>
      <c r="D7" s="19" t="s">
        <v>71</v>
      </c>
      <c r="E7" s="211" t="s">
        <v>268</v>
      </c>
      <c r="G7" s="19" t="s">
        <v>70</v>
      </c>
      <c r="H7" s="7">
        <v>2015</v>
      </c>
      <c r="I7" s="7">
        <v>2025</v>
      </c>
      <c r="J7" s="22">
        <v>1.7241379310344829</v>
      </c>
      <c r="L7" s="19">
        <v>20</v>
      </c>
      <c r="M7" s="22">
        <v>33.625074626865668</v>
      </c>
      <c r="N7" s="22">
        <v>0.39229253731343283</v>
      </c>
      <c r="O7" s="22">
        <v>12.972636815920399</v>
      </c>
      <c r="P7" s="20">
        <v>0.92153846153846153</v>
      </c>
      <c r="Q7" s="104">
        <v>3.1536000000000002E-2</v>
      </c>
      <c r="R7" s="210">
        <v>2</v>
      </c>
      <c r="T7" s="7" t="s">
        <v>267</v>
      </c>
      <c r="W7" s="190" t="s">
        <v>285</v>
      </c>
      <c r="X7" s="190"/>
      <c r="Y7" s="190"/>
      <c r="Z7" s="190"/>
      <c r="AA7" s="190"/>
      <c r="AB7" s="190"/>
      <c r="AC7" s="188" t="s">
        <v>284</v>
      </c>
      <c r="AD7" s="188" t="s">
        <v>283</v>
      </c>
      <c r="AE7" s="188" t="s">
        <v>284</v>
      </c>
      <c r="AF7" s="188" t="s">
        <v>283</v>
      </c>
      <c r="AG7" s="188"/>
      <c r="AH7" s="188"/>
    </row>
    <row r="8" spans="2:34">
      <c r="D8" s="7" t="s">
        <v>161</v>
      </c>
      <c r="J8" s="22">
        <v>68.159203980099505</v>
      </c>
      <c r="P8" s="203"/>
      <c r="W8" s="186" t="s">
        <v>282</v>
      </c>
      <c r="X8" s="185"/>
      <c r="Y8" s="185"/>
      <c r="Z8" s="185"/>
      <c r="AA8" s="185"/>
      <c r="AB8" s="185"/>
      <c r="AC8" s="185"/>
      <c r="AD8" s="185"/>
      <c r="AE8" s="185"/>
      <c r="AF8" s="185"/>
      <c r="AG8" s="183"/>
      <c r="AH8" s="182"/>
    </row>
    <row r="9" spans="2:34">
      <c r="F9" s="7" t="s">
        <v>216</v>
      </c>
      <c r="J9" s="22"/>
      <c r="K9" s="22">
        <v>0.43103448275862072</v>
      </c>
      <c r="P9" s="203"/>
      <c r="W9" s="180" t="s">
        <v>281</v>
      </c>
      <c r="X9" s="180">
        <v>5</v>
      </c>
      <c r="Y9" s="180">
        <v>50</v>
      </c>
      <c r="Z9" s="180">
        <v>100</v>
      </c>
      <c r="AA9" s="180">
        <v>125</v>
      </c>
      <c r="AB9" s="180">
        <v>150</v>
      </c>
      <c r="AC9" s="206">
        <v>0.5</v>
      </c>
      <c r="AD9" s="179">
        <v>1.5</v>
      </c>
      <c r="AE9" s="179">
        <v>0.5</v>
      </c>
      <c r="AF9" s="179">
        <v>1.5</v>
      </c>
      <c r="AG9" s="218" t="s">
        <v>280</v>
      </c>
      <c r="AH9" s="178" t="s">
        <v>279</v>
      </c>
    </row>
    <row r="10" spans="2:34" ht="15.6">
      <c r="C10" s="215" t="s">
        <v>286</v>
      </c>
      <c r="D10" s="177" t="s">
        <v>71</v>
      </c>
      <c r="E10" s="196" t="s">
        <v>268</v>
      </c>
      <c r="F10" s="177"/>
      <c r="G10" s="177" t="s">
        <v>70</v>
      </c>
      <c r="H10" s="177">
        <v>2020</v>
      </c>
      <c r="I10" s="177"/>
      <c r="J10" s="195">
        <v>1.7241379310344829</v>
      </c>
      <c r="K10" s="177"/>
      <c r="L10" s="177">
        <v>20</v>
      </c>
      <c r="M10" s="195">
        <v>33.625074626865668</v>
      </c>
      <c r="N10" s="195">
        <v>0.39229253731343283</v>
      </c>
      <c r="O10" s="195">
        <v>12.972636815920399</v>
      </c>
      <c r="P10" s="194">
        <v>0.92153846153846153</v>
      </c>
      <c r="Q10" s="142">
        <v>3.1536000000000002E-2</v>
      </c>
      <c r="R10" s="193">
        <v>2</v>
      </c>
      <c r="S10" s="177"/>
      <c r="T10" s="177"/>
      <c r="W10" s="190" t="s">
        <v>278</v>
      </c>
      <c r="X10" s="190">
        <v>3</v>
      </c>
      <c r="Y10" s="190">
        <v>33</v>
      </c>
      <c r="Z10" s="190">
        <v>65</v>
      </c>
      <c r="AA10" s="190">
        <v>83</v>
      </c>
      <c r="AB10" s="190">
        <v>100</v>
      </c>
      <c r="AC10" s="208">
        <v>0.5</v>
      </c>
      <c r="AD10" s="189">
        <v>1.5</v>
      </c>
      <c r="AE10" s="189">
        <v>0.5</v>
      </c>
      <c r="AF10" s="189">
        <v>1.5</v>
      </c>
      <c r="AG10" s="217" t="s">
        <v>277</v>
      </c>
      <c r="AH10" s="188" t="s">
        <v>276</v>
      </c>
    </row>
    <row r="11" spans="2:34">
      <c r="D11" s="7" t="s">
        <v>161</v>
      </c>
      <c r="J11" s="22">
        <v>68.159203980099505</v>
      </c>
      <c r="P11" s="203"/>
      <c r="W11" s="186" t="s">
        <v>275</v>
      </c>
      <c r="X11" s="185"/>
      <c r="Y11" s="185"/>
      <c r="Z11" s="185"/>
      <c r="AA11" s="185"/>
      <c r="AB11" s="185"/>
      <c r="AC11" s="185"/>
      <c r="AD11" s="185"/>
      <c r="AE11" s="185"/>
      <c r="AF11" s="185"/>
      <c r="AG11" s="183"/>
      <c r="AH11" s="182"/>
    </row>
    <row r="12" spans="2:34">
      <c r="F12" s="7" t="s">
        <v>216</v>
      </c>
      <c r="J12" s="22"/>
      <c r="K12" s="22">
        <v>0.43103448275862072</v>
      </c>
      <c r="P12" s="203"/>
      <c r="W12" s="180" t="s">
        <v>274</v>
      </c>
      <c r="X12" s="180">
        <v>1.37</v>
      </c>
      <c r="Y12" s="212">
        <v>1.37</v>
      </c>
      <c r="Z12" s="180">
        <v>1.37</v>
      </c>
      <c r="AA12" s="180">
        <v>1.37</v>
      </c>
      <c r="AB12" s="180">
        <v>1.37</v>
      </c>
      <c r="AC12" s="206">
        <v>1</v>
      </c>
      <c r="AD12" s="206">
        <v>1.1000000000000001</v>
      </c>
      <c r="AE12" s="206">
        <v>1</v>
      </c>
      <c r="AF12" s="206">
        <v>1.1000000000000001</v>
      </c>
      <c r="AG12" s="178"/>
      <c r="AH12" s="178">
        <v>5</v>
      </c>
    </row>
    <row r="13" spans="2:34" ht="15.6">
      <c r="C13" s="215" t="s">
        <v>286</v>
      </c>
      <c r="D13" s="177" t="s">
        <v>71</v>
      </c>
      <c r="E13" s="196" t="s">
        <v>268</v>
      </c>
      <c r="F13" s="177"/>
      <c r="G13" s="177" t="s">
        <v>70</v>
      </c>
      <c r="H13" s="177">
        <v>2030</v>
      </c>
      <c r="I13" s="177"/>
      <c r="J13" s="195">
        <v>1.639344262295082</v>
      </c>
      <c r="K13" s="177"/>
      <c r="L13" s="177">
        <v>25</v>
      </c>
      <c r="M13" s="195">
        <v>22.416716417910443</v>
      </c>
      <c r="N13" s="195">
        <v>0.39229253731343283</v>
      </c>
      <c r="O13" s="195">
        <v>12.972636815920399</v>
      </c>
      <c r="P13" s="194">
        <v>0.96150000000000002</v>
      </c>
      <c r="Q13" s="142">
        <v>3.1536000000000002E-2</v>
      </c>
      <c r="R13" s="193">
        <v>2</v>
      </c>
      <c r="S13" s="177"/>
      <c r="T13" s="177"/>
      <c r="W13" s="180"/>
      <c r="X13" s="180"/>
      <c r="Y13" s="212"/>
      <c r="Z13" s="180"/>
      <c r="AA13" s="180"/>
      <c r="AB13" s="180"/>
      <c r="AC13" s="206"/>
      <c r="AD13" s="206"/>
      <c r="AE13" s="206"/>
      <c r="AF13" s="206"/>
      <c r="AG13" s="178"/>
      <c r="AH13" s="178"/>
    </row>
    <row r="14" spans="2:34" ht="15.6">
      <c r="C14" s="21"/>
      <c r="D14" s="21" t="s">
        <v>161</v>
      </c>
      <c r="E14" s="21"/>
      <c r="F14" s="21"/>
      <c r="G14" s="21"/>
      <c r="H14" s="21"/>
      <c r="I14" s="21"/>
      <c r="J14" s="187">
        <v>68.159203980099505</v>
      </c>
      <c r="K14" s="21"/>
      <c r="L14" s="21"/>
      <c r="M14" s="21"/>
      <c r="N14" s="21"/>
      <c r="O14" s="21"/>
      <c r="P14" s="21"/>
      <c r="Q14" s="21"/>
      <c r="R14" s="21"/>
      <c r="S14" s="21"/>
      <c r="W14" s="180"/>
      <c r="X14" s="180"/>
      <c r="Y14" s="212"/>
      <c r="Z14" s="180"/>
      <c r="AA14" s="180"/>
      <c r="AB14" s="180"/>
      <c r="AC14" s="206"/>
      <c r="AD14" s="206"/>
      <c r="AE14" s="206"/>
      <c r="AF14" s="206"/>
      <c r="AG14" s="178"/>
      <c r="AH14" s="178"/>
    </row>
    <row r="15" spans="2:34">
      <c r="C15" s="31"/>
      <c r="D15" s="31"/>
      <c r="E15" s="31"/>
      <c r="F15" s="31" t="s">
        <v>216</v>
      </c>
      <c r="G15" s="31"/>
      <c r="H15" s="31"/>
      <c r="I15" s="31"/>
      <c r="J15" s="199"/>
      <c r="K15" s="199">
        <v>0.4098360655737705</v>
      </c>
      <c r="L15" s="31"/>
      <c r="M15" s="31"/>
      <c r="N15" s="31"/>
      <c r="O15" s="31"/>
      <c r="P15" s="31"/>
      <c r="Q15" s="31"/>
      <c r="R15" s="31"/>
      <c r="S15" s="31"/>
      <c r="W15" s="180"/>
      <c r="X15" s="180"/>
      <c r="Y15" s="212"/>
      <c r="Z15" s="180"/>
      <c r="AA15" s="180"/>
      <c r="AB15" s="180"/>
      <c r="AC15" s="206"/>
      <c r="AD15" s="206"/>
      <c r="AE15" s="206"/>
      <c r="AF15" s="206"/>
      <c r="AG15" s="178"/>
      <c r="AH15" s="178"/>
    </row>
    <row r="16" spans="2:34" ht="15.6">
      <c r="C16" s="215" t="s">
        <v>286</v>
      </c>
      <c r="D16" s="177" t="s">
        <v>71</v>
      </c>
      <c r="E16" s="196" t="s">
        <v>268</v>
      </c>
      <c r="F16" s="177"/>
      <c r="G16" s="177" t="s">
        <v>70</v>
      </c>
      <c r="H16" s="177">
        <v>2040</v>
      </c>
      <c r="I16" s="177"/>
      <c r="J16" s="195">
        <v>1.5873015873015872</v>
      </c>
      <c r="K16" s="177"/>
      <c r="L16" s="177">
        <v>25</v>
      </c>
      <c r="M16" s="195">
        <v>16.812537313432838</v>
      </c>
      <c r="N16" s="195">
        <v>0.39229253731343283</v>
      </c>
      <c r="O16" s="195">
        <v>12.972636815920399</v>
      </c>
      <c r="P16" s="194">
        <v>0.96150000000000002</v>
      </c>
      <c r="Q16" s="142">
        <v>3.1536000000000002E-2</v>
      </c>
      <c r="R16" s="193">
        <v>2</v>
      </c>
      <c r="S16" s="177"/>
      <c r="T16" s="177"/>
      <c r="W16" s="180"/>
      <c r="X16" s="180"/>
      <c r="Y16" s="212"/>
      <c r="Z16" s="180"/>
      <c r="AA16" s="180"/>
      <c r="AB16" s="180"/>
      <c r="AC16" s="206"/>
      <c r="AD16" s="206"/>
      <c r="AE16" s="206"/>
      <c r="AF16" s="206"/>
      <c r="AG16" s="178"/>
      <c r="AH16" s="178"/>
    </row>
    <row r="17" spans="2:34" ht="15.6">
      <c r="C17" s="21"/>
      <c r="D17" s="21" t="s">
        <v>161</v>
      </c>
      <c r="E17" s="21"/>
      <c r="F17" s="21"/>
      <c r="G17" s="21"/>
      <c r="H17" s="21"/>
      <c r="I17" s="21"/>
      <c r="J17" s="187">
        <v>68.159203980099505</v>
      </c>
      <c r="K17" s="21"/>
      <c r="L17" s="21"/>
      <c r="M17" s="21"/>
      <c r="N17" s="21"/>
      <c r="O17" s="21"/>
      <c r="P17" s="21"/>
      <c r="Q17" s="21"/>
      <c r="R17" s="21"/>
      <c r="S17" s="21"/>
      <c r="W17" s="180"/>
      <c r="X17" s="180"/>
      <c r="Y17" s="212"/>
      <c r="Z17" s="180"/>
      <c r="AA17" s="180"/>
      <c r="AB17" s="180"/>
      <c r="AC17" s="206"/>
      <c r="AD17" s="206"/>
      <c r="AE17" s="206"/>
      <c r="AF17" s="206"/>
      <c r="AG17" s="178"/>
      <c r="AH17" s="178"/>
    </row>
    <row r="18" spans="2:34">
      <c r="C18" s="31"/>
      <c r="D18" s="31"/>
      <c r="E18" s="31"/>
      <c r="F18" s="31" t="s">
        <v>216</v>
      </c>
      <c r="G18" s="31"/>
      <c r="H18" s="31"/>
      <c r="I18" s="31"/>
      <c r="J18" s="199"/>
      <c r="K18" s="199">
        <v>0.3968253968253968</v>
      </c>
      <c r="L18" s="31"/>
      <c r="M18" s="31"/>
      <c r="N18" s="31"/>
      <c r="O18" s="31"/>
      <c r="P18" s="31"/>
      <c r="Q18" s="31"/>
      <c r="R18" s="31"/>
      <c r="S18" s="31"/>
      <c r="W18" s="162" t="s">
        <v>273</v>
      </c>
      <c r="X18" s="162">
        <v>0.192</v>
      </c>
      <c r="Y18" s="216">
        <v>0.192</v>
      </c>
      <c r="Z18" s="162">
        <v>0.192</v>
      </c>
      <c r="AA18" s="162">
        <v>0.192</v>
      </c>
      <c r="AB18" s="162">
        <v>0.192</v>
      </c>
      <c r="AC18" s="205">
        <v>1</v>
      </c>
      <c r="AD18" s="205">
        <v>1.1000000000000001</v>
      </c>
      <c r="AE18" s="205">
        <v>1</v>
      </c>
      <c r="AF18" s="205">
        <v>1.1000000000000001</v>
      </c>
      <c r="AG18" s="161"/>
      <c r="AH18" s="161">
        <v>5</v>
      </c>
    </row>
    <row r="19" spans="2:34" ht="15.6">
      <c r="C19" s="215" t="s">
        <v>286</v>
      </c>
      <c r="D19" s="177" t="s">
        <v>71</v>
      </c>
      <c r="E19" s="196" t="s">
        <v>268</v>
      </c>
      <c r="F19" s="177"/>
      <c r="G19" s="177" t="s">
        <v>70</v>
      </c>
      <c r="H19" s="177">
        <v>2050</v>
      </c>
      <c r="I19" s="177"/>
      <c r="J19" s="195">
        <v>1.5384615384615383</v>
      </c>
      <c r="K19" s="177"/>
      <c r="L19" s="177">
        <v>25</v>
      </c>
      <c r="M19" s="195">
        <v>11.208358208955223</v>
      </c>
      <c r="N19" s="195">
        <v>0.39229253731343283</v>
      </c>
      <c r="O19" s="195">
        <v>12.972636815920399</v>
      </c>
      <c r="P19" s="194">
        <v>0.96150000000000002</v>
      </c>
      <c r="Q19" s="142">
        <v>3.1536000000000002E-2</v>
      </c>
      <c r="R19" s="193">
        <v>2</v>
      </c>
      <c r="S19" s="177"/>
      <c r="T19" s="177"/>
      <c r="W19" s="190" t="s">
        <v>104</v>
      </c>
      <c r="X19" s="190">
        <v>1</v>
      </c>
      <c r="Y19" s="209">
        <v>1</v>
      </c>
      <c r="Z19" s="190">
        <v>1</v>
      </c>
      <c r="AA19" s="190">
        <v>1</v>
      </c>
      <c r="AB19" s="190">
        <v>1</v>
      </c>
      <c r="AC19" s="208">
        <v>0.9</v>
      </c>
      <c r="AD19" s="208">
        <v>1.2</v>
      </c>
      <c r="AE19" s="208">
        <v>0.95</v>
      </c>
      <c r="AF19" s="208">
        <v>1.1000000000000001</v>
      </c>
      <c r="AG19" s="188" t="s">
        <v>272</v>
      </c>
      <c r="AH19" s="188" t="s">
        <v>265</v>
      </c>
    </row>
    <row r="20" spans="2:34" ht="15.6">
      <c r="C20" s="21"/>
      <c r="D20" s="21" t="s">
        <v>161</v>
      </c>
      <c r="E20" s="21"/>
      <c r="F20" s="21"/>
      <c r="G20" s="21"/>
      <c r="H20" s="21"/>
      <c r="I20" s="21"/>
      <c r="J20" s="187">
        <v>68.159203980099505</v>
      </c>
      <c r="K20" s="21"/>
      <c r="L20" s="21"/>
      <c r="M20" s="21"/>
      <c r="N20" s="21"/>
      <c r="O20" s="21"/>
      <c r="P20" s="21"/>
      <c r="Q20" s="21"/>
      <c r="R20" s="21"/>
      <c r="S20" s="21"/>
      <c r="W20" s="186" t="s">
        <v>271</v>
      </c>
      <c r="X20" s="185"/>
      <c r="Y20" s="214"/>
      <c r="Z20" s="185"/>
      <c r="AA20" s="185"/>
      <c r="AB20" s="185"/>
      <c r="AC20" s="213"/>
      <c r="AD20" s="213"/>
      <c r="AE20" s="213"/>
      <c r="AF20" s="213"/>
      <c r="AG20" s="183"/>
      <c r="AH20" s="182"/>
    </row>
    <row r="21" spans="2:34" ht="14.4" thickBot="1">
      <c r="B21" s="28"/>
      <c r="C21" s="28"/>
      <c r="D21" s="28"/>
      <c r="E21" s="28"/>
      <c r="F21" s="28" t="s">
        <v>216</v>
      </c>
      <c r="G21" s="28"/>
      <c r="H21" s="28"/>
      <c r="I21" s="28"/>
      <c r="J21" s="29"/>
      <c r="K21" s="29">
        <v>0.38461538461538458</v>
      </c>
      <c r="L21" s="28"/>
      <c r="M21" s="28"/>
      <c r="N21" s="28"/>
      <c r="O21" s="28"/>
      <c r="P21" s="28"/>
      <c r="Q21" s="28"/>
      <c r="R21" s="28"/>
      <c r="S21" s="28"/>
      <c r="T21" s="28"/>
      <c r="W21" s="180" t="s">
        <v>270</v>
      </c>
      <c r="X21" s="180">
        <v>0.57999999999999996</v>
      </c>
      <c r="Y21" s="212">
        <v>0.57999999999999996</v>
      </c>
      <c r="Z21" s="180">
        <v>0.61</v>
      </c>
      <c r="AA21" s="180">
        <v>0.63</v>
      </c>
      <c r="AB21" s="180">
        <v>0.65</v>
      </c>
      <c r="AC21" s="206">
        <v>1</v>
      </c>
      <c r="AD21" s="206">
        <v>1.33</v>
      </c>
      <c r="AE21" s="206">
        <v>1</v>
      </c>
      <c r="AF21" s="206">
        <v>1.33</v>
      </c>
      <c r="AG21" s="178" t="s">
        <v>269</v>
      </c>
      <c r="AH21" s="178" t="s">
        <v>265</v>
      </c>
    </row>
    <row r="22" spans="2:34">
      <c r="B22" s="19" t="s">
        <v>308</v>
      </c>
      <c r="C22" s="7" t="s">
        <v>261</v>
      </c>
      <c r="D22" s="19" t="s">
        <v>71</v>
      </c>
      <c r="E22" s="211" t="s">
        <v>268</v>
      </c>
      <c r="G22" s="19" t="s">
        <v>70</v>
      </c>
      <c r="H22" s="7">
        <v>2015</v>
      </c>
      <c r="I22" s="7">
        <v>2025</v>
      </c>
      <c r="J22" s="22">
        <v>1.7241379310344829</v>
      </c>
      <c r="L22" s="19">
        <v>20</v>
      </c>
      <c r="M22" s="22">
        <v>33.625074626865668</v>
      </c>
      <c r="N22" s="22">
        <v>0.39229253731343283</v>
      </c>
      <c r="O22" s="22">
        <v>12.972636815920399</v>
      </c>
      <c r="P22" s="20">
        <v>0.92153846153846153</v>
      </c>
      <c r="Q22" s="104">
        <v>3.1536000000000002E-2</v>
      </c>
      <c r="R22" s="210">
        <v>2</v>
      </c>
      <c r="T22" s="7" t="s">
        <v>267</v>
      </c>
      <c r="W22" s="190" t="s">
        <v>109</v>
      </c>
      <c r="X22" s="190">
        <v>0.25</v>
      </c>
      <c r="Y22" s="209">
        <v>0.25</v>
      </c>
      <c r="Z22" s="190">
        <v>0.25</v>
      </c>
      <c r="AA22" s="190">
        <v>0.25</v>
      </c>
      <c r="AB22" s="190">
        <v>0.25</v>
      </c>
      <c r="AC22" s="208">
        <v>0</v>
      </c>
      <c r="AD22" s="208">
        <v>1</v>
      </c>
      <c r="AE22" s="208">
        <v>0</v>
      </c>
      <c r="AF22" s="208">
        <v>1</v>
      </c>
      <c r="AG22" s="188" t="s">
        <v>266</v>
      </c>
      <c r="AH22" s="188" t="s">
        <v>265</v>
      </c>
    </row>
    <row r="23" spans="2:34">
      <c r="D23" s="7" t="s">
        <v>161</v>
      </c>
      <c r="J23" s="22">
        <v>68.159203980099505</v>
      </c>
      <c r="P23" s="203"/>
      <c r="W23" s="207"/>
      <c r="X23" s="185"/>
      <c r="Y23" s="185"/>
      <c r="Z23" s="185"/>
      <c r="AA23" s="185"/>
      <c r="AB23" s="185"/>
      <c r="AC23" s="185"/>
      <c r="AD23" s="185"/>
      <c r="AE23" s="185"/>
      <c r="AF23" s="185"/>
      <c r="AG23" s="183"/>
      <c r="AH23" s="182"/>
    </row>
    <row r="24" spans="2:34">
      <c r="F24" s="7" t="s">
        <v>259</v>
      </c>
      <c r="J24" s="22"/>
      <c r="K24" s="22">
        <v>0.43103448275862072</v>
      </c>
      <c r="P24" s="203"/>
      <c r="W24" s="180" t="s">
        <v>59</v>
      </c>
      <c r="X24" s="180">
        <v>4</v>
      </c>
      <c r="Y24" s="180">
        <v>4</v>
      </c>
      <c r="Z24" s="180">
        <v>0</v>
      </c>
      <c r="AA24" s="180">
        <v>0</v>
      </c>
      <c r="AB24" s="180">
        <v>0</v>
      </c>
      <c r="AC24" s="206"/>
      <c r="AD24" s="206"/>
      <c r="AE24" s="206"/>
      <c r="AF24" s="206"/>
      <c r="AG24" s="178"/>
      <c r="AH24" s="178"/>
    </row>
    <row r="25" spans="2:34">
      <c r="C25" s="177" t="s">
        <v>261</v>
      </c>
      <c r="D25" s="177" t="s">
        <v>71</v>
      </c>
      <c r="E25" s="196" t="s">
        <v>268</v>
      </c>
      <c r="F25" s="177"/>
      <c r="G25" s="177" t="s">
        <v>70</v>
      </c>
      <c r="H25" s="177">
        <v>2020</v>
      </c>
      <c r="I25" s="177"/>
      <c r="J25" s="195">
        <v>1.7241379310344829</v>
      </c>
      <c r="K25" s="177"/>
      <c r="L25" s="177">
        <v>20</v>
      </c>
      <c r="M25" s="195">
        <v>33.625074626865668</v>
      </c>
      <c r="N25" s="195">
        <v>0.39229253731343283</v>
      </c>
      <c r="O25" s="195">
        <v>12.972636815920399</v>
      </c>
      <c r="P25" s="194">
        <v>0.92153846153846153</v>
      </c>
      <c r="Q25" s="142">
        <v>3.1536000000000002E-2</v>
      </c>
      <c r="R25" s="193">
        <v>2</v>
      </c>
      <c r="W25" s="162" t="s">
        <v>92</v>
      </c>
      <c r="X25" s="162">
        <v>2</v>
      </c>
      <c r="Y25" s="162">
        <v>2</v>
      </c>
      <c r="Z25" s="162">
        <v>2</v>
      </c>
      <c r="AA25" s="162">
        <v>2</v>
      </c>
      <c r="AB25" s="162">
        <v>2</v>
      </c>
      <c r="AC25" s="205"/>
      <c r="AD25" s="205"/>
      <c r="AE25" s="205"/>
      <c r="AF25" s="205"/>
      <c r="AG25" s="161"/>
      <c r="AH25" s="161"/>
    </row>
    <row r="26" spans="2:34">
      <c r="D26" s="7" t="s">
        <v>161</v>
      </c>
      <c r="J26" s="22">
        <v>68.159203980099505</v>
      </c>
      <c r="P26" s="203"/>
      <c r="W26" s="162" t="s">
        <v>58</v>
      </c>
      <c r="X26" s="162">
        <v>25</v>
      </c>
      <c r="Y26" s="204">
        <v>20</v>
      </c>
      <c r="Z26" s="162">
        <v>20</v>
      </c>
      <c r="AA26" s="162">
        <v>20</v>
      </c>
      <c r="AB26" s="162">
        <v>20</v>
      </c>
      <c r="AC26" s="162"/>
      <c r="AD26" s="162"/>
      <c r="AE26" s="162"/>
      <c r="AF26" s="162"/>
      <c r="AG26" s="161"/>
      <c r="AH26" s="161"/>
    </row>
    <row r="27" spans="2:34">
      <c r="F27" s="7" t="s">
        <v>259</v>
      </c>
      <c r="J27" s="22"/>
      <c r="K27" s="22">
        <v>0.43103448275862072</v>
      </c>
      <c r="P27" s="203"/>
      <c r="W27" s="190" t="s">
        <v>60</v>
      </c>
      <c r="X27" s="190">
        <v>2</v>
      </c>
      <c r="Y27" s="191">
        <v>2</v>
      </c>
      <c r="Z27" s="190">
        <v>2</v>
      </c>
      <c r="AA27" s="190">
        <v>2</v>
      </c>
      <c r="AB27" s="190">
        <v>2</v>
      </c>
      <c r="AC27" s="190"/>
      <c r="AD27" s="190"/>
      <c r="AE27" s="190"/>
      <c r="AF27" s="190"/>
      <c r="AG27" s="188"/>
      <c r="AH27" s="188"/>
    </row>
    <row r="28" spans="2:34">
      <c r="C28" s="177" t="s">
        <v>261</v>
      </c>
      <c r="D28" s="177" t="s">
        <v>71</v>
      </c>
      <c r="E28" s="196" t="s">
        <v>268</v>
      </c>
      <c r="F28" s="177"/>
      <c r="G28" s="177" t="s">
        <v>70</v>
      </c>
      <c r="H28" s="177">
        <v>2030</v>
      </c>
      <c r="I28" s="177"/>
      <c r="J28" s="195">
        <v>1.639344262295082</v>
      </c>
      <c r="K28" s="177"/>
      <c r="L28" s="177">
        <v>25</v>
      </c>
      <c r="M28" s="195">
        <v>22.416716417910443</v>
      </c>
      <c r="N28" s="195">
        <v>0.39229253731343283</v>
      </c>
      <c r="O28" s="195">
        <v>12.972636815920399</v>
      </c>
      <c r="P28" s="194">
        <v>0.96150000000000002</v>
      </c>
      <c r="Q28" s="142">
        <v>3.1536000000000002E-2</v>
      </c>
      <c r="R28" s="193">
        <v>2</v>
      </c>
      <c r="W28" s="186" t="s">
        <v>264</v>
      </c>
      <c r="X28" s="185"/>
      <c r="Y28" s="185"/>
      <c r="Z28" s="185"/>
      <c r="AA28" s="185"/>
      <c r="AB28" s="185"/>
      <c r="AC28" s="185"/>
      <c r="AD28" s="185"/>
      <c r="AE28" s="185"/>
      <c r="AF28" s="185"/>
      <c r="AG28" s="183"/>
      <c r="AH28" s="182"/>
    </row>
    <row r="29" spans="2:34" ht="15.6">
      <c r="D29" s="21" t="s">
        <v>161</v>
      </c>
      <c r="E29" s="21"/>
      <c r="G29" s="21"/>
      <c r="H29" s="21"/>
      <c r="I29" s="21"/>
      <c r="J29" s="187">
        <v>68.159203980099505</v>
      </c>
      <c r="K29" s="21"/>
      <c r="L29" s="21"/>
      <c r="M29" s="21"/>
      <c r="N29" s="21"/>
      <c r="O29" s="21"/>
      <c r="P29" s="21"/>
      <c r="Q29" s="21"/>
      <c r="R29" s="21"/>
      <c r="W29" s="180" t="s">
        <v>263</v>
      </c>
      <c r="X29" s="201">
        <v>4.5134328358208959</v>
      </c>
      <c r="Y29" s="202">
        <v>4.5134328358208951</v>
      </c>
      <c r="Z29" s="201">
        <v>3.0089552238805966</v>
      </c>
      <c r="AA29" s="201">
        <v>2.256716417910448</v>
      </c>
      <c r="AB29" s="201">
        <v>1.5044776119402985</v>
      </c>
      <c r="AC29" s="179">
        <v>0.5</v>
      </c>
      <c r="AD29" s="179">
        <v>1</v>
      </c>
      <c r="AE29" s="179">
        <v>0.8</v>
      </c>
      <c r="AF29" s="179">
        <v>1.2</v>
      </c>
      <c r="AG29" s="178" t="s">
        <v>255</v>
      </c>
      <c r="AH29" s="178" t="s">
        <v>254</v>
      </c>
    </row>
    <row r="30" spans="2:34">
      <c r="D30" s="31"/>
      <c r="E30" s="31"/>
      <c r="F30" s="7" t="s">
        <v>259</v>
      </c>
      <c r="G30" s="31"/>
      <c r="H30" s="31"/>
      <c r="I30" s="31"/>
      <c r="J30" s="199"/>
      <c r="K30" s="199">
        <v>0.4098360655737705</v>
      </c>
      <c r="L30" s="31"/>
      <c r="M30" s="31"/>
      <c r="N30" s="31"/>
      <c r="O30" s="31"/>
      <c r="P30" s="31"/>
      <c r="Q30" s="31"/>
      <c r="R30" s="31"/>
      <c r="W30" s="162" t="s">
        <v>252</v>
      </c>
      <c r="X30" s="163">
        <v>75</v>
      </c>
      <c r="Y30" s="163">
        <v>75</v>
      </c>
      <c r="Z30" s="163">
        <v>75</v>
      </c>
      <c r="AA30" s="163">
        <v>75</v>
      </c>
      <c r="AB30" s="163">
        <v>75</v>
      </c>
      <c r="AC30" s="167"/>
      <c r="AD30" s="167"/>
      <c r="AE30" s="167"/>
      <c r="AF30" s="167"/>
      <c r="AG30" s="161"/>
      <c r="AH30" s="161"/>
    </row>
    <row r="31" spans="2:34">
      <c r="C31" s="177" t="s">
        <v>261</v>
      </c>
      <c r="D31" s="177" t="s">
        <v>71</v>
      </c>
      <c r="E31" s="196" t="s">
        <v>268</v>
      </c>
      <c r="F31" s="177"/>
      <c r="G31" s="177" t="s">
        <v>70</v>
      </c>
      <c r="H31" s="177">
        <v>2040</v>
      </c>
      <c r="I31" s="177"/>
      <c r="J31" s="195">
        <v>1.5873015873015872</v>
      </c>
      <c r="K31" s="177"/>
      <c r="L31" s="177">
        <v>25</v>
      </c>
      <c r="M31" s="195">
        <v>16.812537313432838</v>
      </c>
      <c r="N31" s="195">
        <v>0.39229253731343283</v>
      </c>
      <c r="O31" s="195">
        <v>12.972636815920399</v>
      </c>
      <c r="P31" s="194">
        <v>0.96150000000000002</v>
      </c>
      <c r="Q31" s="142">
        <v>3.1536000000000002E-2</v>
      </c>
      <c r="R31" s="193">
        <v>2</v>
      </c>
      <c r="W31" s="162" t="s">
        <v>251</v>
      </c>
      <c r="X31" s="163">
        <v>25</v>
      </c>
      <c r="Y31" s="163">
        <v>25</v>
      </c>
      <c r="Z31" s="163">
        <v>25</v>
      </c>
      <c r="AA31" s="163">
        <v>25</v>
      </c>
      <c r="AB31" s="163">
        <v>25</v>
      </c>
      <c r="AC31" s="167"/>
      <c r="AD31" s="167"/>
      <c r="AE31" s="167"/>
      <c r="AF31" s="167"/>
      <c r="AG31" s="161"/>
      <c r="AH31" s="161"/>
    </row>
    <row r="32" spans="2:34" ht="15.6">
      <c r="D32" s="21" t="s">
        <v>161</v>
      </c>
      <c r="E32" s="21"/>
      <c r="G32" s="21"/>
      <c r="H32" s="21"/>
      <c r="I32" s="21"/>
      <c r="J32" s="187">
        <v>68.159203980099505</v>
      </c>
      <c r="K32" s="21"/>
      <c r="L32" s="21"/>
      <c r="M32" s="21"/>
      <c r="N32" s="21"/>
      <c r="O32" s="21"/>
      <c r="P32" s="21"/>
      <c r="Q32" s="21"/>
      <c r="R32" s="21"/>
      <c r="W32" s="162" t="s">
        <v>262</v>
      </c>
      <c r="X32" s="168">
        <v>5.2656716417910455E-2</v>
      </c>
      <c r="Y32" s="200">
        <v>5.2656716417910449E-2</v>
      </c>
      <c r="Z32" s="168">
        <v>5.2656716417910449E-2</v>
      </c>
      <c r="AA32" s="168">
        <v>5.2656716417910449E-2</v>
      </c>
      <c r="AB32" s="168">
        <v>5.2656716417910455E-2</v>
      </c>
      <c r="AC32" s="167">
        <v>0.9</v>
      </c>
      <c r="AD32" s="167">
        <v>1.1000000000000001</v>
      </c>
      <c r="AE32" s="167">
        <v>0.9</v>
      </c>
      <c r="AF32" s="167">
        <v>1.1000000000000001</v>
      </c>
      <c r="AG32" s="161" t="s">
        <v>243</v>
      </c>
      <c r="AH32" s="161">
        <v>1</v>
      </c>
    </row>
    <row r="33" spans="3:34">
      <c r="D33" s="31"/>
      <c r="E33" s="31"/>
      <c r="F33" s="7" t="s">
        <v>259</v>
      </c>
      <c r="G33" s="31"/>
      <c r="H33" s="31"/>
      <c r="I33" s="31"/>
      <c r="J33" s="199"/>
      <c r="K33" s="199">
        <v>0.3968253968253968</v>
      </c>
      <c r="L33" s="31"/>
      <c r="M33" s="31"/>
      <c r="N33" s="31"/>
      <c r="O33" s="31"/>
      <c r="P33" s="31"/>
      <c r="Q33" s="31"/>
      <c r="R33" s="31"/>
      <c r="W33" s="162" t="s">
        <v>247</v>
      </c>
      <c r="X33" s="197">
        <v>6.2686567164179117</v>
      </c>
      <c r="Y33" s="198">
        <v>6.2686567164179108</v>
      </c>
      <c r="Z33" s="197">
        <v>6.2686567164179108</v>
      </c>
      <c r="AA33" s="197">
        <v>6.2686567164179108</v>
      </c>
      <c r="AB33" s="197">
        <v>6.2686567164179117</v>
      </c>
      <c r="AC33" s="167">
        <v>0.9</v>
      </c>
      <c r="AD33" s="167">
        <v>1.1000000000000001</v>
      </c>
      <c r="AE33" s="167">
        <v>0.9</v>
      </c>
      <c r="AF33" s="167">
        <v>1.1000000000000001</v>
      </c>
      <c r="AG33" s="161" t="s">
        <v>243</v>
      </c>
      <c r="AH33" s="161">
        <v>1</v>
      </c>
    </row>
    <row r="34" spans="3:34">
      <c r="C34" s="177" t="s">
        <v>261</v>
      </c>
      <c r="D34" s="177" t="s">
        <v>71</v>
      </c>
      <c r="E34" s="196" t="s">
        <v>268</v>
      </c>
      <c r="F34" s="177"/>
      <c r="G34" s="177" t="s">
        <v>70</v>
      </c>
      <c r="H34" s="177">
        <v>2050</v>
      </c>
      <c r="I34" s="177"/>
      <c r="J34" s="195">
        <v>1.5384615384615401</v>
      </c>
      <c r="K34" s="177"/>
      <c r="L34" s="177">
        <v>25</v>
      </c>
      <c r="M34" s="195">
        <v>11.208358208955223</v>
      </c>
      <c r="N34" s="195">
        <v>0.39229253731343283</v>
      </c>
      <c r="O34" s="195">
        <v>12.972636815920399</v>
      </c>
      <c r="P34" s="194">
        <v>0.96150000000000002</v>
      </c>
      <c r="Q34" s="142">
        <v>3.1536000000000002E-2</v>
      </c>
      <c r="R34" s="193">
        <v>2</v>
      </c>
      <c r="W34" s="190" t="s">
        <v>240</v>
      </c>
      <c r="X34" s="192">
        <v>0</v>
      </c>
      <c r="Y34" s="191">
        <v>0</v>
      </c>
      <c r="Z34" s="190">
        <v>0</v>
      </c>
      <c r="AA34" s="190">
        <v>0</v>
      </c>
      <c r="AB34" s="190">
        <v>0</v>
      </c>
      <c r="AC34" s="189"/>
      <c r="AD34" s="189"/>
      <c r="AE34" s="189"/>
      <c r="AF34" s="189"/>
      <c r="AG34" s="188"/>
      <c r="AH34" s="188"/>
    </row>
    <row r="35" spans="3:34" ht="15.6">
      <c r="D35" s="7" t="s">
        <v>161</v>
      </c>
      <c r="G35" s="21"/>
      <c r="H35" s="21"/>
      <c r="I35" s="21"/>
      <c r="J35" s="187">
        <v>68.159203980099505</v>
      </c>
      <c r="K35" s="21"/>
      <c r="L35" s="21"/>
      <c r="M35" s="21"/>
      <c r="N35" s="21"/>
      <c r="O35" s="21"/>
      <c r="P35" s="21"/>
      <c r="Q35" s="21"/>
      <c r="R35" s="21"/>
      <c r="W35" s="186" t="s">
        <v>260</v>
      </c>
      <c r="X35" s="185"/>
      <c r="Y35" s="185"/>
      <c r="Z35" s="185"/>
      <c r="AA35" s="185"/>
      <c r="AB35" s="185"/>
      <c r="AC35" s="184"/>
      <c r="AD35" s="184"/>
      <c r="AE35" s="184"/>
      <c r="AF35" s="184"/>
      <c r="AG35" s="183"/>
      <c r="AH35" s="182"/>
    </row>
    <row r="36" spans="3:34">
      <c r="F36" s="7" t="s">
        <v>259</v>
      </c>
      <c r="K36" s="22">
        <v>0.38461538461538458</v>
      </c>
      <c r="W36" s="180" t="s">
        <v>258</v>
      </c>
      <c r="X36" s="180">
        <v>20.100000000000001</v>
      </c>
      <c r="Y36" s="181">
        <v>20.100000000000001</v>
      </c>
      <c r="Z36" s="180">
        <v>20.100000000000001</v>
      </c>
      <c r="AA36" s="180">
        <v>20.100000000000001</v>
      </c>
      <c r="AB36" s="180">
        <v>20.100000000000001</v>
      </c>
      <c r="AC36" s="179"/>
      <c r="AD36" s="179"/>
      <c r="AE36" s="179"/>
      <c r="AF36" s="179"/>
      <c r="AG36" s="178"/>
      <c r="AH36" s="178"/>
    </row>
    <row r="37" spans="3:34">
      <c r="C37" s="177"/>
      <c r="D37" s="177"/>
      <c r="E37" s="177"/>
      <c r="F37" s="177"/>
      <c r="G37" s="177"/>
      <c r="H37" s="177"/>
      <c r="I37" s="177"/>
      <c r="J37" s="177"/>
      <c r="K37" s="177"/>
      <c r="L37" s="177"/>
      <c r="M37" s="177"/>
      <c r="N37" s="177"/>
      <c r="O37" s="177"/>
      <c r="P37" s="177"/>
      <c r="Q37" s="177"/>
      <c r="R37" s="177"/>
      <c r="S37" s="177"/>
      <c r="T37" s="177"/>
      <c r="W37" s="162" t="s">
        <v>257</v>
      </c>
      <c r="X37" s="162">
        <v>0.79</v>
      </c>
      <c r="Y37" s="162">
        <v>0.79</v>
      </c>
      <c r="Z37" s="162">
        <v>0.79</v>
      </c>
      <c r="AA37" s="162">
        <v>0.79</v>
      </c>
      <c r="AB37" s="162">
        <v>0.79</v>
      </c>
      <c r="AC37" s="167"/>
      <c r="AD37" s="167"/>
      <c r="AE37" s="167"/>
      <c r="AF37" s="167"/>
      <c r="AG37" s="161"/>
      <c r="AH37" s="161"/>
    </row>
    <row r="38" spans="3:34">
      <c r="W38" s="162" t="s">
        <v>256</v>
      </c>
      <c r="X38" s="176">
        <v>3</v>
      </c>
      <c r="Y38" s="176">
        <v>3</v>
      </c>
      <c r="Z38" s="176">
        <v>2</v>
      </c>
      <c r="AA38" s="176">
        <v>1.5</v>
      </c>
      <c r="AB38" s="176">
        <v>1</v>
      </c>
      <c r="AC38" s="167">
        <v>0.5</v>
      </c>
      <c r="AD38" s="167">
        <v>1</v>
      </c>
      <c r="AE38" s="167">
        <v>0.8</v>
      </c>
      <c r="AF38" s="167">
        <v>1.2</v>
      </c>
      <c r="AG38" s="161" t="s">
        <v>255</v>
      </c>
      <c r="AH38" s="161" t="s">
        <v>254</v>
      </c>
    </row>
    <row r="39" spans="3:34" ht="20.399999999999999">
      <c r="M39" s="175" t="s">
        <v>253</v>
      </c>
      <c r="N39" s="174"/>
      <c r="O39" s="174"/>
      <c r="P39" s="174"/>
      <c r="Q39" s="174"/>
      <c r="W39" s="162" t="s">
        <v>252</v>
      </c>
      <c r="X39" s="163">
        <v>75</v>
      </c>
      <c r="Y39" s="163">
        <v>75</v>
      </c>
      <c r="Z39" s="163">
        <v>75</v>
      </c>
      <c r="AA39" s="163">
        <v>75</v>
      </c>
      <c r="AB39" s="163">
        <v>75</v>
      </c>
      <c r="AC39" s="167"/>
      <c r="AD39" s="167"/>
      <c r="AE39" s="167"/>
      <c r="AF39" s="167"/>
      <c r="AG39" s="161"/>
      <c r="AH39" s="161"/>
    </row>
    <row r="40" spans="3:34" ht="14.4" thickBot="1">
      <c r="J40" s="7">
        <v>355.41470728549035</v>
      </c>
      <c r="W40" s="162" t="s">
        <v>251</v>
      </c>
      <c r="X40" s="163">
        <v>25</v>
      </c>
      <c r="Y40" s="163">
        <v>25</v>
      </c>
      <c r="Z40" s="163">
        <v>25</v>
      </c>
      <c r="AA40" s="163">
        <v>25</v>
      </c>
      <c r="AB40" s="163">
        <v>25</v>
      </c>
      <c r="AC40" s="167"/>
      <c r="AD40" s="167"/>
      <c r="AE40" s="167"/>
      <c r="AF40" s="167"/>
      <c r="AG40" s="161"/>
      <c r="AH40" s="161"/>
    </row>
    <row r="41" spans="3:34">
      <c r="L41" s="173" t="s">
        <v>250</v>
      </c>
      <c r="M41" s="19" t="s">
        <v>249</v>
      </c>
      <c r="N41" s="172" t="s">
        <v>248</v>
      </c>
      <c r="R41" s="171" t="s">
        <v>247</v>
      </c>
      <c r="S41" s="170">
        <v>6.2686567164179108</v>
      </c>
      <c r="W41" s="162" t="s">
        <v>246</v>
      </c>
      <c r="X41" s="168">
        <v>3.5000000000000003E-2</v>
      </c>
      <c r="Y41" s="168">
        <v>3.5000000000000003E-2</v>
      </c>
      <c r="Z41" s="168">
        <v>3.5000000000000003E-2</v>
      </c>
      <c r="AA41" s="168">
        <v>3.5000000000000003E-2</v>
      </c>
      <c r="AB41" s="168">
        <v>3.5000000000000003E-2</v>
      </c>
      <c r="AC41" s="167">
        <v>0.9</v>
      </c>
      <c r="AD41" s="167">
        <v>1.1000000000000001</v>
      </c>
      <c r="AE41" s="167">
        <v>0.9</v>
      </c>
      <c r="AF41" s="167">
        <v>1.1000000000000001</v>
      </c>
      <c r="AG41" s="161" t="s">
        <v>243</v>
      </c>
      <c r="AH41" s="161">
        <v>1</v>
      </c>
    </row>
    <row r="42" spans="3:34">
      <c r="J42" s="7">
        <v>0.64999999999999936</v>
      </c>
      <c r="L42" s="166">
        <v>20.100000000000001</v>
      </c>
      <c r="M42" s="7">
        <v>1.37</v>
      </c>
      <c r="N42" s="169">
        <v>6.8159203980099503E-2</v>
      </c>
      <c r="R42" s="166" t="s">
        <v>245</v>
      </c>
      <c r="S42" s="165">
        <v>1.7412935323383085</v>
      </c>
      <c r="W42" s="162" t="s">
        <v>244</v>
      </c>
      <c r="X42" s="168">
        <v>3.5000000000000003E-2</v>
      </c>
      <c r="Y42" s="168">
        <v>3.5000000000000003E-2</v>
      </c>
      <c r="Z42" s="168">
        <v>3.5000000000000003E-2</v>
      </c>
      <c r="AA42" s="168">
        <v>3.5000000000000003E-2</v>
      </c>
      <c r="AB42" s="168">
        <v>3.5000000000000003E-2</v>
      </c>
      <c r="AC42" s="167">
        <v>0.9</v>
      </c>
      <c r="AD42" s="167">
        <v>1.1000000000000001</v>
      </c>
      <c r="AE42" s="167">
        <v>0.9</v>
      </c>
      <c r="AF42" s="167">
        <v>1.1000000000000001</v>
      </c>
      <c r="AG42" s="161" t="s">
        <v>243</v>
      </c>
      <c r="AH42" s="161">
        <v>1</v>
      </c>
    </row>
    <row r="43" spans="3:34" ht="14.4" thickBot="1">
      <c r="L43" s="166"/>
      <c r="N43" s="165" t="s">
        <v>242</v>
      </c>
      <c r="R43" s="160" t="s">
        <v>241</v>
      </c>
      <c r="S43" s="164">
        <v>1.7412935323383085</v>
      </c>
      <c r="W43" s="162" t="s">
        <v>240</v>
      </c>
      <c r="X43" s="163">
        <v>0</v>
      </c>
      <c r="Y43" s="162">
        <v>0</v>
      </c>
      <c r="Z43" s="162">
        <v>0</v>
      </c>
      <c r="AA43" s="162"/>
      <c r="AB43" s="162">
        <v>0</v>
      </c>
      <c r="AC43" s="162"/>
      <c r="AD43" s="162"/>
      <c r="AE43" s="162"/>
      <c r="AF43" s="162"/>
      <c r="AG43" s="161"/>
      <c r="AH43" s="161"/>
    </row>
    <row r="44" spans="3:34" ht="14.4" thickBot="1">
      <c r="L44" s="160"/>
      <c r="M44" s="28"/>
      <c r="N44" s="159">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W58"/>
  <sheetViews>
    <sheetView topLeftCell="J1" workbookViewId="0">
      <selection activeCell="D34" sqref="D34"/>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9.44140625"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3" ht="21">
      <c r="B2" s="137" t="s">
        <v>1754</v>
      </c>
    </row>
    <row r="5" spans="2:23">
      <c r="B5" s="7"/>
      <c r="C5" s="7"/>
      <c r="D5" s="7"/>
      <c r="E5" s="7"/>
      <c r="F5" s="8"/>
      <c r="G5" s="7"/>
      <c r="H5" s="9" t="s">
        <v>0</v>
      </c>
      <c r="I5" s="7"/>
      <c r="J5" s="7"/>
      <c r="K5" s="7"/>
      <c r="L5" s="7"/>
      <c r="M5" s="7"/>
      <c r="N5" s="7"/>
      <c r="O5" s="7"/>
      <c r="P5" s="7"/>
      <c r="Q5" s="7"/>
      <c r="R5" s="7"/>
      <c r="S5" s="7"/>
      <c r="T5" s="7"/>
      <c r="U5" s="7"/>
      <c r="V5" s="7"/>
      <c r="W5" s="8"/>
    </row>
    <row r="6" spans="2:23">
      <c r="B6" s="10" t="s">
        <v>2</v>
      </c>
      <c r="C6" s="11" t="s">
        <v>31</v>
      </c>
      <c r="D6" s="11" t="s">
        <v>32</v>
      </c>
      <c r="E6" s="11" t="s">
        <v>3</v>
      </c>
      <c r="F6" s="11" t="s">
        <v>33</v>
      </c>
      <c r="G6" s="11" t="s">
        <v>34</v>
      </c>
      <c r="H6" s="11" t="s">
        <v>35</v>
      </c>
      <c r="I6" s="11" t="s">
        <v>4</v>
      </c>
      <c r="J6" s="11" t="s">
        <v>36</v>
      </c>
      <c r="K6" s="11" t="s">
        <v>37</v>
      </c>
      <c r="L6" s="11" t="s">
        <v>5</v>
      </c>
      <c r="M6" s="11" t="s">
        <v>6</v>
      </c>
      <c r="N6" s="11" t="s">
        <v>7</v>
      </c>
      <c r="O6" s="11" t="s">
        <v>8</v>
      </c>
      <c r="P6" s="11" t="s">
        <v>38</v>
      </c>
      <c r="Q6" s="11" t="s">
        <v>9</v>
      </c>
      <c r="R6" s="12" t="s">
        <v>39</v>
      </c>
      <c r="S6" s="11" t="s">
        <v>40</v>
      </c>
      <c r="T6" s="11" t="s">
        <v>41</v>
      </c>
      <c r="U6" s="11" t="str">
        <f>"*"&amp;D6</f>
        <v>*Comm-IN</v>
      </c>
      <c r="V6" s="11" t="str">
        <f>"*"&amp;E6</f>
        <v>*Comm-OUT</v>
      </c>
      <c r="W6" s="11" t="str">
        <f>"*"&amp;F6</f>
        <v>*Comm-OUT-A</v>
      </c>
    </row>
    <row r="7" spans="2:23" ht="144.6" thickBot="1">
      <c r="B7" s="13" t="s">
        <v>42</v>
      </c>
      <c r="C7" s="13"/>
      <c r="D7" s="13" t="s">
        <v>43</v>
      </c>
      <c r="E7" s="13" t="s">
        <v>44</v>
      </c>
      <c r="F7" s="13" t="s">
        <v>45</v>
      </c>
      <c r="G7" s="13" t="s">
        <v>46</v>
      </c>
      <c r="H7" s="13"/>
      <c r="I7" s="13"/>
      <c r="J7" s="13" t="s">
        <v>47</v>
      </c>
      <c r="K7" s="13" t="s">
        <v>48</v>
      </c>
      <c r="L7" s="13" t="s">
        <v>49</v>
      </c>
      <c r="M7" s="13" t="s">
        <v>50</v>
      </c>
      <c r="N7" s="13" t="s">
        <v>51</v>
      </c>
      <c r="O7" s="13"/>
      <c r="P7" s="13" t="s">
        <v>52</v>
      </c>
      <c r="Q7" s="13" t="s">
        <v>53</v>
      </c>
      <c r="R7" s="14" t="s">
        <v>54</v>
      </c>
      <c r="S7" s="13" t="s">
        <v>55</v>
      </c>
      <c r="T7" s="13" t="s">
        <v>56</v>
      </c>
      <c r="U7" s="13"/>
      <c r="V7" s="13"/>
      <c r="W7" s="13"/>
    </row>
    <row r="8" spans="2:23" ht="15" hidden="1" thickBot="1">
      <c r="B8" s="13" t="s">
        <v>42</v>
      </c>
      <c r="C8" s="13"/>
      <c r="D8" s="13"/>
      <c r="E8" s="13"/>
      <c r="F8" s="13"/>
      <c r="G8" s="13"/>
      <c r="H8" s="13"/>
      <c r="I8" s="13"/>
      <c r="J8" s="13"/>
      <c r="K8" s="13"/>
      <c r="L8" s="13"/>
      <c r="M8" s="13"/>
      <c r="N8" s="13"/>
      <c r="O8" s="13"/>
      <c r="P8" s="13">
        <f>'95 Cellulosic ethanol'!B60</f>
        <v>0</v>
      </c>
      <c r="Q8" s="13"/>
      <c r="R8" s="14"/>
      <c r="S8" s="13"/>
      <c r="T8" s="13"/>
      <c r="U8" s="13"/>
      <c r="V8" s="13"/>
      <c r="W8" s="13"/>
    </row>
    <row r="9" spans="2:23" ht="42" hidden="1" thickBot="1">
      <c r="B9" s="13" t="s">
        <v>57</v>
      </c>
      <c r="C9" s="13"/>
      <c r="D9" s="13"/>
      <c r="E9" s="13"/>
      <c r="F9" s="13"/>
      <c r="G9" s="13"/>
      <c r="H9" s="13"/>
      <c r="I9" s="13"/>
      <c r="J9" s="13"/>
      <c r="K9" s="13"/>
      <c r="L9" s="13" t="s">
        <v>58</v>
      </c>
      <c r="M9" s="13" t="str">
        <f>LEFT('95 Cellulosic ethanol'!B64,27)</f>
        <v/>
      </c>
      <c r="N9" s="13" t="str">
        <f>LEFT('95 Cellulosic ethanol'!B67,17)</f>
        <v/>
      </c>
      <c r="O9" s="13" t="str">
        <f>LEFT('95 Cellulosic ethanol'!B68,19)</f>
        <v/>
      </c>
      <c r="P9" s="13" t="s">
        <v>59</v>
      </c>
      <c r="Q9" s="13"/>
      <c r="R9" s="13" t="s">
        <v>60</v>
      </c>
      <c r="S9" s="13"/>
      <c r="T9" s="13"/>
      <c r="U9" s="13"/>
      <c r="V9" s="13"/>
      <c r="W9" s="13"/>
    </row>
    <row r="10" spans="2:23" ht="15" thickBot="1">
      <c r="B10" s="15" t="s">
        <v>42</v>
      </c>
      <c r="C10" s="15"/>
      <c r="D10" s="15"/>
      <c r="E10" s="15"/>
      <c r="F10" s="15"/>
      <c r="G10" s="15"/>
      <c r="H10" s="15"/>
      <c r="I10" s="15"/>
      <c r="J10" s="15" t="s">
        <v>61</v>
      </c>
      <c r="K10" s="15" t="s">
        <v>61</v>
      </c>
      <c r="L10" s="15" t="s">
        <v>62</v>
      </c>
      <c r="M10" s="15" t="s">
        <v>63</v>
      </c>
      <c r="N10" s="15" t="s">
        <v>64</v>
      </c>
      <c r="O10" s="15" t="s">
        <v>65</v>
      </c>
      <c r="P10" s="15" t="s">
        <v>66</v>
      </c>
      <c r="Q10" s="15"/>
      <c r="R10" s="16" t="s">
        <v>67</v>
      </c>
      <c r="S10" s="15"/>
      <c r="T10" s="15"/>
      <c r="U10" s="15"/>
      <c r="V10" s="15"/>
      <c r="W10" s="15"/>
    </row>
    <row r="11" spans="2:23" ht="15.6">
      <c r="B11" s="17" t="str">
        <f>"SUP"&amp;E11&amp;RIGHT(D11,3)&amp;IF(RIGHT(C11,7)="Central","C1","D1")</f>
        <v>SUPMOECO2C1</v>
      </c>
      <c r="C11" s="32" t="str">
        <f>'98 Methanol from power'!D2&amp;" Central"</f>
        <v>Power to Methanol Central</v>
      </c>
      <c r="D11" s="17" t="s">
        <v>161</v>
      </c>
      <c r="E11" s="17" t="s">
        <v>268</v>
      </c>
      <c r="F11" s="17"/>
      <c r="G11" s="17" t="s">
        <v>70</v>
      </c>
      <c r="H11" s="17">
        <f>'93 1st generation ethanol'!$D$3</f>
        <v>2015</v>
      </c>
      <c r="I11" s="17"/>
      <c r="J11" s="33">
        <f>(INDEX('98 Methanol from power'!$D$4:$H$59,MATCH(SUP_DEA_ELECTRO!U11,'98 Methanol from power'!$B$4:$B$59,0),MATCH(SUP_DEA_ELECTRO!$H11,'98 Methanol from power'!$D$3:$H$3,0)))/INDEX('98 Methanol from power'!$D$4:$H$59,MATCH(SUP_DEA_ELECTRO!V11,'98 Methanol from power'!$B$4:$B$59,0),MATCH(SUP_DEA_ELECTRO!$H11,'98 Methanol from power'!$D$3:$H$3,0))*10</f>
        <v>23.620689655172416</v>
      </c>
      <c r="K11" s="33"/>
      <c r="L11" s="34">
        <f>INDEX('98 Methanol from power'!$D$4:$H$59,MATCH(SUP_Biofuels!M$8,'98 Methanol from power'!$B$4:$B$59,0),MATCH(SUP_DEA_ELECTRO!$H11,'98 Methanol from power'!$D$3:$H$3,0))</f>
        <v>25</v>
      </c>
      <c r="M11" s="35">
        <f>INDEX('98 Methanol from power'!$D$4:$H$59,MATCH(SUP_Biofuels!N$8,'98 Methanol from power'!$B$4:$B$59,0),MATCH(SUP_DEA_ELECTRO!$H11,'98 Methanol from power'!$D$3:$H$3,0))*7.45</f>
        <v>33.625074626865675</v>
      </c>
      <c r="N11" s="35">
        <f>INDEX('98 Methanol from power'!$D$4:$H$59,MATCH(SUP_Biofuels!O$8,'98 Methanol from power'!$B$4:$B$59,0),MATCH(SUP_DEA_ELECTRO!$H11,'98 Methanol from power'!$D$3:$H$3,0))*7.45</f>
        <v>0.39229253731343289</v>
      </c>
      <c r="O11" s="35">
        <f>INDEX('98 Methanol from power'!$D$4:$H$59,MATCH(SUP_Biofuels!P$8,'98 Methanol from power'!$B$4:$B$59,0),MATCH(SUP_DEA_ELECTRO!$H11,'98 Methanol from power'!$D$3:$H$3,0))*7.45/3.6</f>
        <v>12.972636815920399</v>
      </c>
      <c r="P11" s="33">
        <f>1-INDEX('98 Methanol from power'!$D$4:$H$59,MATCH(SUP_Biofuels!Q$7,'98 Methanol from power'!$B$4:$B$59,0),MATCH(SUP_DEA_ELECTRO!$H11,'98 Methanol from power'!$D$3:$H$3,0))/52-INDEX('98 Methanol from power'!$D$4:$H$59,MATCH(SUP_Biofuels!Q$8,'98 Methanol from power'!$B$4:$B$59,0),MATCH(SUP_DEA_ELECTRO!$H11,'98 Methanol from power'!$D$3:$H$3,0))/100</f>
        <v>0.92153846153846153</v>
      </c>
      <c r="Q11" s="36">
        <f>SUP_Biofuels!$R$39</f>
        <v>3.1536000000000002E-2</v>
      </c>
      <c r="R11" s="34">
        <f>INDEX('98 Methanol from power'!$D$4:$H$59,MATCH(SUP_Biofuels!S$8,'98 Methanol from power'!$B$4:$B$59,0),MATCH(SUP_DEA_ELECTRO!$H11,'98 Methanol from power'!$D$3:$H$3,0))</f>
        <v>2</v>
      </c>
      <c r="S11" s="37"/>
      <c r="T11" s="38" t="s">
        <v>74</v>
      </c>
      <c r="U11" s="17" t="str">
        <f>'98 Methanol from power'!B9</f>
        <v>CO2 Consumption, t/t Methanol</v>
      </c>
      <c r="V11" s="17" t="str">
        <f>'98 Methanol from power'!B13</f>
        <v>Methanol Output, MWh/MWh Input</v>
      </c>
      <c r="W11" s="17"/>
    </row>
    <row r="12" spans="2:23">
      <c r="B12" s="17"/>
      <c r="C12" s="17"/>
      <c r="D12" s="17" t="s">
        <v>1386</v>
      </c>
      <c r="E12" s="17"/>
      <c r="F12" s="17"/>
      <c r="G12" s="17"/>
      <c r="H12" s="17"/>
      <c r="I12" s="17"/>
      <c r="J12" s="33">
        <f>(INDEX('98 Methanol from power'!$D$4:$H$59,MATCH(SUP_DEA_ELECTRO!U12,'98 Methanol from power'!$B$4:$B$59,0),MATCH(SUP_DEA_ELECTRO!$H11,'98 Methanol from power'!$D$3:$H$3,0)))/INDEX('98 Methanol from power'!$D$4:$H$59,MATCH(SUP_DEA_ELECTRO!V11,'98 Methanol from power'!$B$4:$B$59,0),MATCH(SUP_DEA_ELECTRO!$H11,'98 Methanol from power'!$D$3:$H$3,0))</f>
        <v>0.33103448275862074</v>
      </c>
      <c r="K12" s="33"/>
      <c r="L12" s="39"/>
      <c r="M12" s="40"/>
      <c r="N12" s="40"/>
      <c r="O12" s="40"/>
      <c r="P12" s="41"/>
      <c r="Q12" s="42"/>
      <c r="R12" s="39"/>
      <c r="S12" s="43"/>
      <c r="T12" s="43"/>
      <c r="U12" s="17" t="str">
        <f>'98 Methanol from power'!B10</f>
        <v>Hydrogen Consumption, t/t Methanol</v>
      </c>
      <c r="V12" s="17"/>
      <c r="W12" s="17"/>
    </row>
    <row r="13" spans="2:23">
      <c r="B13" s="43"/>
      <c r="C13" s="43"/>
      <c r="D13" s="43" t="s">
        <v>71</v>
      </c>
      <c r="E13" s="43"/>
      <c r="F13" s="43"/>
      <c r="G13" s="43"/>
      <c r="H13" s="43"/>
      <c r="I13" s="43"/>
      <c r="J13" s="33">
        <f>(INDEX('98 Methanol from power'!$D$4:$H$59,MATCH(SUP_DEA_ELECTRO!U13,'98 Methanol from power'!$B$4:$B$59,0),MATCH(SUP_DEA_ELECTRO!$H11,'98 Methanol from power'!$D$3:$H$3,0)))/INDEX('98 Methanol from power'!$D$4:$H$59,MATCH(SUP_DEA_ELECTRO!V11,'98 Methanol from power'!$B$4:$B$59,0),MATCH(SUP_DEA_ELECTRO!$H11,'98 Methanol from power'!$D$3:$H$3,0))</f>
        <v>1.7241379310344829</v>
      </c>
      <c r="K13" s="43"/>
      <c r="L13" s="43"/>
      <c r="M13" s="43"/>
      <c r="N13" s="43"/>
      <c r="O13" s="40"/>
      <c r="P13" s="43"/>
      <c r="Q13" s="43"/>
      <c r="R13" s="43"/>
      <c r="S13" s="43"/>
      <c r="T13" s="43"/>
      <c r="U13" s="17" t="str">
        <f>'98 Methanol from power'!B11</f>
        <v>Electricity Consumption, MWh/MWh Total Inputs</v>
      </c>
      <c r="V13" s="43"/>
      <c r="W13" s="43"/>
    </row>
    <row r="14" spans="2:23" ht="15" thickBot="1">
      <c r="B14" s="43"/>
      <c r="C14" s="43"/>
      <c r="D14" s="43"/>
      <c r="E14" s="43"/>
      <c r="F14" s="43" t="s">
        <v>216</v>
      </c>
      <c r="G14" s="43"/>
      <c r="H14" s="43"/>
      <c r="I14" s="43"/>
      <c r="J14" s="43"/>
      <c r="K14" s="48">
        <f>INDEX('98 Methanol from power'!$D$4:$H$59,MATCH(SUP_DEA_ELECTRO!W14,'98 Methanol from power'!$B$4:$B$59,0),MATCH(SUP_DEA_ELECTRO!$H11,'98 Methanol from power'!$D$3:$H$3,0))*(SUM(J12:J13))</f>
        <v>0.51379310344827589</v>
      </c>
      <c r="L14" s="43"/>
      <c r="M14" s="43"/>
      <c r="N14" s="43"/>
      <c r="O14" s="40"/>
      <c r="P14" s="43"/>
      <c r="Q14" s="43"/>
      <c r="R14" s="43"/>
      <c r="S14" s="43"/>
      <c r="T14" s="43"/>
      <c r="U14" s="43"/>
      <c r="V14" s="43"/>
      <c r="W14" s="43" t="str">
        <f>'98 Methanol from power'!B14</f>
        <v>District Heating Output, MWh/MWh Total input</v>
      </c>
    </row>
    <row r="15" spans="2:23" ht="15.6">
      <c r="B15" s="17"/>
      <c r="C15" s="32"/>
      <c r="D15" s="17" t="str">
        <f>D11</f>
        <v>CCXCO2</v>
      </c>
      <c r="E15" s="17" t="str">
        <f>E11</f>
        <v>MOE</v>
      </c>
      <c r="F15" s="17"/>
      <c r="G15" s="17" t="s">
        <v>70</v>
      </c>
      <c r="H15" s="17">
        <v>2020</v>
      </c>
      <c r="I15" s="17"/>
      <c r="J15" s="33">
        <f>(INDEX('98 Methanol from power'!$D$4:$H$59,MATCH(SUP_DEA_ELECTRO!U15,'98 Methanol from power'!$B$4:$B$59,0),MATCH(SUP_DEA_ELECTRO!$H15,'98 Methanol from power'!$D$3:$H$3,0)))/INDEX('98 Methanol from power'!$D$4:$H$59,MATCH(SUP_DEA_ELECTRO!V15,'98 Methanol from power'!$B$4:$B$59,0),MATCH(SUP_DEA_ELECTRO!$H15,'98 Methanol from power'!$D$3:$H$3,0))*10</f>
        <v>23.620689655172416</v>
      </c>
      <c r="K15" s="33"/>
      <c r="L15" s="34">
        <f>INDEX('98 Methanol from power'!$D$4:$H$59,MATCH(SUP_Biofuels!M$8,'98 Methanol from power'!$B$4:$B$59,0),MATCH(SUP_DEA_ELECTRO!$H15,'98 Methanol from power'!$D$3:$H$3,0))</f>
        <v>20</v>
      </c>
      <c r="M15" s="35">
        <f>INDEX('98 Methanol from power'!$D$4:$H$59,MATCH(SUP_Biofuels!N$8,'98 Methanol from power'!$B$4:$B$59,0),MATCH(SUP_DEA_ELECTRO!$H15,'98 Methanol from power'!$D$3:$H$3,0))*7.45</f>
        <v>33.625074626865668</v>
      </c>
      <c r="N15" s="35">
        <f>INDEX('98 Methanol from power'!$D$4:$H$59,MATCH(SUP_Biofuels!O$8,'98 Methanol from power'!$B$4:$B$59,0),MATCH(SUP_DEA_ELECTRO!$H15,'98 Methanol from power'!$D$3:$H$3,0))*7.45</f>
        <v>0.39229253731343283</v>
      </c>
      <c r="O15" s="35">
        <f>INDEX('98 Methanol from power'!$D$4:$H$59,MATCH(SUP_Biofuels!P$8,'98 Methanol from power'!$B$4:$B$59,0),MATCH(SUP_DEA_ELECTRO!$H15,'98 Methanol from power'!$D$3:$H$3,0))*7.45/3.6</f>
        <v>12.972636815920398</v>
      </c>
      <c r="P15" s="33">
        <f>1-INDEX('98 Methanol from power'!$D$4:$H$59,MATCH(SUP_Biofuels!Q$7,'98 Methanol from power'!$B$4:$B$59,0),MATCH(SUP_DEA_ELECTRO!$H15,'98 Methanol from power'!$D$3:$H$3,0))/52-INDEX('98 Methanol from power'!$D$4:$H$59,MATCH(SUP_Biofuels!Q$8,'98 Methanol from power'!$B$4:$B$59,0),MATCH(SUP_DEA_ELECTRO!$H15,'98 Methanol from power'!$D$3:$H$3,0))/100</f>
        <v>0.92153846153846153</v>
      </c>
      <c r="Q15" s="36">
        <f>SUP_Biofuels!$R$39</f>
        <v>3.1536000000000002E-2</v>
      </c>
      <c r="R15" s="34">
        <f>INDEX('98 Methanol from power'!$D$4:$H$59,MATCH(SUP_Biofuels!S$8,'98 Methanol from power'!$B$4:$B$59,0),MATCH(SUP_DEA_ELECTRO!$H15,'98 Methanol from power'!$D$3:$H$3,0))</f>
        <v>2</v>
      </c>
      <c r="S15" s="44"/>
      <c r="T15" s="45"/>
      <c r="U15" s="17" t="str">
        <f>U11</f>
        <v>CO2 Consumption, t/t Methanol</v>
      </c>
      <c r="V15" s="17" t="str">
        <f>V11</f>
        <v>Methanol Output, MWh/MWh Input</v>
      </c>
      <c r="W15" s="17"/>
    </row>
    <row r="16" spans="2:23">
      <c r="B16" s="17"/>
      <c r="C16" s="17"/>
      <c r="D16" s="17" t="str">
        <f>D12</f>
        <v>SUPH2</v>
      </c>
      <c r="E16" s="17"/>
      <c r="F16" s="17"/>
      <c r="G16" s="17"/>
      <c r="H16" s="17"/>
      <c r="I16" s="17"/>
      <c r="J16" s="33">
        <f>(INDEX('98 Methanol from power'!$D$4:$H$59,MATCH(SUP_DEA_ELECTRO!U16,'98 Methanol from power'!$B$4:$B$59,0),MATCH(SUP_DEA_ELECTRO!$H15,'98 Methanol from power'!$D$3:$H$3,0)))/INDEX('98 Methanol from power'!$D$4:$H$59,MATCH(SUP_DEA_ELECTRO!V15,'98 Methanol from power'!$B$4:$B$59,0),MATCH(SUP_DEA_ELECTRO!$H15,'98 Methanol from power'!$D$3:$H$3,0))</f>
        <v>0.33103448275862074</v>
      </c>
      <c r="K16" s="33"/>
      <c r="L16" s="39"/>
      <c r="M16" s="40"/>
      <c r="N16" s="40"/>
      <c r="O16" s="40"/>
      <c r="P16" s="41"/>
      <c r="Q16" s="42"/>
      <c r="R16" s="39"/>
      <c r="S16" s="43"/>
      <c r="T16" s="43"/>
      <c r="U16" s="17" t="str">
        <f>U12</f>
        <v>Hydrogen Consumption, t/t Methanol</v>
      </c>
      <c r="V16" s="17"/>
      <c r="W16" s="17"/>
    </row>
    <row r="17" spans="2:23">
      <c r="B17" s="43"/>
      <c r="C17" s="43"/>
      <c r="D17" s="17" t="str">
        <f>D13</f>
        <v>SUPELC</v>
      </c>
      <c r="E17" s="43"/>
      <c r="F17" s="43"/>
      <c r="G17" s="43"/>
      <c r="H17" s="43"/>
      <c r="I17" s="43"/>
      <c r="J17" s="33">
        <f>(INDEX('98 Methanol from power'!$D$4:$H$59,MATCH(SUP_DEA_ELECTRO!U17,'98 Methanol from power'!$B$4:$B$59,0),MATCH(SUP_DEA_ELECTRO!$H15,'98 Methanol from power'!$D$3:$H$3,0)))/INDEX('98 Methanol from power'!$D$4:$H$59,MATCH(SUP_DEA_ELECTRO!V15,'98 Methanol from power'!$B$4:$B$59,0),MATCH(SUP_DEA_ELECTRO!$H15,'98 Methanol from power'!$D$3:$H$3,0))</f>
        <v>1.7241379310344829</v>
      </c>
      <c r="K17" s="43"/>
      <c r="L17" s="43"/>
      <c r="M17" s="43"/>
      <c r="N17" s="43"/>
      <c r="O17" s="40"/>
      <c r="P17" s="43"/>
      <c r="Q17" s="43"/>
      <c r="R17" s="43"/>
      <c r="S17" s="43"/>
      <c r="T17" s="43"/>
      <c r="U17" s="17" t="str">
        <f>U13</f>
        <v>Electricity Consumption, MWh/MWh Total Inputs</v>
      </c>
      <c r="V17" s="43"/>
      <c r="W17" s="43"/>
    </row>
    <row r="18" spans="2:23" ht="16.2" thickBot="1">
      <c r="B18" s="43"/>
      <c r="C18" s="32"/>
      <c r="D18" s="43"/>
      <c r="E18" s="43"/>
      <c r="F18" s="17" t="str">
        <f>F14</f>
        <v>HETC</v>
      </c>
      <c r="G18" s="43"/>
      <c r="H18" s="43"/>
      <c r="I18" s="43"/>
      <c r="J18" s="43"/>
      <c r="K18" s="48">
        <f>INDEX('98 Methanol from power'!$D$4:$H$59,MATCH(SUP_DEA_ELECTRO!W18,'98 Methanol from power'!$B$4:$B$59,0),MATCH(SUP_DEA_ELECTRO!$H15,'98 Methanol from power'!$D$3:$H$3,0))*(SUM(J16:J17))</f>
        <v>0.51379310344827589</v>
      </c>
      <c r="L18" s="43"/>
      <c r="M18" s="43"/>
      <c r="N18" s="43"/>
      <c r="O18" s="40"/>
      <c r="P18" s="43"/>
      <c r="Q18" s="43"/>
      <c r="R18" s="43"/>
      <c r="S18" s="43"/>
      <c r="T18" s="45"/>
      <c r="U18" s="43"/>
      <c r="V18" s="43"/>
      <c r="W18" s="17" t="str">
        <f>W14</f>
        <v>District Heating Output, MWh/MWh Total input</v>
      </c>
    </row>
    <row r="19" spans="2:23">
      <c r="B19" s="43"/>
      <c r="C19" s="17"/>
      <c r="D19" s="17" t="str">
        <f>D15</f>
        <v>CCXCO2</v>
      </c>
      <c r="E19" s="17" t="str">
        <f>E15</f>
        <v>MOE</v>
      </c>
      <c r="F19" s="17"/>
      <c r="G19" s="17" t="s">
        <v>70</v>
      </c>
      <c r="H19" s="17">
        <v>2030</v>
      </c>
      <c r="I19" s="17"/>
      <c r="J19" s="33">
        <f>(INDEX('98 Methanol from power'!$D$4:$H$59,MATCH(SUP_DEA_ELECTRO!U19,'98 Methanol from power'!$B$4:$B$59,0),MATCH(SUP_DEA_ELECTRO!$H19,'98 Methanol from power'!$D$3:$H$3,0)))/INDEX('98 Methanol from power'!$D$4:$H$59,MATCH(SUP_DEA_ELECTRO!V19,'98 Methanol from power'!$B$4:$B$59,0),MATCH(SUP_DEA_ELECTRO!$H19,'98 Methanol from power'!$D$3:$H$3,0))*10</f>
        <v>22.459016393442624</v>
      </c>
      <c r="K19" s="33"/>
      <c r="L19" s="34">
        <f>INDEX('98 Methanol from power'!$D$4:$H$59,MATCH(SUP_Biofuels!M$8,'98 Methanol from power'!$B$4:$B$59,0),MATCH(SUP_DEA_ELECTRO!$H19,'98 Methanol from power'!$D$3:$H$3,0))</f>
        <v>20</v>
      </c>
      <c r="M19" s="35">
        <f>INDEX('98 Methanol from power'!$D$4:$H$59,MATCH(SUP_Biofuels!N$8,'98 Methanol from power'!$B$4:$B$59,0),MATCH(SUP_DEA_ELECTRO!$H19,'98 Methanol from power'!$D$3:$H$3,0))*7.45</f>
        <v>22.416716417910443</v>
      </c>
      <c r="N19" s="35">
        <f>INDEX('98 Methanol from power'!$D$4:$H$59,MATCH(SUP_Biofuels!O$8,'98 Methanol from power'!$B$4:$B$59,0),MATCH(SUP_DEA_ELECTRO!$H19,'98 Methanol from power'!$D$3:$H$3,0))*7.45</f>
        <v>0.39229253731343283</v>
      </c>
      <c r="O19" s="35">
        <f>INDEX('98 Methanol from power'!$D$4:$H$59,MATCH(SUP_Biofuels!P$8,'98 Methanol from power'!$B$4:$B$59,0),MATCH(SUP_DEA_ELECTRO!$H19,'98 Methanol from power'!$D$3:$H$3,0))*7.45/3.6</f>
        <v>12.972636815920398</v>
      </c>
      <c r="P19" s="33">
        <f>1-INDEX('98 Methanol from power'!$D$4:$H$59,MATCH(SUP_Biofuels!Q$7,'98 Methanol from power'!$B$4:$B$59,0),MATCH(SUP_DEA_ELECTRO!$H19,'98 Methanol from power'!$D$3:$H$3,0))/52-INDEX('98 Methanol from power'!$D$4:$H$59,MATCH(SUP_Biofuels!Q$8,'98 Methanol from power'!$B$4:$B$59,0),MATCH(SUP_DEA_ELECTRO!$H19,'98 Methanol from power'!$D$3:$H$3,0))/100</f>
        <v>0.96153846153846156</v>
      </c>
      <c r="Q19" s="36">
        <f>SUP_Biofuels!$R$39</f>
        <v>3.1536000000000002E-2</v>
      </c>
      <c r="R19" s="34">
        <f>INDEX('98 Methanol from power'!$D$4:$H$59,MATCH(SUP_Biofuels!S$8,'98 Methanol from power'!$B$4:$B$59,0),MATCH(SUP_DEA_ELECTRO!$H19,'98 Methanol from power'!$D$3:$H$3,0))</f>
        <v>2</v>
      </c>
      <c r="S19" s="44"/>
      <c r="T19" s="43"/>
      <c r="U19" s="17" t="str">
        <f>U15</f>
        <v>CO2 Consumption, t/t Methanol</v>
      </c>
      <c r="V19" s="17" t="str">
        <f>V15</f>
        <v>Methanol Output, MWh/MWh Input</v>
      </c>
      <c r="W19" s="17"/>
    </row>
    <row r="20" spans="2:23">
      <c r="B20" s="43"/>
      <c r="C20" s="43"/>
      <c r="D20" s="17" t="str">
        <f>D16</f>
        <v>SUPH2</v>
      </c>
      <c r="E20" s="17"/>
      <c r="F20" s="17"/>
      <c r="G20" s="17"/>
      <c r="H20" s="17"/>
      <c r="I20" s="17"/>
      <c r="J20" s="33">
        <f>(INDEX('98 Methanol from power'!$D$4:$H$59,MATCH(SUP_DEA_ELECTRO!U20,'98 Methanol from power'!$B$4:$B$59,0),MATCH(SUP_DEA_ELECTRO!$H19,'98 Methanol from power'!$D$3:$H$3,0)))/INDEX('98 Methanol from power'!$D$4:$H$59,MATCH(SUP_DEA_ELECTRO!V19,'98 Methanol from power'!$B$4:$B$59,0),MATCH(SUP_DEA_ELECTRO!$H19,'98 Methanol from power'!$D$3:$H$3,0))</f>
        <v>0.31475409836065577</v>
      </c>
      <c r="K20" s="33"/>
      <c r="L20" s="39"/>
      <c r="M20" s="40"/>
      <c r="N20" s="40"/>
      <c r="O20" s="40"/>
      <c r="P20" s="41"/>
      <c r="Q20" s="42"/>
      <c r="R20" s="39"/>
      <c r="S20" s="43"/>
      <c r="T20" s="43"/>
      <c r="U20" s="17" t="str">
        <f>U16</f>
        <v>Hydrogen Consumption, t/t Methanol</v>
      </c>
      <c r="V20" s="17"/>
      <c r="W20" s="17"/>
    </row>
    <row r="21" spans="2:23">
      <c r="B21" s="43"/>
      <c r="C21" s="43"/>
      <c r="D21" s="17" t="str">
        <f>D17</f>
        <v>SUPELC</v>
      </c>
      <c r="E21" s="43"/>
      <c r="F21" s="43"/>
      <c r="G21" s="43"/>
      <c r="H21" s="43"/>
      <c r="I21" s="43"/>
      <c r="J21" s="33">
        <f>(INDEX('98 Methanol from power'!$D$4:$H$59,MATCH(SUP_DEA_ELECTRO!U21,'98 Methanol from power'!$B$4:$B$59,0),MATCH(SUP_DEA_ELECTRO!$H19,'98 Methanol from power'!$D$3:$H$3,0)))/INDEX('98 Methanol from power'!$D$4:$H$59,MATCH(SUP_DEA_ELECTRO!V19,'98 Methanol from power'!$B$4:$B$59,0),MATCH(SUP_DEA_ELECTRO!$H19,'98 Methanol from power'!$D$3:$H$3,0))</f>
        <v>1.639344262295082</v>
      </c>
      <c r="K21" s="43"/>
      <c r="L21" s="43"/>
      <c r="M21" s="43"/>
      <c r="N21" s="43"/>
      <c r="O21" s="40"/>
      <c r="P21" s="43"/>
      <c r="Q21" s="43"/>
      <c r="R21" s="43"/>
      <c r="S21" s="43"/>
      <c r="T21" s="43"/>
      <c r="U21" s="17" t="str">
        <f>U17</f>
        <v>Electricity Consumption, MWh/MWh Total Inputs</v>
      </c>
      <c r="V21" s="43"/>
      <c r="W21" s="43"/>
    </row>
    <row r="22" spans="2:23" ht="15" thickBot="1">
      <c r="B22" s="43"/>
      <c r="C22" s="17"/>
      <c r="D22" s="43"/>
      <c r="E22" s="43"/>
      <c r="F22" s="17" t="str">
        <f>F18</f>
        <v>HETC</v>
      </c>
      <c r="G22" s="43"/>
      <c r="H22" s="43"/>
      <c r="I22" s="43"/>
      <c r="J22" s="43"/>
      <c r="K22" s="48">
        <f>INDEX('98 Methanol from power'!$D$4:$H$59,MATCH(SUP_DEA_ELECTRO!W22,'98 Methanol from power'!$B$4:$B$59,0),MATCH(SUP_DEA_ELECTRO!$H19,'98 Methanol from power'!$D$3:$H$3,0))*(SUM(J20:J21))</f>
        <v>0.48852459016393446</v>
      </c>
      <c r="L22" s="43"/>
      <c r="M22" s="43"/>
      <c r="N22" s="43"/>
      <c r="O22" s="40"/>
      <c r="P22" s="43"/>
      <c r="Q22" s="43"/>
      <c r="R22" s="43"/>
      <c r="S22" s="43"/>
      <c r="T22" s="43"/>
      <c r="U22" s="43"/>
      <c r="V22" s="43"/>
      <c r="W22" s="17" t="str">
        <f>W18</f>
        <v>District Heating Output, MWh/MWh Total input</v>
      </c>
    </row>
    <row r="23" spans="2:23">
      <c r="B23" s="43"/>
      <c r="C23" s="43"/>
      <c r="D23" s="17" t="str">
        <f>D19</f>
        <v>CCXCO2</v>
      </c>
      <c r="E23" s="17" t="str">
        <f>E19</f>
        <v>MOE</v>
      </c>
      <c r="F23" s="17"/>
      <c r="G23" s="17" t="s">
        <v>70</v>
      </c>
      <c r="H23" s="17">
        <v>2040</v>
      </c>
      <c r="I23" s="17"/>
      <c r="J23" s="33">
        <f>(INDEX('98 Methanol from power'!$D$4:$H$59,MATCH(SUP_DEA_ELECTRO!U23,'98 Methanol from power'!$B$4:$B$59,0),MATCH(SUP_DEA_ELECTRO!$H23,'98 Methanol from power'!$D$3:$H$3,0)))/INDEX('98 Methanol from power'!$D$4:$H$59,MATCH(SUP_DEA_ELECTRO!V23,'98 Methanol from power'!$B$4:$B$59,0),MATCH(SUP_DEA_ELECTRO!$H23,'98 Methanol from power'!$D$3:$H$3,0))*10</f>
        <v>21.746031746031747</v>
      </c>
      <c r="K23" s="33"/>
      <c r="L23" s="34">
        <f>INDEX('98 Methanol from power'!$D$4:$H$59,MATCH(SUP_Biofuels!M$8,'98 Methanol from power'!$B$4:$B$59,0),MATCH(SUP_DEA_ELECTRO!$H23,'98 Methanol from power'!$D$3:$H$3,0))</f>
        <v>20</v>
      </c>
      <c r="M23" s="35">
        <f>INDEX('98 Methanol from power'!$D$4:$H$59,MATCH(SUP_Biofuels!N$8,'98 Methanol from power'!$B$4:$B$59,0),MATCH(SUP_DEA_ELECTRO!$H23,'98 Methanol from power'!$D$3:$H$3,0))*7.45</f>
        <v>16.812537313432838</v>
      </c>
      <c r="N23" s="35">
        <f>INDEX('98 Methanol from power'!$D$4:$H$59,MATCH(SUP_Biofuels!O$8,'98 Methanol from power'!$B$4:$B$59,0),MATCH(SUP_DEA_ELECTRO!$H23,'98 Methanol from power'!$D$3:$H$3,0))*7.45</f>
        <v>0.39229253731343283</v>
      </c>
      <c r="O23" s="35">
        <f>INDEX('98 Methanol from power'!$D$4:$H$59,MATCH(SUP_Biofuels!P$8,'98 Methanol from power'!$B$4:$B$59,0),MATCH(SUP_DEA_ELECTRO!$H23,'98 Methanol from power'!$D$3:$H$3,0))*7.45/3.6</f>
        <v>12.972636815920398</v>
      </c>
      <c r="P23" s="33">
        <f>1-INDEX('98 Methanol from power'!$D$4:$H$59,MATCH(SUP_Biofuels!Q$7,'98 Methanol from power'!$B$4:$B$59,0),MATCH(SUP_DEA_ELECTRO!$H23,'98 Methanol from power'!$D$3:$H$3,0))/52-INDEX('98 Methanol from power'!$D$4:$H$59,MATCH(SUP_Biofuels!Q$8,'98 Methanol from power'!$B$4:$B$59,0),MATCH(SUP_DEA_ELECTRO!$H23,'98 Methanol from power'!$D$3:$H$3,0))/100</f>
        <v>0.96153846153846156</v>
      </c>
      <c r="Q23" s="36">
        <f>SUP_Biofuels!$R$39</f>
        <v>3.1536000000000002E-2</v>
      </c>
      <c r="R23" s="34">
        <f>INDEX('98 Methanol from power'!$D$4:$H$59,MATCH(SUP_Biofuels!S$8,'98 Methanol from power'!$B$4:$B$59,0),MATCH(SUP_DEA_ELECTRO!$H23,'98 Methanol from power'!$D$3:$H$3,0))</f>
        <v>2</v>
      </c>
      <c r="S23" s="44"/>
      <c r="T23" s="43"/>
      <c r="U23" s="17" t="str">
        <f>U19</f>
        <v>CO2 Consumption, t/t Methanol</v>
      </c>
      <c r="V23" s="17" t="str">
        <f>V19</f>
        <v>Methanol Output, MWh/MWh Input</v>
      </c>
      <c r="W23" s="17"/>
    </row>
    <row r="24" spans="2:23">
      <c r="B24" s="43"/>
      <c r="C24" s="43"/>
      <c r="D24" s="17" t="str">
        <f>D20</f>
        <v>SUPH2</v>
      </c>
      <c r="E24" s="17"/>
      <c r="F24" s="17"/>
      <c r="G24" s="17"/>
      <c r="H24" s="17"/>
      <c r="I24" s="17"/>
      <c r="J24" s="33">
        <f>(INDEX('98 Methanol from power'!$D$4:$H$59,MATCH(SUP_DEA_ELECTRO!U24,'98 Methanol from power'!$B$4:$B$59,0),MATCH(SUP_DEA_ELECTRO!$H23,'98 Methanol from power'!$D$3:$H$3,0)))/INDEX('98 Methanol from power'!$D$4:$H$59,MATCH(SUP_DEA_ELECTRO!V23,'98 Methanol from power'!$B$4:$B$59,0),MATCH(SUP_DEA_ELECTRO!$H23,'98 Methanol from power'!$D$3:$H$3,0))</f>
        <v>0.30476190476190479</v>
      </c>
      <c r="K24" s="33"/>
      <c r="L24" s="39"/>
      <c r="M24" s="40"/>
      <c r="N24" s="40"/>
      <c r="O24" s="40"/>
      <c r="P24" s="41"/>
      <c r="Q24" s="42"/>
      <c r="R24" s="39"/>
      <c r="S24" s="43"/>
      <c r="T24" s="43"/>
      <c r="U24" s="17" t="str">
        <f>U20</f>
        <v>Hydrogen Consumption, t/t Methanol</v>
      </c>
      <c r="V24" s="17"/>
      <c r="W24" s="17"/>
    </row>
    <row r="25" spans="2:23">
      <c r="B25" s="43"/>
      <c r="C25" s="43"/>
      <c r="D25" s="17" t="str">
        <f>D21</f>
        <v>SUPELC</v>
      </c>
      <c r="E25" s="43"/>
      <c r="F25" s="43"/>
      <c r="G25" s="43"/>
      <c r="H25" s="43"/>
      <c r="I25" s="43"/>
      <c r="J25" s="33">
        <f>(INDEX('98 Methanol from power'!$D$4:$H$59,MATCH(SUP_DEA_ELECTRO!U25,'98 Methanol from power'!$B$4:$B$59,0),MATCH(SUP_DEA_ELECTRO!$H23,'98 Methanol from power'!$D$3:$H$3,0)))/INDEX('98 Methanol from power'!$D$4:$H$59,MATCH(SUP_DEA_ELECTRO!V23,'98 Methanol from power'!$B$4:$B$59,0),MATCH(SUP_DEA_ELECTRO!$H23,'98 Methanol from power'!$D$3:$H$3,0))</f>
        <v>1.5873015873015872</v>
      </c>
      <c r="K25" s="43"/>
      <c r="L25" s="43"/>
      <c r="M25" s="43"/>
      <c r="N25" s="43"/>
      <c r="O25" s="40"/>
      <c r="P25" s="43"/>
      <c r="Q25" s="43"/>
      <c r="R25" s="43"/>
      <c r="S25" s="43"/>
      <c r="T25" s="43"/>
      <c r="U25" s="17" t="str">
        <f>U21</f>
        <v>Electricity Consumption, MWh/MWh Total Inputs</v>
      </c>
      <c r="V25" s="43"/>
      <c r="W25" s="43"/>
    </row>
    <row r="26" spans="2:23" ht="15" thickBot="1">
      <c r="B26" s="43"/>
      <c r="C26" s="43"/>
      <c r="D26" s="43"/>
      <c r="E26" s="43"/>
      <c r="F26" s="17" t="str">
        <f>F22</f>
        <v>HETC</v>
      </c>
      <c r="G26" s="43"/>
      <c r="H26" s="43"/>
      <c r="I26" s="43"/>
      <c r="J26" s="43"/>
      <c r="K26" s="48">
        <f>INDEX('98 Methanol from power'!$D$4:$H$59,MATCH(SUP_DEA_ELECTRO!W26,'98 Methanol from power'!$B$4:$B$59,0),MATCH(SUP_DEA_ELECTRO!$H23,'98 Methanol from power'!$D$3:$H$3,0))*(SUM(J24:J25))</f>
        <v>0.473015873015873</v>
      </c>
      <c r="L26" s="43"/>
      <c r="M26" s="43"/>
      <c r="N26" s="43"/>
      <c r="O26" s="40"/>
      <c r="P26" s="43"/>
      <c r="Q26" s="43"/>
      <c r="R26" s="43"/>
      <c r="S26" s="43"/>
      <c r="T26" s="43"/>
      <c r="U26" s="43"/>
      <c r="V26" s="43"/>
      <c r="W26" s="17" t="str">
        <f>W22</f>
        <v>District Heating Output, MWh/MWh Total input</v>
      </c>
    </row>
    <row r="27" spans="2:23">
      <c r="B27" s="43"/>
      <c r="C27" s="43"/>
      <c r="D27" s="17" t="str">
        <f>D23</f>
        <v>CCXCO2</v>
      </c>
      <c r="E27" s="17" t="str">
        <f>E23</f>
        <v>MOE</v>
      </c>
      <c r="F27" s="17"/>
      <c r="G27" s="17" t="s">
        <v>70</v>
      </c>
      <c r="H27" s="17">
        <v>2050</v>
      </c>
      <c r="I27" s="17"/>
      <c r="J27" s="33">
        <f>(INDEX('98 Methanol from power'!$D$4:$H$59,MATCH(SUP_DEA_ELECTRO!U27,'98 Methanol from power'!$B$4:$B$59,0),MATCH(SUP_DEA_ELECTRO!$H27,'98 Methanol from power'!$D$3:$H$3,0)))/INDEX('98 Methanol from power'!$D$4:$H$59,MATCH(SUP_DEA_ELECTRO!V27,'98 Methanol from power'!$B$4:$B$59,0),MATCH(SUP_DEA_ELECTRO!$H27,'98 Methanol from power'!$D$3:$H$3,0))*10</f>
        <v>21.076923076923077</v>
      </c>
      <c r="K27" s="33"/>
      <c r="L27" s="34">
        <f>INDEX('98 Methanol from power'!$D$4:$H$59,MATCH(SUP_Biofuels!M$8,'98 Methanol from power'!$B$4:$B$59,0),MATCH(SUP_DEA_ELECTRO!$H27,'98 Methanol from power'!$D$3:$H$3,0))</f>
        <v>20</v>
      </c>
      <c r="M27" s="35">
        <f>INDEX('98 Methanol from power'!$D$4:$H$59,MATCH(SUP_Biofuels!N$8,'98 Methanol from power'!$B$4:$B$59,0),MATCH(SUP_DEA_ELECTRO!$H27,'98 Methanol from power'!$D$3:$H$3,0))*7.45</f>
        <v>11.208358208955223</v>
      </c>
      <c r="N27" s="35">
        <f>INDEX('98 Methanol from power'!$D$4:$H$59,MATCH(SUP_Biofuels!O$8,'98 Methanol from power'!$B$4:$B$59,0),MATCH(SUP_DEA_ELECTRO!$H27,'98 Methanol from power'!$D$3:$H$3,0))*7.45</f>
        <v>0.39229253731343289</v>
      </c>
      <c r="O27" s="35">
        <f>INDEX('98 Methanol from power'!$D$4:$H$59,MATCH(SUP_Biofuels!P$8,'98 Methanol from power'!$B$4:$B$59,0),MATCH(SUP_DEA_ELECTRO!$H27,'98 Methanol from power'!$D$3:$H$3,0))*7.45/3.6</f>
        <v>12.972636815920399</v>
      </c>
      <c r="P27" s="33">
        <f>1-INDEX('98 Methanol from power'!$D$4:$H$59,MATCH(SUP_Biofuels!Q$7,'98 Methanol from power'!$B$4:$B$59,0),MATCH(SUP_DEA_ELECTRO!$H27,'98 Methanol from power'!$D$3:$H$3,0))/52-INDEX('98 Methanol from power'!$D$4:$H$59,MATCH(SUP_Biofuels!Q$8,'98 Methanol from power'!$B$4:$B$59,0),MATCH(SUP_DEA_ELECTRO!$H27,'98 Methanol from power'!$D$3:$H$3,0))/100</f>
        <v>0.96153846153846156</v>
      </c>
      <c r="Q27" s="36">
        <f>SUP_Biofuels!$R$39</f>
        <v>3.1536000000000002E-2</v>
      </c>
      <c r="R27" s="34">
        <f>INDEX('98 Methanol from power'!$D$4:$H$59,MATCH(SUP_Biofuels!S$8,'98 Methanol from power'!$B$4:$B$59,0),MATCH(SUP_DEA_ELECTRO!$H27,'98 Methanol from power'!$D$3:$H$3,0))</f>
        <v>2</v>
      </c>
      <c r="S27" s="44"/>
      <c r="T27" s="43"/>
      <c r="U27" s="17" t="str">
        <f>U23</f>
        <v>CO2 Consumption, t/t Methanol</v>
      </c>
      <c r="V27" s="17" t="str">
        <f>V23</f>
        <v>Methanol Output, MWh/MWh Input</v>
      </c>
      <c r="W27" s="17"/>
    </row>
    <row r="28" spans="2:23">
      <c r="B28" s="43"/>
      <c r="C28" s="43"/>
      <c r="D28" s="17" t="str">
        <f>D24</f>
        <v>SUPH2</v>
      </c>
      <c r="E28" s="17"/>
      <c r="F28" s="17"/>
      <c r="G28" s="17"/>
      <c r="H28" s="17"/>
      <c r="I28" s="17"/>
      <c r="J28" s="33">
        <f>(INDEX('98 Methanol from power'!$D$4:$H$59,MATCH(SUP_DEA_ELECTRO!U28,'98 Methanol from power'!$B$4:$B$59,0),MATCH(SUP_DEA_ELECTRO!$H27,'98 Methanol from power'!$D$3:$H$3,0)))/INDEX('98 Methanol from power'!$D$4:$H$59,MATCH(SUP_DEA_ELECTRO!V27,'98 Methanol from power'!$B$4:$B$59,0),MATCH(SUP_DEA_ELECTRO!$H27,'98 Methanol from power'!$D$3:$H$3,0))</f>
        <v>0.29538461538461536</v>
      </c>
      <c r="K28" s="33"/>
      <c r="L28" s="39"/>
      <c r="M28" s="40"/>
      <c r="N28" s="40"/>
      <c r="O28" s="40"/>
      <c r="P28" s="41"/>
      <c r="Q28" s="42"/>
      <c r="R28" s="39"/>
      <c r="S28" s="43"/>
      <c r="T28" s="43"/>
      <c r="U28" s="17" t="str">
        <f>U24</f>
        <v>Hydrogen Consumption, t/t Methanol</v>
      </c>
      <c r="V28" s="17"/>
      <c r="W28" s="17"/>
    </row>
    <row r="29" spans="2:23" ht="15.6">
      <c r="B29" s="43"/>
      <c r="C29" s="32"/>
      <c r="D29" s="17" t="str">
        <f>D25</f>
        <v>SUPELC</v>
      </c>
      <c r="E29" s="43"/>
      <c r="F29" s="43"/>
      <c r="G29" s="43"/>
      <c r="H29" s="43"/>
      <c r="I29" s="43"/>
      <c r="J29" s="33">
        <f>(INDEX('98 Methanol from power'!$D$4:$H$59,MATCH(SUP_DEA_ELECTRO!U29,'98 Methanol from power'!$B$4:$B$59,0),MATCH(SUP_DEA_ELECTRO!$H27,'98 Methanol from power'!$D$3:$H$3,0)))/INDEX('98 Methanol from power'!$D$4:$H$59,MATCH(SUP_DEA_ELECTRO!V27,'98 Methanol from power'!$B$4:$B$59,0),MATCH(SUP_DEA_ELECTRO!$H27,'98 Methanol from power'!$D$3:$H$3,0))</f>
        <v>1.5384615384615383</v>
      </c>
      <c r="K29" s="43"/>
      <c r="L29" s="43"/>
      <c r="M29" s="43"/>
      <c r="N29" s="43"/>
      <c r="O29" s="40"/>
      <c r="P29" s="43"/>
      <c r="Q29" s="43"/>
      <c r="R29" s="43"/>
      <c r="S29" s="43"/>
      <c r="T29" s="43"/>
      <c r="U29" s="17" t="str">
        <f>U25</f>
        <v>Electricity Consumption, MWh/MWh Total Inputs</v>
      </c>
      <c r="V29" s="43"/>
      <c r="W29" s="43"/>
    </row>
    <row r="30" spans="2:23" ht="15" thickBot="1">
      <c r="B30" s="46"/>
      <c r="C30" s="46"/>
      <c r="D30" s="46"/>
      <c r="E30" s="46"/>
      <c r="F30" s="47" t="str">
        <f>F26</f>
        <v>HETC</v>
      </c>
      <c r="G30" s="46"/>
      <c r="H30" s="46"/>
      <c r="I30" s="46"/>
      <c r="J30" s="46"/>
      <c r="K30" s="48">
        <f>INDEX('98 Methanol from power'!$D$4:$H$59,MATCH(SUP_DEA_ELECTRO!W30,'98 Methanol from power'!$B$4:$B$59,0),MATCH(SUP_DEA_ELECTRO!$H27,'98 Methanol from power'!$D$3:$H$3,0))*(SUM(J28:J29))</f>
        <v>0.45846153846153842</v>
      </c>
      <c r="L30" s="46"/>
      <c r="M30" s="46"/>
      <c r="N30" s="46"/>
      <c r="O30" s="49"/>
      <c r="P30" s="46"/>
      <c r="Q30" s="46"/>
      <c r="R30" s="46"/>
      <c r="S30" s="46"/>
      <c r="T30" s="46"/>
      <c r="U30" s="43"/>
      <c r="V30" s="43"/>
      <c r="W30" s="17" t="str">
        <f>W26</f>
        <v>District Heating Output, MWh/MWh Total input</v>
      </c>
    </row>
    <row r="31" spans="2:23" ht="15.6">
      <c r="B31" s="17" t="str">
        <f>"SUP"&amp;E31&amp;RIGHT(D31,3)&amp;IF(RIGHT(C31,7)="Central","C1","D1")</f>
        <v>SUPKRECO2C1</v>
      </c>
      <c r="C31" s="32" t="str">
        <f>'102 Hydrogen to Jet'!D2&amp;" Central"</f>
        <v>Hydrogen to Jet Fuel Central</v>
      </c>
      <c r="D31" s="17" t="s">
        <v>161</v>
      </c>
      <c r="E31" s="17" t="s">
        <v>223</v>
      </c>
      <c r="F31" s="17"/>
      <c r="G31" s="17" t="s">
        <v>70</v>
      </c>
      <c r="H31" s="17">
        <v>2020</v>
      </c>
      <c r="I31" s="17"/>
      <c r="J31" s="33">
        <f>'102 Hydrogen to Jet'!$D$9/43.2*1000</f>
        <v>99.537037037037024</v>
      </c>
      <c r="K31" s="33"/>
      <c r="L31" s="34">
        <f>INDEX('102 Hydrogen to Jet'!$D$4:$H$59,MATCH(SUP_Biofuels!M$8,'102 Hydrogen to Jet'!$B$4:$B$59,0),MATCH(SUP_DEA_ELECTRO!$H31,'102 Hydrogen to Jet'!$D$3:$H$3,0))</f>
        <v>25</v>
      </c>
      <c r="M31" s="35">
        <f>INDEX('102 Hydrogen to Jet'!$D$4:$H$59,MATCH(SUP_Biofuels!N$8,'102 Hydrogen to Jet'!$B$4:$B$59,0),MATCH(SUP_DEA_ELECTRO!$H31,'102 Hydrogen to Jet'!$D$3:$H$3,0))*7.45</f>
        <v>15.645000000000001</v>
      </c>
      <c r="N31" s="35">
        <f>INDEX('102 Hydrogen to Jet'!$D$4:$H$59,MATCH(SUP_Biofuels!O$8,'102 Hydrogen to Jet'!$B$4:$B$59,0),MATCH(SUP_DEA_ELECTRO!$H31,'102 Hydrogen to Jet'!$D$3:$H$3,0))*7.45</f>
        <v>1.2590499999999999E-4</v>
      </c>
      <c r="O31" s="35">
        <f>INDEX('102 Hydrogen to Jet'!$D$4:$H$59,MATCH(SUP_Biofuels!P$8,'102 Hydrogen to Jet'!$B$4:$B$59,0),MATCH(SUP_DEA_ELECTRO!$H31,'102 Hydrogen to Jet'!$D$3:$H$3,0))*7.45/3.6</f>
        <v>10.968055555555555</v>
      </c>
      <c r="P31" s="33">
        <f>1-INDEX('102 Hydrogen to Jet'!$D$4:$H$59,MATCH(SUP_Biofuels!Q$7,'102 Hydrogen to Jet'!$B$4:$B$59,0),MATCH(SUP_DEA_ELECTRO!$H31,'102 Hydrogen to Jet'!$D$3:$H$3,0))/52-INDEX('102 Hydrogen to Jet'!$D$4:$H$59,MATCH(SUP_Biofuels!Q$8,'102 Hydrogen to Jet'!$B$4:$B$59,0),MATCH(SUP_DEA_ELECTRO!$H31,'102 Hydrogen to Jet'!$D$3:$H$3,0))/100</f>
        <v>0.94230769230769229</v>
      </c>
      <c r="Q31" s="36">
        <f>SUP_Biofuels!$R$39</f>
        <v>3.1536000000000002E-2</v>
      </c>
      <c r="R31" s="34">
        <f>INDEX('102 Hydrogen to Jet'!$D$4:$H$59,MATCH(SUP_Biofuels!S$8,'102 Hydrogen to Jet'!$B$4:$B$59,0),MATCH(SUP_DEA_ELECTRO!$H31,'102 Hydrogen to Jet'!$D$3:$H$3,0))</f>
        <v>2</v>
      </c>
      <c r="S31" s="37"/>
      <c r="T31" s="38" t="s">
        <v>74</v>
      </c>
      <c r="U31" s="17" t="str">
        <f>'102 Hydrogen to Jet'!B9</f>
        <v>CO2 Consumption, t/t FT Liquids</v>
      </c>
      <c r="V31" s="17" t="str">
        <f>'102 Hydrogen to Jet'!B13</f>
        <v>FT Liquids Output, MWh/MWh Total Input</v>
      </c>
      <c r="W31" s="17"/>
    </row>
    <row r="32" spans="2:23">
      <c r="B32" s="17"/>
      <c r="C32" s="17"/>
      <c r="D32" s="17" t="s">
        <v>1386</v>
      </c>
      <c r="E32" s="17"/>
      <c r="F32" s="17"/>
      <c r="G32" s="17"/>
      <c r="H32" s="17"/>
      <c r="I32" s="17"/>
      <c r="J32" s="33">
        <f>(INDEX('102 Hydrogen to Jet'!$D$4:$H$59,MATCH(SUP_DEA_ELECTRO!U32,'102 Hydrogen to Jet'!$B$4:$B$59,0),MATCH(SUP_DEA_ELECTRO!$H31,'102 Hydrogen to Jet'!$D$3:$H$3,0)))/INDEX('102 Hydrogen to Jet'!$D$4:$H$59,MATCH(SUP_DEA_ELECTRO!V31,'102 Hydrogen to Jet'!$B$4:$B$59,0),MATCH(SUP_DEA_ELECTRO!$H31,'102 Hydrogen to Jet'!$D$3:$H$3,0))</f>
        <v>1.5307692307692307</v>
      </c>
      <c r="K32" s="33"/>
      <c r="L32" s="39"/>
      <c r="M32" s="40"/>
      <c r="N32" s="40"/>
      <c r="O32" s="40"/>
      <c r="P32" s="41"/>
      <c r="Q32" s="42"/>
      <c r="R32" s="39"/>
      <c r="S32" s="43"/>
      <c r="T32" s="43"/>
      <c r="U32" s="17" t="str">
        <f>'102 Hydrogen to Jet'!B10</f>
        <v>Hydrogen Consumption, MWh/MWh Total Inputs</v>
      </c>
      <c r="V32" s="17"/>
      <c r="W32" s="17"/>
    </row>
    <row r="33" spans="2:23">
      <c r="B33" s="43"/>
      <c r="C33" s="43"/>
      <c r="D33" s="43" t="s">
        <v>71</v>
      </c>
      <c r="E33" s="43"/>
      <c r="F33" s="43"/>
      <c r="G33" s="43"/>
      <c r="H33" s="43"/>
      <c r="I33" s="43"/>
      <c r="J33" s="33">
        <f>(INDEX('102 Hydrogen to Jet'!$D$4:$H$59,MATCH(SUP_DEA_ELECTRO!U33,'102 Hydrogen to Jet'!$B$4:$B$59,0),MATCH(SUP_DEA_ELECTRO!$H31,'102 Hydrogen to Jet'!$D$3:$H$3,0)))/INDEX('102 Hydrogen to Jet'!$D$4:$H$59,MATCH(SUP_DEA_ELECTRO!V31,'102 Hydrogen to Jet'!$B$4:$B$59,0),MATCH(SUP_DEA_ELECTRO!$H31,'102 Hydrogen to Jet'!$D$3:$H$3,0))</f>
        <v>7.6923076923076919E-3</v>
      </c>
      <c r="K33" s="43"/>
      <c r="L33" s="43"/>
      <c r="M33" s="43"/>
      <c r="N33" s="43"/>
      <c r="O33" s="40"/>
      <c r="P33" s="43"/>
      <c r="Q33" s="43"/>
      <c r="R33" s="43"/>
      <c r="S33" s="43"/>
      <c r="T33" s="43"/>
      <c r="U33" s="17" t="str">
        <f>'102 Hydrogen to Jet'!B11</f>
        <v>Power Consumption, MWh/MWh Total Inputs</v>
      </c>
      <c r="V33" s="43"/>
      <c r="W33" s="43"/>
    </row>
    <row r="34" spans="2:23" ht="15" thickBot="1">
      <c r="B34" s="43"/>
      <c r="C34" s="43"/>
      <c r="D34" s="43"/>
      <c r="E34" s="43"/>
      <c r="F34" s="43" t="s">
        <v>216</v>
      </c>
      <c r="G34" s="43"/>
      <c r="H34" s="43"/>
      <c r="I34" s="43"/>
      <c r="J34" s="43"/>
      <c r="K34" s="48">
        <f>INDEX('102 Hydrogen to Jet'!$D$4:$H$59,MATCH(SUP_DEA_ELECTRO!W34,'102 Hydrogen to Jet'!$B$4:$B$59,0),MATCH(SUP_DEA_ELECTRO!$H31,'102 Hydrogen to Jet'!$D$3:$H$3,0))*(SUM(J32:J33))</f>
        <v>0.38461538461538458</v>
      </c>
      <c r="L34" s="43"/>
      <c r="M34" s="43"/>
      <c r="N34" s="43"/>
      <c r="O34" s="40"/>
      <c r="P34" s="43"/>
      <c r="Q34" s="43"/>
      <c r="R34" s="43"/>
      <c r="S34" s="43"/>
      <c r="T34" s="43"/>
      <c r="U34" s="43"/>
      <c r="V34" s="43"/>
      <c r="W34" s="43" t="str">
        <f>'102 Hydrogen to Jet'!B14</f>
        <v>District Heat  Output, MWh/MWh Total Input</v>
      </c>
    </row>
    <row r="35" spans="2:23" ht="15.6">
      <c r="B35" s="17"/>
      <c r="C35" s="32"/>
      <c r="D35" s="17" t="str">
        <f>D31</f>
        <v>CCXCO2</v>
      </c>
      <c r="E35" s="17" t="str">
        <f>E31</f>
        <v>KRE</v>
      </c>
      <c r="F35" s="17"/>
      <c r="G35" s="17" t="s">
        <v>70</v>
      </c>
      <c r="H35" s="17">
        <v>2030</v>
      </c>
      <c r="I35" s="17"/>
      <c r="J35" s="33">
        <f>'102 Hydrogen to Jet'!$E$9/43.2*1000</f>
        <v>90.277777777777771</v>
      </c>
      <c r="K35" s="33"/>
      <c r="L35" s="34">
        <f>L31</f>
        <v>25</v>
      </c>
      <c r="M35" s="35">
        <f>INDEX('102 Hydrogen to Jet'!$D$4:$H$59,MATCH(SUP_Biofuels!N$8,'102 Hydrogen to Jet'!$B$4:$B$59,0),MATCH(SUP_DEA_ELECTRO!$H35,'102 Hydrogen to Jet'!$D$3:$H$3,0))*7.45</f>
        <v>11.920000000000002</v>
      </c>
      <c r="N35" s="35">
        <f>INDEX('102 Hydrogen to Jet'!$D$4:$H$59,MATCH(SUP_Biofuels!O$8,'102 Hydrogen to Jet'!$B$4:$B$59,0),MATCH(SUP_DEA_ELECTRO!$H35,'102 Hydrogen to Jet'!$D$3:$H$3,0))*7.45</f>
        <v>9.4614999999999988E-5</v>
      </c>
      <c r="O35" s="35">
        <f>INDEX('102 Hydrogen to Jet'!$D$4:$H$59,MATCH(SUP_Biofuels!P$8,'102 Hydrogen to Jet'!$B$4:$B$59,0),MATCH(SUP_DEA_ELECTRO!$H35,'102 Hydrogen to Jet'!$D$3:$H$3,0))*7.45/3.6</f>
        <v>8.6916666666666664</v>
      </c>
      <c r="P35" s="33">
        <f>1-INDEX('102 Hydrogen to Jet'!$D$4:$H$59,MATCH(SUP_Biofuels!Q$7,'102 Hydrogen to Jet'!$B$4:$B$59,0),MATCH(SUP_DEA_ELECTRO!$H35,'102 Hydrogen to Jet'!$D$3:$H$3,0))/52-INDEX('102 Hydrogen to Jet'!$D$4:$H$59,MATCH(SUP_Biofuels!Q$8,'102 Hydrogen to Jet'!$B$4:$B$59,0),MATCH(SUP_DEA_ELECTRO!$H35,'102 Hydrogen to Jet'!$D$3:$H$3,0))/100</f>
        <v>1</v>
      </c>
      <c r="Q35" s="36">
        <f>SUP_Biofuels!$R$39</f>
        <v>3.1536000000000002E-2</v>
      </c>
      <c r="R35" s="34">
        <f>R31</f>
        <v>2</v>
      </c>
      <c r="S35" s="44"/>
      <c r="T35" s="45"/>
      <c r="U35" s="17" t="str">
        <f>U31</f>
        <v>CO2 Consumption, t/t FT Liquids</v>
      </c>
      <c r="V35" s="17" t="str">
        <f>V31</f>
        <v>FT Liquids Output, MWh/MWh Total Input</v>
      </c>
      <c r="W35" s="17"/>
    </row>
    <row r="36" spans="2:23">
      <c r="B36" s="17"/>
      <c r="C36" s="17"/>
      <c r="D36" s="17" t="str">
        <f>D32</f>
        <v>SUPH2</v>
      </c>
      <c r="E36" s="17"/>
      <c r="F36" s="17"/>
      <c r="G36" s="17"/>
      <c r="H36" s="17"/>
      <c r="I36" s="17"/>
      <c r="J36" s="33">
        <f>(INDEX('102 Hydrogen to Jet'!$D$4:$H$59,MATCH(SUP_DEA_ELECTRO!U36,'102 Hydrogen to Jet'!$B$4:$B$59,0),MATCH(SUP_DEA_ELECTRO!$H35,'102 Hydrogen to Jet'!$D$3:$H$3,0)))/INDEX('102 Hydrogen to Jet'!$D$4:$H$59,MATCH(SUP_DEA_ELECTRO!V35,'102 Hydrogen to Jet'!$B$4:$B$59,0),MATCH(SUP_DEA_ELECTRO!$H35,'102 Hydrogen to Jet'!$D$3:$H$3,0))</f>
        <v>1.4214285714285715</v>
      </c>
      <c r="K36" s="33"/>
      <c r="L36" s="39"/>
      <c r="M36" s="40"/>
      <c r="N36" s="40"/>
      <c r="O36" s="40"/>
      <c r="P36" s="41"/>
      <c r="Q36" s="42"/>
      <c r="R36" s="39"/>
      <c r="S36" s="43"/>
      <c r="T36" s="43"/>
      <c r="U36" s="17" t="str">
        <f>U32</f>
        <v>Hydrogen Consumption, MWh/MWh Total Inputs</v>
      </c>
      <c r="V36" s="17"/>
      <c r="W36" s="17"/>
    </row>
    <row r="37" spans="2:23">
      <c r="B37" s="43"/>
      <c r="C37" s="43"/>
      <c r="D37" s="17" t="str">
        <f>D33</f>
        <v>SUPELC</v>
      </c>
      <c r="E37" s="43"/>
      <c r="F37" s="43"/>
      <c r="G37" s="43"/>
      <c r="H37" s="43"/>
      <c r="I37" s="43"/>
      <c r="J37" s="33">
        <f>(INDEX('102 Hydrogen to Jet'!$D$4:$H$59,MATCH(SUP_DEA_ELECTRO!U37,'102 Hydrogen to Jet'!$B$4:$B$59,0),MATCH(SUP_DEA_ELECTRO!$H35,'102 Hydrogen to Jet'!$D$3:$H$3,0)))/INDEX('102 Hydrogen to Jet'!$D$4:$H$59,MATCH(SUP_DEA_ELECTRO!V35,'102 Hydrogen to Jet'!$B$4:$B$59,0),MATCH(SUP_DEA_ELECTRO!$H35,'102 Hydrogen to Jet'!$D$3:$H$3,0))</f>
        <v>7.1428571428571435E-3</v>
      </c>
      <c r="K37" s="43"/>
      <c r="L37" s="43"/>
      <c r="M37" s="43"/>
      <c r="N37" s="43"/>
      <c r="O37" s="40"/>
      <c r="P37" s="43"/>
      <c r="Q37" s="43"/>
      <c r="R37" s="43"/>
      <c r="S37" s="43"/>
      <c r="T37" s="43"/>
      <c r="U37" s="17" t="str">
        <f>U33</f>
        <v>Power Consumption, MWh/MWh Total Inputs</v>
      </c>
      <c r="V37" s="43"/>
      <c r="W37" s="43"/>
    </row>
    <row r="38" spans="2:23" ht="16.2" thickBot="1">
      <c r="B38" s="43"/>
      <c r="C38" s="32"/>
      <c r="D38" s="43"/>
      <c r="E38" s="43"/>
      <c r="F38" s="17" t="str">
        <f>F34</f>
        <v>HETC</v>
      </c>
      <c r="G38" s="43"/>
      <c r="H38" s="43"/>
      <c r="I38" s="43"/>
      <c r="J38" s="43"/>
      <c r="K38" s="48">
        <f>INDEX('102 Hydrogen to Jet'!$D$4:$H$59,MATCH(SUP_DEA_ELECTRO!W38,'102 Hydrogen to Jet'!$B$4:$B$59,0),MATCH(SUP_DEA_ELECTRO!$H35,'102 Hydrogen to Jet'!$D$3:$H$3,0))*(SUM(J36:J37))</f>
        <v>0.28571428571428575</v>
      </c>
      <c r="L38" s="43"/>
      <c r="M38" s="43"/>
      <c r="N38" s="43"/>
      <c r="O38" s="40"/>
      <c r="P38" s="43"/>
      <c r="Q38" s="43"/>
      <c r="R38" s="43"/>
      <c r="S38" s="43"/>
      <c r="T38" s="45"/>
      <c r="U38" s="43"/>
      <c r="V38" s="43"/>
      <c r="W38" s="17" t="str">
        <f>W34</f>
        <v>District Heat  Output, MWh/MWh Total Input</v>
      </c>
    </row>
    <row r="39" spans="2:23">
      <c r="B39" s="43"/>
      <c r="C39" s="17"/>
      <c r="D39" s="17" t="str">
        <f>D35</f>
        <v>CCXCO2</v>
      </c>
      <c r="E39" s="17" t="str">
        <f>E35</f>
        <v>KRE</v>
      </c>
      <c r="F39" s="17"/>
      <c r="G39" s="17" t="s">
        <v>70</v>
      </c>
      <c r="H39" s="17">
        <v>2040</v>
      </c>
      <c r="I39" s="17"/>
      <c r="J39" s="33">
        <f>'102 Hydrogen to Jet'!$F$9/43.2*1000</f>
        <v>83.333333333333329</v>
      </c>
      <c r="K39" s="33"/>
      <c r="L39" s="34">
        <f>L35</f>
        <v>25</v>
      </c>
      <c r="M39" s="35">
        <f>INDEX('102 Hydrogen to Jet'!$D$4:$H$59,MATCH(SUP_Biofuels!N$8,'102 Hydrogen to Jet'!$B$4:$B$59,0),MATCH(SUP_DEA_ELECTRO!$H39,'102 Hydrogen to Jet'!$D$3:$H$3,0))*7.45</f>
        <v>8.1950000000000003</v>
      </c>
      <c r="N39" s="35">
        <f>INDEX('102 Hydrogen to Jet'!$D$4:$H$59,MATCH(SUP_Biofuels!O$8,'102 Hydrogen to Jet'!$B$4:$B$59,0),MATCH(SUP_DEA_ELECTRO!$H39,'102 Hydrogen to Jet'!$D$3:$H$3,0))*7.45</f>
        <v>6.3324999999999994E-5</v>
      </c>
      <c r="O39" s="35">
        <f>INDEX('102 Hydrogen to Jet'!$D$4:$H$59,MATCH(SUP_Biofuels!P$8,'102 Hydrogen to Jet'!$B$4:$B$59,0),MATCH(SUP_DEA_ELECTRO!$H39,'102 Hydrogen to Jet'!$D$3:$H$3,0))*7.45/3.6</f>
        <v>6.6222222222222227</v>
      </c>
      <c r="P39" s="33">
        <f>1-INDEX('102 Hydrogen to Jet'!$D$4:$H$59,MATCH(SUP_Biofuels!Q$7,'102 Hydrogen to Jet'!$B$4:$B$59,0),MATCH(SUP_DEA_ELECTRO!$H39,'102 Hydrogen to Jet'!$D$3:$H$3,0))/52-INDEX('102 Hydrogen to Jet'!$D$4:$H$59,MATCH(SUP_Biofuels!Q$8,'102 Hydrogen to Jet'!$B$4:$B$59,0),MATCH(SUP_DEA_ELECTRO!$H39,'102 Hydrogen to Jet'!$D$3:$H$3,0))/100</f>
        <v>1</v>
      </c>
      <c r="Q39" s="36">
        <f>SUP_Biofuels!$R$39</f>
        <v>3.1536000000000002E-2</v>
      </c>
      <c r="R39" s="34">
        <f>R35</f>
        <v>2</v>
      </c>
      <c r="S39" s="44"/>
      <c r="T39" s="43"/>
      <c r="U39" s="17" t="str">
        <f>U35</f>
        <v>CO2 Consumption, t/t FT Liquids</v>
      </c>
      <c r="V39" s="17" t="str">
        <f>V35</f>
        <v>FT Liquids Output, MWh/MWh Total Input</v>
      </c>
      <c r="W39" s="17"/>
    </row>
    <row r="40" spans="2:23">
      <c r="B40" s="43"/>
      <c r="C40" s="43"/>
      <c r="D40" s="17" t="str">
        <f>D36</f>
        <v>SUPH2</v>
      </c>
      <c r="E40" s="17"/>
      <c r="F40" s="17"/>
      <c r="G40" s="17"/>
      <c r="H40" s="17"/>
      <c r="I40" s="17"/>
      <c r="J40" s="33">
        <f>(INDEX('102 Hydrogen to Jet'!$D$4:$H$59,MATCH(SUP_DEA_ELECTRO!U40,'102 Hydrogen to Jet'!$B$4:$B$59,0),MATCH(SUP_DEA_ELECTRO!$H39,'102 Hydrogen to Jet'!$D$3:$H$3,0)))/INDEX('102 Hydrogen to Jet'!$D$4:$H$59,MATCH(SUP_DEA_ELECTRO!V39,'102 Hydrogen to Jet'!$B$4:$B$59,0),MATCH(SUP_DEA_ELECTRO!$H39,'102 Hydrogen to Jet'!$D$3:$H$3,0))</f>
        <v>1.3630136986301371</v>
      </c>
      <c r="K40" s="33"/>
      <c r="L40" s="39"/>
      <c r="M40" s="40"/>
      <c r="N40" s="40"/>
      <c r="O40" s="40"/>
      <c r="P40" s="41"/>
      <c r="Q40" s="42"/>
      <c r="R40" s="39"/>
      <c r="S40" s="43"/>
      <c r="T40" s="43"/>
      <c r="U40" s="17" t="str">
        <f>U36</f>
        <v>Hydrogen Consumption, MWh/MWh Total Inputs</v>
      </c>
      <c r="V40" s="17"/>
      <c r="W40" s="17"/>
    </row>
    <row r="41" spans="2:23">
      <c r="B41" s="43"/>
      <c r="C41" s="43"/>
      <c r="D41" s="17" t="str">
        <f>D37</f>
        <v>SUPELC</v>
      </c>
      <c r="E41" s="43"/>
      <c r="F41" s="43"/>
      <c r="G41" s="43"/>
      <c r="H41" s="43"/>
      <c r="I41" s="43"/>
      <c r="J41" s="33">
        <f>(INDEX('102 Hydrogen to Jet'!$D$4:$H$59,MATCH(SUP_DEA_ELECTRO!U41,'102 Hydrogen to Jet'!$B$4:$B$59,0),MATCH(SUP_DEA_ELECTRO!$H39,'102 Hydrogen to Jet'!$D$3:$H$3,0)))/INDEX('102 Hydrogen to Jet'!$D$4:$H$59,MATCH(SUP_DEA_ELECTRO!V39,'102 Hydrogen to Jet'!$B$4:$B$59,0),MATCH(SUP_DEA_ELECTRO!$H39,'102 Hydrogen to Jet'!$D$3:$H$3,0))</f>
        <v>6.8493150684931512E-3</v>
      </c>
      <c r="K41" s="43"/>
      <c r="L41" s="43"/>
      <c r="M41" s="43"/>
      <c r="N41" s="43"/>
      <c r="O41" s="40"/>
      <c r="P41" s="43"/>
      <c r="Q41" s="43"/>
      <c r="R41" s="43"/>
      <c r="S41" s="43"/>
      <c r="T41" s="43"/>
      <c r="U41" s="17" t="str">
        <f>U37</f>
        <v>Power Consumption, MWh/MWh Total Inputs</v>
      </c>
      <c r="V41" s="43"/>
      <c r="W41" s="43"/>
    </row>
    <row r="42" spans="2:23" ht="15" thickBot="1">
      <c r="B42" s="43"/>
      <c r="C42" s="17"/>
      <c r="D42" s="43"/>
      <c r="E42" s="43"/>
      <c r="F42" s="17" t="str">
        <f>F38</f>
        <v>HETC</v>
      </c>
      <c r="G42" s="43"/>
      <c r="H42" s="43"/>
      <c r="I42" s="43"/>
      <c r="J42" s="43"/>
      <c r="K42" s="48">
        <f>INDEX('102 Hydrogen to Jet'!$D$4:$H$59,MATCH(SUP_DEA_ELECTRO!W42,'102 Hydrogen to Jet'!$B$4:$B$59,0),MATCH(SUP_DEA_ELECTRO!$H39,'102 Hydrogen to Jet'!$D$3:$H$3,0))*(SUM(J40:J41))</f>
        <v>0.23287671232876717</v>
      </c>
      <c r="L42" s="43"/>
      <c r="M42" s="43"/>
      <c r="N42" s="43"/>
      <c r="O42" s="40"/>
      <c r="P42" s="43"/>
      <c r="Q42" s="43"/>
      <c r="R42" s="43"/>
      <c r="S42" s="43"/>
      <c r="T42" s="43"/>
      <c r="U42" s="43"/>
      <c r="V42" s="43"/>
      <c r="W42" s="17" t="str">
        <f>W38</f>
        <v>District Heat  Output, MWh/MWh Total Input</v>
      </c>
    </row>
    <row r="43" spans="2:23">
      <c r="B43" s="43"/>
      <c r="C43" s="43"/>
      <c r="D43" s="17" t="str">
        <f>D39</f>
        <v>CCXCO2</v>
      </c>
      <c r="E43" s="17" t="str">
        <f>E39</f>
        <v>KRE</v>
      </c>
      <c r="F43" s="17"/>
      <c r="G43" s="17" t="s">
        <v>70</v>
      </c>
      <c r="H43" s="17">
        <v>2050</v>
      </c>
      <c r="I43" s="17"/>
      <c r="J43" s="33">
        <f>'102 Hydrogen to Jet'!$G$9/43.2*1000</f>
        <v>76.388888888888886</v>
      </c>
      <c r="K43" s="33"/>
      <c r="L43" s="34">
        <f>L39</f>
        <v>25</v>
      </c>
      <c r="M43" s="35">
        <f>INDEX('102 Hydrogen to Jet'!$D$4:$H$59,MATCH(SUP_Biofuels!N$8,'102 Hydrogen to Jet'!$B$4:$B$59,0),MATCH(SUP_DEA_ELECTRO!$H43,'102 Hydrogen to Jet'!$D$3:$H$3,0))*7.45</f>
        <v>6.7050000000000001</v>
      </c>
      <c r="N43" s="35">
        <f>INDEX('102 Hydrogen to Jet'!$D$4:$H$59,MATCH(SUP_Biofuels!O$8,'102 Hydrogen to Jet'!$B$4:$B$59,0),MATCH(SUP_DEA_ELECTRO!$H43,'102 Hydrogen to Jet'!$D$3:$H$3,0))*7.45</f>
        <v>5.5130000000000002E-5</v>
      </c>
      <c r="O43" s="35">
        <f>INDEX('102 Hydrogen to Jet'!$D$4:$H$59,MATCH(SUP_Biofuels!P$8,'102 Hydrogen to Jet'!$B$4:$B$59,0),MATCH(SUP_DEA_ELECTRO!$H43,'102 Hydrogen to Jet'!$D$3:$H$3,0))*7.45/3.6</f>
        <v>4.3458333333333332</v>
      </c>
      <c r="P43" s="33">
        <f>1-INDEX('102 Hydrogen to Jet'!$D$4:$H$59,MATCH(SUP_Biofuels!Q$7,'102 Hydrogen to Jet'!$B$4:$B$59,0),MATCH(SUP_DEA_ELECTRO!$H43,'102 Hydrogen to Jet'!$D$3:$H$3,0))/52-INDEX('102 Hydrogen to Jet'!$D$4:$H$59,MATCH(SUP_Biofuels!Q$8,'102 Hydrogen to Jet'!$B$4:$B$59,0),MATCH(SUP_DEA_ELECTRO!$H43,'102 Hydrogen to Jet'!$D$3:$H$3,0))/100</f>
        <v>1</v>
      </c>
      <c r="Q43" s="36">
        <f>SUP_Biofuels!$R$39</f>
        <v>3.1536000000000002E-2</v>
      </c>
      <c r="R43" s="34">
        <f>R39</f>
        <v>2</v>
      </c>
      <c r="S43" s="44"/>
      <c r="T43" s="43"/>
      <c r="U43" s="17" t="str">
        <f>U39</f>
        <v>CO2 Consumption, t/t FT Liquids</v>
      </c>
      <c r="V43" s="17" t="str">
        <f>V39</f>
        <v>FT Liquids Output, MWh/MWh Total Input</v>
      </c>
      <c r="W43" s="17"/>
    </row>
    <row r="44" spans="2:23">
      <c r="B44" s="43"/>
      <c r="C44" s="43"/>
      <c r="D44" s="17" t="str">
        <f>D40</f>
        <v>SUPH2</v>
      </c>
      <c r="E44" s="17"/>
      <c r="F44" s="17"/>
      <c r="G44" s="17"/>
      <c r="H44" s="17"/>
      <c r="I44" s="17"/>
      <c r="J44" s="33">
        <f>(INDEX('102 Hydrogen to Jet'!$D$4:$H$59,MATCH(SUP_DEA_ELECTRO!U44,'102 Hydrogen to Jet'!$B$4:$B$59,0),MATCH(SUP_DEA_ELECTRO!$H43,'102 Hydrogen to Jet'!$D$3:$H$3,0)))/INDEX('102 Hydrogen to Jet'!$D$4:$H$59,MATCH(SUP_DEA_ELECTRO!V43,'102 Hydrogen to Jet'!$B$4:$B$59,0),MATCH(SUP_DEA_ELECTRO!$H43,'102 Hydrogen to Jet'!$D$3:$H$3,0))</f>
        <v>1.3266666666666667</v>
      </c>
      <c r="K44" s="33"/>
      <c r="L44" s="39"/>
      <c r="M44" s="40"/>
      <c r="N44" s="40"/>
      <c r="O44" s="40"/>
      <c r="P44" s="41"/>
      <c r="Q44" s="42"/>
      <c r="R44" s="39"/>
      <c r="S44" s="43"/>
      <c r="T44" s="43"/>
      <c r="U44" s="17" t="str">
        <f>U40</f>
        <v>Hydrogen Consumption, MWh/MWh Total Inputs</v>
      </c>
      <c r="V44" s="17"/>
      <c r="W44" s="17"/>
    </row>
    <row r="45" spans="2:23">
      <c r="B45" s="43"/>
      <c r="C45" s="43"/>
      <c r="D45" s="17" t="str">
        <f>D41</f>
        <v>SUPELC</v>
      </c>
      <c r="E45" s="43"/>
      <c r="F45" s="43"/>
      <c r="G45" s="43"/>
      <c r="H45" s="43"/>
      <c r="I45" s="43"/>
      <c r="J45" s="33">
        <f>(INDEX('102 Hydrogen to Jet'!$D$4:$H$59,MATCH(SUP_DEA_ELECTRO!U45,'102 Hydrogen to Jet'!$B$4:$B$59,0),MATCH(SUP_DEA_ELECTRO!$H43,'102 Hydrogen to Jet'!$D$3:$H$3,0)))/INDEX('102 Hydrogen to Jet'!$D$4:$H$59,MATCH(SUP_DEA_ELECTRO!V43,'102 Hydrogen to Jet'!$B$4:$B$59,0),MATCH(SUP_DEA_ELECTRO!$H43,'102 Hydrogen to Jet'!$D$3:$H$3,0))</f>
        <v>6.6666666666666671E-3</v>
      </c>
      <c r="K45" s="43"/>
      <c r="L45" s="43"/>
      <c r="M45" s="43"/>
      <c r="N45" s="43"/>
      <c r="O45" s="40"/>
      <c r="P45" s="43"/>
      <c r="Q45" s="43"/>
      <c r="R45" s="43"/>
      <c r="S45" s="43"/>
      <c r="T45" s="43"/>
      <c r="U45" s="17" t="str">
        <f>U41</f>
        <v>Power Consumption, MWh/MWh Total Inputs</v>
      </c>
      <c r="V45" s="43"/>
      <c r="W45" s="43"/>
    </row>
    <row r="46" spans="2:23" ht="15" thickBot="1">
      <c r="B46" s="46"/>
      <c r="C46" s="46"/>
      <c r="D46" s="46"/>
      <c r="E46" s="46"/>
      <c r="F46" s="47" t="str">
        <f>F42</f>
        <v>HETC</v>
      </c>
      <c r="G46" s="46"/>
      <c r="H46" s="46"/>
      <c r="I46" s="46"/>
      <c r="J46" s="46"/>
      <c r="K46" s="48">
        <f>INDEX('102 Hydrogen to Jet'!$D$4:$H$59,MATCH(SUP_DEA_ELECTRO!W46,'102 Hydrogen to Jet'!$B$4:$B$59,0),MATCH(SUP_DEA_ELECTRO!$H43,'102 Hydrogen to Jet'!$D$3:$H$3,0))*(SUM(J44:J45))</f>
        <v>0.19999999999999998</v>
      </c>
      <c r="L46" s="46"/>
      <c r="M46" s="46"/>
      <c r="N46" s="46"/>
      <c r="O46" s="49"/>
      <c r="P46" s="46"/>
      <c r="Q46" s="46"/>
      <c r="R46" s="46"/>
      <c r="S46" s="46"/>
      <c r="T46" s="46"/>
      <c r="U46" s="46"/>
      <c r="V46" s="46"/>
      <c r="W46" s="47" t="str">
        <f>W42</f>
        <v>District Heat  Output, MWh/MWh Total Input</v>
      </c>
    </row>
    <row r="47" spans="2:23" ht="15.6">
      <c r="B47" s="17" t="str">
        <f>"SUP"&amp;E47&amp;RIGHT(D47,3)&amp;IF(RIGHT(C47,7)="Central","C2","D2")</f>
        <v>SUPKRECO2C2</v>
      </c>
      <c r="C47" s="32" t="str">
        <f>'102 Power to Jet'!D2&amp;" Central"</f>
        <v>Power to Jet Fuel Central</v>
      </c>
      <c r="D47" s="17" t="s">
        <v>161</v>
      </c>
      <c r="E47" s="17" t="s">
        <v>223</v>
      </c>
      <c r="F47" s="17"/>
      <c r="G47" s="17" t="s">
        <v>70</v>
      </c>
      <c r="H47" s="17">
        <v>2020</v>
      </c>
      <c r="I47" s="17"/>
      <c r="J47" s="33">
        <f>'102 Power to Jet'!$D$9/43.2*1000</f>
        <v>99.537037037037024</v>
      </c>
      <c r="K47" s="33"/>
      <c r="L47" s="34">
        <f>INDEX('102 Power to Jet'!$D$4:$H$59,MATCH(SUP_Biofuels!M$8,'102 Power to Jet'!$B$4:$B$59,0),MATCH(SUP_DEA_ELECTRO!$H47,'102 Power to Jet'!$D$3:$H$3,0))</f>
        <v>25</v>
      </c>
      <c r="M47" s="35">
        <f>INDEX('102 Power to Jet'!$D$4:$H$59,MATCH(SUP_Biofuels!N$8,'102 Power to Jet'!$B$4:$B$59,0),MATCH(SUP_DEA_ELECTRO!$H47,'102 Power to Jet'!$D$3:$H$3,0))*7.45</f>
        <v>23.840000000000003</v>
      </c>
      <c r="N47" s="35">
        <f>INDEX('102 Power to Jet'!$D$4:$H$59,MATCH(SUP_Biofuels!O$8,'102 Power to Jet'!$B$4:$B$59,0),MATCH(SUP_DEA_ELECTRO!$H47,'102 Power to Jet'!$D$3:$H$3,0))*7.45</f>
        <v>1.9742500000000001E-4</v>
      </c>
      <c r="O47" s="35">
        <f>INDEX('102 Power to Jet'!$D$4:$H$59,MATCH(SUP_Biofuels!P$8,'102 Power to Jet'!$B$4:$B$59,0),MATCH(SUP_DEA_ELECTRO!$H47,'102 Power to Jet'!$D$3:$H$3,0))*7.45/3.6</f>
        <v>17.590277777777779</v>
      </c>
      <c r="P47" s="33">
        <f>1-INDEX('102 Power to Jet'!$D$4:$H$59,MATCH(SUP_Biofuels!Q$7,'102 Power to Jet'!$B$4:$B$59,0),MATCH(SUP_DEA_ELECTRO!$H47,'102 Power to Jet'!$D$3:$H$3,0))/52-INDEX('102 Power to Jet'!$D$4:$H$59,MATCH(SUP_Biofuels!Q$8,'102 Power to Jet'!$B$4:$B$59,0),MATCH(SUP_DEA_ELECTRO!$H47,'102 Power to Jet'!$D$3:$H$3,0))/100</f>
        <v>0.94230769230769229</v>
      </c>
      <c r="Q47" s="36">
        <f>SUP_Biofuels!$R$39</f>
        <v>3.1536000000000002E-2</v>
      </c>
      <c r="R47" s="34">
        <f>INDEX('102 Power to Jet'!$D$4:$H$59,MATCH(SUP_Biofuels!S$8,'102 Power to Jet'!$B$4:$B$59,0),MATCH(SUP_DEA_ELECTRO!$H47,'102 Power to Jet'!$D$3:$H$3,0))</f>
        <v>2</v>
      </c>
      <c r="S47" s="37"/>
      <c r="T47" s="38" t="s">
        <v>74</v>
      </c>
      <c r="U47" s="17" t="str">
        <f>'102 Power to Jet'!B9</f>
        <v>CO2 Consumption, t/t FT Liquids</v>
      </c>
      <c r="V47" s="17" t="str">
        <f>'102 Power to Jet'!B12</f>
        <v>FT Liquids Output, MWh/MWh Total Input</v>
      </c>
      <c r="W47" s="17"/>
    </row>
    <row r="48" spans="2:23">
      <c r="B48" s="17"/>
      <c r="C48" s="17"/>
      <c r="D48" s="17" t="s">
        <v>71</v>
      </c>
      <c r="E48" s="17"/>
      <c r="F48" s="17"/>
      <c r="G48" s="17"/>
      <c r="H48" s="17"/>
      <c r="I48" s="17"/>
      <c r="J48" s="33">
        <f>(INDEX('102 Power to Jet'!$D$4:$H$59,MATCH(SUP_DEA_ELECTRO!U48,'102 Power to Jet'!$B$4:$B$59,0),MATCH(SUP_DEA_ELECTRO!$H47,'102 Power to Jet'!$D$3:$H$3,0)))/INDEX('102 Power to Jet'!$D$4:$H$59,MATCH(SUP_DEA_ELECTRO!V47,'102 Power to Jet'!$B$4:$B$59,0),MATCH(SUP_DEA_ELECTRO!$H47,'102 Power to Jet'!$D$3:$H$3,0))</f>
        <v>2.7027027027027026</v>
      </c>
      <c r="K48" s="33"/>
      <c r="L48" s="39"/>
      <c r="M48" s="40"/>
      <c r="N48" s="40"/>
      <c r="O48" s="40"/>
      <c r="P48" s="41"/>
      <c r="Q48" s="42"/>
      <c r="R48" s="39"/>
      <c r="S48" s="43"/>
      <c r="T48" s="43"/>
      <c r="U48" s="17" t="str">
        <f>'102 Power to Jet'!B10</f>
        <v>Electricity Consumption, MWh/MWh Total Inputs</v>
      </c>
      <c r="V48" s="17"/>
      <c r="W48" s="17"/>
    </row>
    <row r="49" spans="2:23" ht="15" thickBot="1">
      <c r="B49" s="43"/>
      <c r="C49" s="43"/>
      <c r="D49" s="43"/>
      <c r="E49" s="43"/>
      <c r="F49" s="43" t="s">
        <v>216</v>
      </c>
      <c r="G49" s="43"/>
      <c r="H49" s="43"/>
      <c r="I49" s="43"/>
      <c r="J49" s="43"/>
      <c r="K49" s="48">
        <f>INDEX('102 Power to Jet'!$D$4:$H$59,MATCH(SUP_DEA_ELECTRO!W49,'102 Power to Jet'!$B$4:$B$59,0),MATCH(SUP_DEA_ELECTRO!$H47,'102 Power to Jet'!$D$3:$H$3,0))*(SUM(J48))</f>
        <v>1.1621621621621621</v>
      </c>
      <c r="L49" s="43"/>
      <c r="M49" s="43"/>
      <c r="N49" s="43"/>
      <c r="O49" s="40"/>
      <c r="P49" s="43"/>
      <c r="Q49" s="43"/>
      <c r="R49" s="43"/>
      <c r="S49" s="43"/>
      <c r="T49" s="43"/>
      <c r="U49" s="43"/>
      <c r="V49" s="43"/>
      <c r="W49" s="43" t="str">
        <f>'102 Power to Jet'!B13</f>
        <v>District Heat  Output, MWh/MWh Total Input</v>
      </c>
    </row>
    <row r="50" spans="2:23" ht="15.6">
      <c r="B50" s="17"/>
      <c r="C50" s="32"/>
      <c r="D50" s="17" t="str">
        <f>D47</f>
        <v>CCXCO2</v>
      </c>
      <c r="E50" s="17" t="str">
        <f>E47</f>
        <v>KRE</v>
      </c>
      <c r="F50" s="17"/>
      <c r="G50" s="17" t="s">
        <v>70</v>
      </c>
      <c r="H50" s="17">
        <v>2030</v>
      </c>
      <c r="I50" s="17"/>
      <c r="J50" s="33">
        <f>'102 Power to Jet'!$E$9/43.2*1000</f>
        <v>90.277777777777771</v>
      </c>
      <c r="K50" s="33"/>
      <c r="L50" s="34">
        <f>L47</f>
        <v>25</v>
      </c>
      <c r="M50" s="35">
        <f>INDEX('102 Power to Jet'!$D$4:$H$59,MATCH(SUP_Biofuels!N$8,'102 Power to Jet'!$B$4:$B$59,0),MATCH(SUP_DEA_ELECTRO!$H50,'102 Power to Jet'!$D$3:$H$3,0))*7.45</f>
        <v>18.625</v>
      </c>
      <c r="N50" s="35">
        <f>INDEX('102 Power to Jet'!$D$4:$H$59,MATCH(SUP_Biofuels!O$8,'102 Power to Jet'!$B$4:$B$59,0),MATCH(SUP_DEA_ELECTRO!$H50,'102 Power to Jet'!$D$3:$H$3,0))*7.45</f>
        <v>1.18455E-4</v>
      </c>
      <c r="O50" s="35">
        <f>INDEX('102 Power to Jet'!$D$4:$H$59,MATCH(SUP_Biofuels!P$8,'102 Power to Jet'!$B$4:$B$59,0),MATCH(SUP_DEA_ELECTRO!$H50,'102 Power to Jet'!$D$3:$H$3,0))*7.45/3.6</f>
        <v>10.968055555555555</v>
      </c>
      <c r="P50" s="33">
        <f>1-INDEX('102 Power to Jet'!$D$4:$H$59,MATCH(SUP_Biofuels!Q$7,'102 Power to Jet'!$B$4:$B$59,0),MATCH(SUP_DEA_ELECTRO!$H50,'102 Power to Jet'!$D$3:$H$3,0))/52-INDEX('102 Power to Jet'!$D$4:$H$59,MATCH(SUP_Biofuels!Q$8,'102 Power to Jet'!$B$4:$B$59,0),MATCH(SUP_DEA_ELECTRO!$H50,'102 Power to Jet'!$D$3:$H$3,0))/100</f>
        <v>1</v>
      </c>
      <c r="Q50" s="36">
        <f>SUP_Biofuels!$R$39</f>
        <v>3.1536000000000002E-2</v>
      </c>
      <c r="R50" s="34">
        <f>R47</f>
        <v>2</v>
      </c>
      <c r="S50" s="44"/>
      <c r="T50" s="45"/>
      <c r="U50" s="17" t="str">
        <f>U47</f>
        <v>CO2 Consumption, t/t FT Liquids</v>
      </c>
      <c r="V50" s="17" t="str">
        <f>V47</f>
        <v>FT Liquids Output, MWh/MWh Total Input</v>
      </c>
      <c r="W50" s="17"/>
    </row>
    <row r="51" spans="2:23">
      <c r="B51" s="17"/>
      <c r="C51" s="17"/>
      <c r="D51" s="17" t="str">
        <f>D48</f>
        <v>SUPELC</v>
      </c>
      <c r="E51" s="17"/>
      <c r="F51" s="17"/>
      <c r="G51" s="17"/>
      <c r="H51" s="17"/>
      <c r="I51" s="17"/>
      <c r="J51" s="33">
        <f>(INDEX('102 Power to Jet'!$D$4:$H$59,MATCH(SUP_DEA_ELECTRO!U51,'102 Power to Jet'!$B$4:$B$59,0),MATCH(SUP_DEA_ELECTRO!$H50,'102 Power to Jet'!$D$3:$H$3,0)))/INDEX('102 Power to Jet'!$D$4:$H$59,MATCH(SUP_DEA_ELECTRO!V50,'102 Power to Jet'!$B$4:$B$59,0),MATCH(SUP_DEA_ELECTRO!$H50,'102 Power to Jet'!$D$3:$H$3,0))</f>
        <v>2.5</v>
      </c>
      <c r="K51" s="33"/>
      <c r="L51" s="39"/>
      <c r="M51" s="40"/>
      <c r="N51" s="40"/>
      <c r="O51" s="40"/>
      <c r="P51" s="41"/>
      <c r="Q51" s="42"/>
      <c r="R51" s="39"/>
      <c r="S51" s="43"/>
      <c r="T51" s="43"/>
      <c r="U51" s="17" t="str">
        <f>U48</f>
        <v>Electricity Consumption, MWh/MWh Total Inputs</v>
      </c>
      <c r="V51" s="17"/>
      <c r="W51" s="17"/>
    </row>
    <row r="52" spans="2:23" ht="16.2" thickBot="1">
      <c r="B52" s="43"/>
      <c r="C52" s="32"/>
      <c r="D52" s="43"/>
      <c r="E52" s="43"/>
      <c r="F52" s="17" t="str">
        <f>F49</f>
        <v>HETC</v>
      </c>
      <c r="G52" s="43"/>
      <c r="H52" s="43"/>
      <c r="I52" s="43"/>
      <c r="J52" s="43"/>
      <c r="K52" s="48">
        <f>INDEX('102 Power to Jet'!$D$4:$H$59,MATCH(SUP_DEA_ELECTRO!W52,'102 Power to Jet'!$B$4:$B$59,0),MATCH(SUP_DEA_ELECTRO!$H50,'102 Power to Jet'!$D$3:$H$3,0))*(SUM(J51))</f>
        <v>1</v>
      </c>
      <c r="L52" s="43"/>
      <c r="M52" s="43"/>
      <c r="N52" s="43"/>
      <c r="O52" s="40"/>
      <c r="P52" s="43"/>
      <c r="Q52" s="43"/>
      <c r="R52" s="43"/>
      <c r="S52" s="43"/>
      <c r="T52" s="45"/>
      <c r="U52" s="43"/>
      <c r="V52" s="43"/>
      <c r="W52" s="17" t="str">
        <f>W49</f>
        <v>District Heat  Output, MWh/MWh Total Input</v>
      </c>
    </row>
    <row r="53" spans="2:23">
      <c r="B53" s="43"/>
      <c r="C53" s="17"/>
      <c r="D53" s="17" t="str">
        <f>D50</f>
        <v>CCXCO2</v>
      </c>
      <c r="E53" s="17" t="str">
        <f>E50</f>
        <v>KRE</v>
      </c>
      <c r="F53" s="17"/>
      <c r="G53" s="17" t="s">
        <v>70</v>
      </c>
      <c r="H53" s="17">
        <v>2040</v>
      </c>
      <c r="I53" s="17"/>
      <c r="J53" s="33">
        <f>'102 Power to Jet'!$F$9/43.2*1000</f>
        <v>83.333333333333329</v>
      </c>
      <c r="K53" s="33"/>
      <c r="L53" s="34">
        <f>L50</f>
        <v>25</v>
      </c>
      <c r="M53" s="35">
        <f>INDEX('102 Power to Jet'!$D$4:$H$59,MATCH(SUP_Biofuels!N$8,'102 Power to Jet'!$B$4:$B$59,0),MATCH(SUP_DEA_ELECTRO!$H53,'102 Power to Jet'!$D$3:$H$3,0))*7.45</f>
        <v>14.154999999999999</v>
      </c>
      <c r="N53" s="35">
        <f>INDEX('102 Power to Jet'!$D$4:$H$59,MATCH(SUP_Biofuels!O$8,'102 Power to Jet'!$B$4:$B$59,0),MATCH(SUP_DEA_ELECTRO!$H53,'102 Power to Jet'!$D$3:$H$3,0))*7.45</f>
        <v>7.8969999999999998E-5</v>
      </c>
      <c r="O53" s="35">
        <f>INDEX('102 Power to Jet'!$D$4:$H$59,MATCH(SUP_Biofuels!P$8,'102 Power to Jet'!$B$4:$B$59,0),MATCH(SUP_DEA_ELECTRO!$H53,'102 Power to Jet'!$D$3:$H$3,0))*7.45/3.6</f>
        <v>6.6222222222222227</v>
      </c>
      <c r="P53" s="33">
        <f>1-INDEX('102 Power to Jet'!$D$4:$H$59,MATCH(SUP_Biofuels!Q$7,'102 Power to Jet'!$B$4:$B$59,0),MATCH(SUP_DEA_ELECTRO!$H53,'102 Power to Jet'!$D$3:$H$3,0))/52-INDEX('102 Power to Jet'!$D$4:$H$59,MATCH(SUP_Biofuels!Q$8,'102 Power to Jet'!$B$4:$B$59,0),MATCH(SUP_DEA_ELECTRO!$H53,'102 Power to Jet'!$D$3:$H$3,0))/100</f>
        <v>1</v>
      </c>
      <c r="Q53" s="36">
        <f>SUP_Biofuels!$R$39</f>
        <v>3.1536000000000002E-2</v>
      </c>
      <c r="R53" s="34">
        <f>R50</f>
        <v>2</v>
      </c>
      <c r="S53" s="44"/>
      <c r="T53" s="43"/>
      <c r="U53" s="17" t="str">
        <f>U50</f>
        <v>CO2 Consumption, t/t FT Liquids</v>
      </c>
      <c r="V53" s="17" t="str">
        <f>V50</f>
        <v>FT Liquids Output, MWh/MWh Total Input</v>
      </c>
      <c r="W53" s="17"/>
    </row>
    <row r="54" spans="2:23">
      <c r="B54" s="43"/>
      <c r="C54" s="43"/>
      <c r="D54" s="17" t="str">
        <f>D51</f>
        <v>SUPELC</v>
      </c>
      <c r="E54" s="17"/>
      <c r="F54" s="17"/>
      <c r="G54" s="17"/>
      <c r="H54" s="17"/>
      <c r="I54" s="17"/>
      <c r="J54" s="33">
        <f>(INDEX('102 Power to Jet'!$D$4:$H$59,MATCH(SUP_DEA_ELECTRO!U54,'102 Power to Jet'!$B$4:$B$59,0),MATCH(SUP_DEA_ELECTRO!$H53,'102 Power to Jet'!$D$3:$H$3,0)))/INDEX('102 Power to Jet'!$D$4:$H$59,MATCH(SUP_DEA_ELECTRO!V53,'102 Power to Jet'!$B$4:$B$59,0),MATCH(SUP_DEA_ELECTRO!$H53,'102 Power to Jet'!$D$3:$H$3,0))</f>
        <v>2</v>
      </c>
      <c r="K54" s="33"/>
      <c r="L54" s="39"/>
      <c r="M54" s="40"/>
      <c r="N54" s="40"/>
      <c r="O54" s="40"/>
      <c r="P54" s="41"/>
      <c r="Q54" s="42"/>
      <c r="R54" s="39"/>
      <c r="S54" s="43"/>
      <c r="T54" s="43"/>
      <c r="U54" s="17" t="str">
        <f>U51</f>
        <v>Electricity Consumption, MWh/MWh Total Inputs</v>
      </c>
      <c r="V54" s="17"/>
      <c r="W54" s="17"/>
    </row>
    <row r="55" spans="2:23" ht="15" thickBot="1">
      <c r="B55" s="43"/>
      <c r="C55" s="17"/>
      <c r="D55" s="43"/>
      <c r="E55" s="43"/>
      <c r="F55" s="17" t="str">
        <f>F52</f>
        <v>HETC</v>
      </c>
      <c r="G55" s="43"/>
      <c r="H55" s="43"/>
      <c r="I55" s="43"/>
      <c r="J55" s="43"/>
      <c r="K55" s="48">
        <f>INDEX('102 Power to Jet'!$D$4:$H$59,MATCH(SUP_DEA_ELECTRO!W55,'102 Power to Jet'!$B$4:$B$59,0),MATCH(SUP_DEA_ELECTRO!$H53,'102 Power to Jet'!$D$3:$H$3,0))*(SUM(J54))</f>
        <v>0.6</v>
      </c>
      <c r="L55" s="43"/>
      <c r="M55" s="43"/>
      <c r="N55" s="43"/>
      <c r="O55" s="40"/>
      <c r="P55" s="43"/>
      <c r="Q55" s="43"/>
      <c r="R55" s="43"/>
      <c r="S55" s="43"/>
      <c r="T55" s="43"/>
      <c r="U55" s="43"/>
      <c r="V55" s="43"/>
      <c r="W55" s="17" t="str">
        <f>W52</f>
        <v>District Heat  Output, MWh/MWh Total Input</v>
      </c>
    </row>
    <row r="56" spans="2:23">
      <c r="B56" s="43"/>
      <c r="C56" s="43"/>
      <c r="D56" s="17" t="str">
        <f>D53</f>
        <v>CCXCO2</v>
      </c>
      <c r="E56" s="17" t="str">
        <f>E53</f>
        <v>KRE</v>
      </c>
      <c r="F56" s="17"/>
      <c r="G56" s="17" t="s">
        <v>70</v>
      </c>
      <c r="H56" s="17">
        <v>2050</v>
      </c>
      <c r="I56" s="17"/>
      <c r="J56" s="33">
        <f>'102 Power to Jet'!$G$9/43.2*1000</f>
        <v>76.388888888888886</v>
      </c>
      <c r="K56" s="33"/>
      <c r="L56" s="34">
        <f>L53</f>
        <v>25</v>
      </c>
      <c r="M56" s="35">
        <f>INDEX('102 Power to Jet'!$D$4:$H$59,MATCH(SUP_Biofuels!N$8,'102 Power to Jet'!$B$4:$B$59,0),MATCH(SUP_DEA_ELECTRO!$H56,'102 Power to Jet'!$D$3:$H$3,0))*7.45</f>
        <v>11.920000000000002</v>
      </c>
      <c r="N56" s="35">
        <f>INDEX('102 Power to Jet'!$D$4:$H$59,MATCH(SUP_Biofuels!O$8,'102 Power to Jet'!$B$4:$B$59,0),MATCH(SUP_DEA_ELECTRO!$H56,'102 Power to Jet'!$D$3:$H$3,0))*7.45</f>
        <v>3.9484999999999999E-5</v>
      </c>
      <c r="O56" s="35">
        <f>INDEX('102 Power to Jet'!$D$4:$H$59,MATCH(SUP_Biofuels!P$8,'102 Power to Jet'!$B$4:$B$59,0),MATCH(SUP_DEA_ELECTRO!$H56,'102 Power to Jet'!$D$3:$H$3,0))*7.45/3.6</f>
        <v>4.3458333333333332</v>
      </c>
      <c r="P56" s="33">
        <f>1-INDEX('102 Power to Jet'!$D$4:$H$59,MATCH(SUP_Biofuels!Q$7,'102 Power to Jet'!$B$4:$B$59,0),MATCH(SUP_DEA_ELECTRO!$H56,'102 Power to Jet'!$D$3:$H$3,0))/52-INDEX('102 Power to Jet'!$D$4:$H$59,MATCH(SUP_Biofuels!Q$8,'102 Power to Jet'!$B$4:$B$59,0),MATCH(SUP_DEA_ELECTRO!$H56,'102 Power to Jet'!$D$3:$H$3,0))/100</f>
        <v>1</v>
      </c>
      <c r="Q56" s="36">
        <f>SUP_Biofuels!$R$39</f>
        <v>3.1536000000000002E-2</v>
      </c>
      <c r="R56" s="34">
        <f>R53</f>
        <v>2</v>
      </c>
      <c r="S56" s="44"/>
      <c r="T56" s="43"/>
      <c r="U56" s="17" t="str">
        <f>U53</f>
        <v>CO2 Consumption, t/t FT Liquids</v>
      </c>
      <c r="V56" s="17" t="str">
        <f>V53</f>
        <v>FT Liquids Output, MWh/MWh Total Input</v>
      </c>
      <c r="W56" s="17"/>
    </row>
    <row r="57" spans="2:23">
      <c r="B57" s="43"/>
      <c r="C57" s="43"/>
      <c r="D57" s="17" t="str">
        <f>D54</f>
        <v>SUPELC</v>
      </c>
      <c r="E57" s="17"/>
      <c r="F57" s="17"/>
      <c r="G57" s="17"/>
      <c r="H57" s="17"/>
      <c r="I57" s="17"/>
      <c r="J57" s="33">
        <f>(INDEX('102 Power to Jet'!$D$4:$H$59,MATCH(SUP_DEA_ELECTRO!U57,'102 Power to Jet'!$B$4:$B$59,0),MATCH(SUP_DEA_ELECTRO!$H56,'102 Power to Jet'!$D$3:$H$3,0)))/INDEX('102 Power to Jet'!$D$4:$H$59,MATCH(SUP_DEA_ELECTRO!V56,'102 Power to Jet'!$B$4:$B$59,0),MATCH(SUP_DEA_ELECTRO!$H56,'102 Power to Jet'!$D$3:$H$3,0))</f>
        <v>1.8181818181818181</v>
      </c>
      <c r="K57" s="33"/>
      <c r="L57" s="39"/>
      <c r="M57" s="40"/>
      <c r="N57" s="40"/>
      <c r="O57" s="40"/>
      <c r="P57" s="41"/>
      <c r="Q57" s="42"/>
      <c r="R57" s="39"/>
      <c r="S57" s="43"/>
      <c r="T57" s="43"/>
      <c r="U57" s="17" t="str">
        <f>U54</f>
        <v>Electricity Consumption, MWh/MWh Total Inputs</v>
      </c>
      <c r="V57" s="17"/>
      <c r="W57" s="17"/>
    </row>
    <row r="58" spans="2:23" ht="15" thickBot="1">
      <c r="B58" s="46"/>
      <c r="C58" s="46"/>
      <c r="D58" s="46"/>
      <c r="E58" s="46"/>
      <c r="F58" s="47" t="str">
        <f>F55</f>
        <v>HETC</v>
      </c>
      <c r="G58" s="46"/>
      <c r="H58" s="46"/>
      <c r="I58" s="46"/>
      <c r="J58" s="46"/>
      <c r="K58" s="48">
        <f>INDEX('102 Power to Jet'!$D$4:$H$59,MATCH(SUP_DEA_ELECTRO!W58,'102 Power to Jet'!$B$4:$B$59,0),MATCH(SUP_DEA_ELECTRO!$H56,'102 Power to Jet'!$D$3:$H$3,0))*(SUM(J57))</f>
        <v>0.45454545454545453</v>
      </c>
      <c r="L58" s="46"/>
      <c r="M58" s="46"/>
      <c r="N58" s="46"/>
      <c r="O58" s="49"/>
      <c r="P58" s="46"/>
      <c r="Q58" s="46"/>
      <c r="R58" s="46"/>
      <c r="S58" s="46"/>
      <c r="T58" s="46"/>
      <c r="U58" s="46"/>
      <c r="V58" s="46"/>
      <c r="W58" s="47" t="str">
        <f>W55</f>
        <v>District Heat  Output, MWh/MWh Total Input</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theme="6" tint="0.39997558519241921"/>
  </sheetPr>
  <dimension ref="B2:AG247"/>
  <sheetViews>
    <sheetView topLeftCell="A37" zoomScale="85" zoomScaleNormal="85" workbookViewId="0">
      <selection activeCell="D27" sqref="D27"/>
    </sheetView>
  </sheetViews>
  <sheetFormatPr defaultColWidth="9.109375" defaultRowHeight="13.2"/>
  <cols>
    <col min="1" max="1" width="2.88671875" style="69" customWidth="1"/>
    <col min="2" max="2" width="40.6640625" style="69" customWidth="1"/>
    <col min="3" max="3" width="38.5546875" style="69" bestFit="1" customWidth="1"/>
    <col min="4" max="4" width="35.33203125" style="69" bestFit="1" customWidth="1"/>
    <col min="5" max="5" width="15.88671875" style="69" customWidth="1"/>
    <col min="6" max="6" width="15.109375" style="69" customWidth="1"/>
    <col min="7" max="7" width="15.88671875" style="69" customWidth="1"/>
    <col min="8" max="8" width="14.88671875" style="69" bestFit="1" customWidth="1"/>
    <col min="9" max="9" width="11.44140625" style="69" customWidth="1"/>
    <col min="10" max="10" width="12" style="69" customWidth="1"/>
    <col min="11" max="12" width="13.109375" style="69" customWidth="1"/>
    <col min="13" max="13" width="12.6640625" style="69" bestFit="1" customWidth="1"/>
    <col min="14" max="14" width="18.44140625" style="69" bestFit="1" customWidth="1"/>
    <col min="15" max="15" width="15" style="69" bestFit="1" customWidth="1"/>
    <col min="16" max="16" width="12.5546875" style="69" customWidth="1"/>
    <col min="17" max="17" width="14.5546875" style="69" customWidth="1"/>
    <col min="18" max="18" width="13.109375" style="69" customWidth="1"/>
    <col min="19" max="19" width="18.33203125" style="69" bestFit="1" customWidth="1"/>
    <col min="20" max="20" width="11.44140625" style="69" customWidth="1"/>
    <col min="21" max="21" width="11.44140625" style="1232" customWidth="1"/>
    <col min="22" max="26" width="9.109375" style="69"/>
    <col min="27" max="27" width="20.109375" style="69" bestFit="1" customWidth="1"/>
    <col min="28" max="16384" width="9.109375" style="69"/>
  </cols>
  <sheetData>
    <row r="2" spans="2:25">
      <c r="M2" s="244" t="s">
        <v>190</v>
      </c>
      <c r="N2" s="245">
        <v>7.45</v>
      </c>
    </row>
    <row r="3" spans="2:25" ht="15.6">
      <c r="B3" s="246"/>
    </row>
    <row r="4" spans="2:25" ht="28.8">
      <c r="B4" s="1058" t="s">
        <v>1389</v>
      </c>
      <c r="C4"/>
      <c r="D4"/>
      <c r="E4"/>
      <c r="F4"/>
      <c r="G4"/>
      <c r="H4"/>
      <c r="I4"/>
      <c r="J4"/>
      <c r="K4"/>
      <c r="L4"/>
      <c r="M4"/>
      <c r="N4"/>
      <c r="O4"/>
      <c r="P4"/>
      <c r="Q4"/>
      <c r="R4"/>
      <c r="S4"/>
      <c r="T4"/>
      <c r="U4"/>
    </row>
    <row r="5" spans="2:25" ht="14.4">
      <c r="B5"/>
      <c r="C5"/>
      <c r="D5"/>
      <c r="E5"/>
      <c r="F5"/>
      <c r="G5"/>
      <c r="H5"/>
      <c r="I5"/>
      <c r="J5"/>
      <c r="K5"/>
      <c r="L5"/>
      <c r="M5"/>
      <c r="N5"/>
      <c r="O5"/>
      <c r="P5"/>
      <c r="Q5"/>
      <c r="R5"/>
      <c r="S5"/>
      <c r="T5"/>
      <c r="U5"/>
    </row>
    <row r="6" spans="2:25">
      <c r="F6" s="121"/>
      <c r="G6" s="121"/>
      <c r="H6" s="121" t="s">
        <v>0</v>
      </c>
      <c r="I6" s="121"/>
      <c r="J6" s="121"/>
      <c r="K6" s="121"/>
    </row>
    <row r="7" spans="2:25">
      <c r="B7" s="120" t="s">
        <v>2</v>
      </c>
      <c r="C7" s="120" t="s">
        <v>11</v>
      </c>
      <c r="D7" s="120" t="s">
        <v>32</v>
      </c>
      <c r="E7" s="120" t="s">
        <v>3</v>
      </c>
      <c r="F7" s="120" t="s">
        <v>33</v>
      </c>
      <c r="G7" s="120" t="s">
        <v>158</v>
      </c>
      <c r="H7" s="120" t="s">
        <v>34</v>
      </c>
      <c r="I7" s="120" t="s">
        <v>4</v>
      </c>
      <c r="J7" s="120" t="s">
        <v>187</v>
      </c>
      <c r="K7" s="120" t="s">
        <v>188</v>
      </c>
      <c r="L7" s="155" t="s">
        <v>239</v>
      </c>
      <c r="M7" s="155" t="s">
        <v>186</v>
      </c>
      <c r="N7" s="155" t="s">
        <v>185</v>
      </c>
      <c r="O7" s="155" t="s">
        <v>9</v>
      </c>
      <c r="P7" s="155" t="s">
        <v>6</v>
      </c>
      <c r="Q7" s="155" t="s">
        <v>7</v>
      </c>
      <c r="R7" s="155" t="s">
        <v>8</v>
      </c>
      <c r="S7" s="117" t="s">
        <v>327</v>
      </c>
      <c r="T7" s="116" t="s">
        <v>41</v>
      </c>
      <c r="U7" s="1242"/>
    </row>
    <row r="8" spans="2:25" ht="39.6">
      <c r="B8" s="251" t="s">
        <v>184</v>
      </c>
      <c r="C8" s="251" t="s">
        <v>19</v>
      </c>
      <c r="D8" s="251" t="s">
        <v>183</v>
      </c>
      <c r="E8" s="251" t="s">
        <v>181</v>
      </c>
      <c r="F8" s="251" t="s">
        <v>234</v>
      </c>
      <c r="G8" s="251"/>
      <c r="H8" s="251"/>
      <c r="I8" s="251"/>
      <c r="J8" s="251" t="s">
        <v>233</v>
      </c>
      <c r="K8" s="251" t="s">
        <v>180</v>
      </c>
      <c r="L8" s="251" t="s">
        <v>232</v>
      </c>
      <c r="M8" s="251" t="s">
        <v>178</v>
      </c>
      <c r="N8" s="251" t="s">
        <v>177</v>
      </c>
      <c r="O8" s="251" t="s">
        <v>176</v>
      </c>
      <c r="P8" s="251" t="s">
        <v>175</v>
      </c>
      <c r="Q8" s="251" t="s">
        <v>174</v>
      </c>
      <c r="R8" s="251" t="s">
        <v>173</v>
      </c>
      <c r="S8" s="252" t="s">
        <v>364</v>
      </c>
      <c r="T8" s="113"/>
      <c r="U8" s="113"/>
    </row>
    <row r="9" spans="2:25" ht="27" thickBot="1">
      <c r="B9" s="112" t="s">
        <v>172</v>
      </c>
      <c r="C9" s="111"/>
      <c r="D9" s="111"/>
      <c r="E9" s="111"/>
      <c r="F9" s="111"/>
      <c r="G9" s="111"/>
      <c r="H9" s="111"/>
      <c r="I9" s="111"/>
      <c r="J9" s="111" t="s">
        <v>338</v>
      </c>
      <c r="K9" s="111" t="s">
        <v>339</v>
      </c>
      <c r="L9" s="111" t="s">
        <v>339</v>
      </c>
      <c r="M9" s="111"/>
      <c r="N9" s="111" t="s">
        <v>62</v>
      </c>
      <c r="O9" s="111" t="s">
        <v>228</v>
      </c>
      <c r="P9" s="110" t="s">
        <v>365</v>
      </c>
      <c r="Q9" s="110" t="s">
        <v>366</v>
      </c>
      <c r="R9" s="110" t="s">
        <v>367</v>
      </c>
      <c r="S9" s="110" t="s">
        <v>165</v>
      </c>
      <c r="T9" s="109"/>
      <c r="U9" s="1239"/>
    </row>
    <row r="10" spans="2:25" customFormat="1" ht="15" thickBot="1">
      <c r="B10" s="112" t="s">
        <v>1730</v>
      </c>
      <c r="C10" s="1237"/>
      <c r="D10" s="1237"/>
      <c r="E10" s="1237"/>
      <c r="F10" s="1237"/>
      <c r="G10" s="1237"/>
      <c r="H10" s="1237"/>
      <c r="I10" s="1237"/>
      <c r="J10" s="1237" t="str">
        <f>'86 AEC 1MW'!B15</f>
        <v>Hydrogen (% total input_e (MWh / MWh))</v>
      </c>
      <c r="K10" s="1237" t="str">
        <f>'86 SOEC 1MW'!B11</f>
        <v>Heat (% total input (MWh / MWh))</v>
      </c>
      <c r="L10" s="1237" t="str">
        <f>'86 AEC 1MW'!B19</f>
        <v xml:space="preserve"> - hereof recoverable for district heating (%-points of heat loss)</v>
      </c>
      <c r="M10" s="1237" t="str">
        <f>'86 AEC 1MW'!B23</f>
        <v>Forced outage (%)</v>
      </c>
      <c r="N10" s="1237" t="str">
        <f>'86 AEC 1MW'!B25</f>
        <v>Technical lifetime (years)</v>
      </c>
      <c r="O10" s="1237"/>
      <c r="P10" s="1238" t="str">
        <f>'86 AEC 1MW'!B29</f>
        <v>Specific investment (€ / kW of total input_e)</v>
      </c>
      <c r="Q10" s="1238" t="str">
        <f>'86 AEC 1MW'!B33</f>
        <v xml:space="preserve">Fixed O&amp;M (% of specific investment / year) </v>
      </c>
      <c r="R10" s="1238" t="str">
        <f>'86 AEC 1MW'!B34</f>
        <v>Variable O&amp;M (€ / kWh of total input)</v>
      </c>
      <c r="S10" s="1238"/>
      <c r="T10" s="1239"/>
      <c r="U10" s="1239"/>
      <c r="W10" s="1232"/>
      <c r="X10" s="1232"/>
      <c r="Y10" s="1232"/>
    </row>
    <row r="11" spans="2:25" customFormat="1" ht="14.4">
      <c r="B11" s="1232" t="s">
        <v>1736</v>
      </c>
      <c r="C11" s="69" t="s">
        <v>1731</v>
      </c>
      <c r="D11" s="1006" t="s">
        <v>71</v>
      </c>
      <c r="E11" s="1006" t="s">
        <v>1314</v>
      </c>
      <c r="F11" s="1006"/>
      <c r="G11" s="1006">
        <v>2020</v>
      </c>
      <c r="H11" s="1066" t="s">
        <v>70</v>
      </c>
      <c r="I11" s="1006">
        <v>2020</v>
      </c>
      <c r="J11" s="1067">
        <f>INDEX('86 AEC 1MW'!$C$6:$F$39,MATCH(SUP_H2_Production!J$10,'86 AEC 1MW'!$B$6:$B$39,0),MATCH(SUP_H2_Production!$G11,'86 AEC 1MW'!$C$4:$F$4,0))/100</f>
        <v>0.66500000000000004</v>
      </c>
      <c r="K11" s="1067"/>
      <c r="L11" s="1067"/>
      <c r="M11" s="1067">
        <f>(100-INDEX('86 AEC 1MW'!$C$6:$F$39,MATCH(SUP_H2_Production!M$10,'86 AEC 1MW'!$B$6:$B$39,0),MATCH(SUP_H2_Production!$G11,'86 AEC 1MW'!$C$4:$F$4,0)))/100</f>
        <v>0.98</v>
      </c>
      <c r="N11" s="1069">
        <f>INDEX('86 AEC 1MW'!$C$6:$F$39,MATCH(SUP_H2_Production!N$10,'86 AEC 1MW'!$B$6:$B$39,0),MATCH(SUP_H2_Production!$G11,'86 AEC 1MW'!$C$4:$F$4,0))</f>
        <v>25</v>
      </c>
      <c r="O11" s="1070">
        <v>3.1536000000000002E-2</v>
      </c>
      <c r="P11" s="1067">
        <f>INDEX('86 AEC 1MW'!$C$6:$F$39,MATCH(SUP_H2_Production!P$10,'86 AEC 1MW'!$B$6:$B$39,0),MATCH(SUP_H2_Production!$G11,'86 AEC 1MW'!$C$4:$F$4,0))/$J11/1000*7.45</f>
        <v>8.4022556390977439</v>
      </c>
      <c r="Q11" s="1067">
        <f>INDEX('86 AEC 1MW'!$C$6:$F$39,MATCH(SUP_H2_Production!Q$10,'86 AEC 1MW'!$B$6:$B$39,0),MATCH(SUP_H2_Production!$G11,'86 AEC 1MW'!$C$4:$F$4,0))/$J11/1000*7.45</f>
        <v>5.6015037593984969E-2</v>
      </c>
      <c r="R11" s="1067"/>
      <c r="S11" s="1006">
        <v>0.5</v>
      </c>
      <c r="T11" s="1006" t="s">
        <v>1734</v>
      </c>
      <c r="U11" s="1006"/>
      <c r="W11" s="1232"/>
      <c r="X11" s="1232"/>
      <c r="Y11" s="1232"/>
    </row>
    <row r="12" spans="2:25" customFormat="1" ht="14.4">
      <c r="B12" s="69"/>
      <c r="C12" s="69"/>
      <c r="D12" s="1051"/>
      <c r="E12" s="1051"/>
      <c r="F12" s="1051" t="s">
        <v>216</v>
      </c>
      <c r="G12" s="1051"/>
      <c r="H12" s="241"/>
      <c r="I12" s="1051"/>
      <c r="J12" s="1240" t="s">
        <v>124</v>
      </c>
      <c r="K12" s="141"/>
      <c r="L12" s="1067">
        <f>INDEX('86 AEC 1MW'!$C$6:$F$39,MATCH(SUP_H2_Production!L$10,'86 AEC 1MW'!$B$6:$B$39,0),MATCH(SUP_H2_Production!$G11,'86 AEC 1MW'!$C$4:$F$4,0))/100</f>
        <v>0.16389138913891388</v>
      </c>
      <c r="M12" s="1051"/>
      <c r="N12" s="281"/>
      <c r="O12" s="103"/>
      <c r="P12" s="141"/>
      <c r="Q12" s="141"/>
      <c r="R12" s="1051"/>
      <c r="S12" s="1051"/>
      <c r="T12" s="1051"/>
      <c r="U12" s="1232"/>
      <c r="W12" s="1232"/>
      <c r="X12" s="1232"/>
      <c r="Y12" s="1232"/>
    </row>
    <row r="13" spans="2:25" customFormat="1" ht="14.4">
      <c r="B13" s="69"/>
      <c r="C13" s="69"/>
      <c r="D13" s="1006" t="s">
        <v>71</v>
      </c>
      <c r="E13" s="1006" t="s">
        <v>1314</v>
      </c>
      <c r="F13" s="1006"/>
      <c r="G13" s="1006">
        <v>2030</v>
      </c>
      <c r="H13" s="1066" t="s">
        <v>70</v>
      </c>
      <c r="I13" s="1006"/>
      <c r="J13" s="1067">
        <f>INDEX('86 AEC 1MW'!$C$6:$F$39,MATCH(SUP_H2_Production!J$10,'86 AEC 1MW'!$B$6:$B$39,0),MATCH(SUP_H2_Production!$G13,'86 AEC 1MW'!$C$4:$F$4,0))/100</f>
        <v>0.68</v>
      </c>
      <c r="K13" s="1067"/>
      <c r="L13" s="1067"/>
      <c r="M13" s="1067">
        <f>(100-INDEX('86 AEC 1MW'!$C$6:$F$39,MATCH(SUP_H2_Production!M$10,'86 AEC 1MW'!$B$6:$B$39,0),MATCH(SUP_H2_Production!$G13,'86 AEC 1MW'!$C$4:$F$4,0)))/100</f>
        <v>0.98</v>
      </c>
      <c r="N13" s="1069">
        <f>INDEX('86 AEC 1MW'!$C$6:$F$39,MATCH(SUP_H2_Production!N$10,'86 AEC 1MW'!$B$6:$B$39,0),MATCH(SUP_H2_Production!$G13,'86 AEC 1MW'!$C$4:$F$4,0))</f>
        <v>30</v>
      </c>
      <c r="O13" s="1070">
        <v>3.1536000000000002E-2</v>
      </c>
      <c r="P13" s="1067">
        <f>INDEX('86 AEC 1MW'!$C$6:$F$39,MATCH(SUP_H2_Production!P$10,'86 AEC 1MW'!$B$6:$B$39,0),MATCH(SUP_H2_Production!$G13,'86 AEC 1MW'!$C$4:$F$4,0))/$J13/1000*7.45</f>
        <v>6.2448529411764699</v>
      </c>
      <c r="Q13" s="1067">
        <f>INDEX('86 AEC 1MW'!$C$6:$F$39,MATCH(SUP_H2_Production!Q$10,'86 AEC 1MW'!$B$6:$B$39,0),MATCH(SUP_H2_Production!$G13,'86 AEC 1MW'!$C$4:$F$4,0))/$J13/1000*7.45</f>
        <v>5.4779411764705882E-2</v>
      </c>
      <c r="R13" s="1067"/>
      <c r="S13" s="1006"/>
      <c r="T13" s="1006"/>
      <c r="U13" s="1006"/>
      <c r="W13" s="1232"/>
      <c r="X13" s="1232"/>
      <c r="Y13" s="1232"/>
    </row>
    <row r="14" spans="2:25" customFormat="1" ht="14.4">
      <c r="B14" s="69"/>
      <c r="C14" s="69"/>
      <c r="D14" s="1006"/>
      <c r="E14" s="1006"/>
      <c r="F14" s="1006" t="s">
        <v>216</v>
      </c>
      <c r="G14" s="1006"/>
      <c r="H14" s="1066"/>
      <c r="I14" s="1006"/>
      <c r="J14" s="1067"/>
      <c r="K14" s="1067"/>
      <c r="L14" s="1067">
        <f>INDEX('86 AEC 1MW'!$C$6:$F$39,MATCH(SUP_H2_Production!L$10,'86 AEC 1MW'!$B$6:$B$39,0),MATCH(SUP_H2_Production!$G13,'86 AEC 1MW'!$C$4:$F$4,0))/100</f>
        <v>0.14615961596159621</v>
      </c>
      <c r="M14" s="1006"/>
      <c r="N14" s="1069"/>
      <c r="O14" s="1070"/>
      <c r="P14" s="1067"/>
      <c r="Q14" s="1067"/>
      <c r="R14" s="1006"/>
      <c r="S14" s="1006"/>
      <c r="T14" s="1006"/>
      <c r="U14" s="1006"/>
      <c r="W14" s="1232"/>
      <c r="X14" s="1232"/>
      <c r="Y14" s="1232"/>
    </row>
    <row r="15" spans="2:25" customFormat="1" ht="14.4">
      <c r="B15" s="69"/>
      <c r="C15" s="69"/>
      <c r="D15" s="1006" t="s">
        <v>71</v>
      </c>
      <c r="E15" s="1006" t="s">
        <v>1314</v>
      </c>
      <c r="F15" s="1006"/>
      <c r="G15" s="1006">
        <v>2040</v>
      </c>
      <c r="H15" s="1066" t="s">
        <v>70</v>
      </c>
      <c r="I15" s="1006"/>
      <c r="J15" s="1067">
        <f>INDEX('86 AEC 1MW'!$C$6:$F$39,MATCH(SUP_H2_Production!J$10,'86 AEC 1MW'!$B$6:$B$39,0),MATCH(SUP_H2_Production!$G15,'86 AEC 1MW'!$C$4:$F$4,0))/100</f>
        <v>0.71499999999999997</v>
      </c>
      <c r="K15" s="1067"/>
      <c r="L15" s="1067"/>
      <c r="M15" s="1067">
        <f>(100-INDEX('86 AEC 1MW'!$C$6:$F$39,MATCH(SUP_H2_Production!M$10,'86 AEC 1MW'!$B$6:$B$39,0),MATCH(SUP_H2_Production!$G15,'86 AEC 1MW'!$C$4:$F$4,0)))/100</f>
        <v>0.98</v>
      </c>
      <c r="N15" s="1069">
        <f>INDEX('86 AEC 1MW'!$C$6:$F$39,MATCH(SUP_H2_Production!N$10,'86 AEC 1MW'!$B$6:$B$39,0),MATCH(SUP_H2_Production!$G15,'86 AEC 1MW'!$C$4:$F$4,0))</f>
        <v>32</v>
      </c>
      <c r="O15" s="1070">
        <v>3.1536000000000002E-2</v>
      </c>
      <c r="P15" s="1067">
        <f>INDEX('86 AEC 1MW'!$C$6:$F$39,MATCH(SUP_H2_Production!P$10,'86 AEC 1MW'!$B$6:$B$39,0),MATCH(SUP_H2_Production!$G15,'86 AEC 1MW'!$C$4:$F$4,0))/$J15/1000*7.45</f>
        <v>4.6888111888111901</v>
      </c>
      <c r="Q15" s="1067">
        <f>INDEX('86 AEC 1MW'!$C$6:$F$39,MATCH(SUP_H2_Production!Q$10,'86 AEC 1MW'!$B$6:$B$39,0),MATCH(SUP_H2_Production!$G15,'86 AEC 1MW'!$C$4:$F$4,0))/$J15/1000*7.45</f>
        <v>5.2097902097902098E-2</v>
      </c>
      <c r="R15" s="1067"/>
      <c r="S15" s="1006"/>
      <c r="T15" s="1006"/>
      <c r="U15" s="1006"/>
      <c r="W15" s="1232"/>
      <c r="X15" s="1232"/>
      <c r="Y15" s="1232"/>
    </row>
    <row r="16" spans="2:25" customFormat="1" ht="14.4">
      <c r="B16" s="69"/>
      <c r="C16" s="69"/>
      <c r="D16" s="1006"/>
      <c r="E16" s="1006"/>
      <c r="F16" s="1006" t="s">
        <v>216</v>
      </c>
      <c r="G16" s="1006"/>
      <c r="H16" s="1066"/>
      <c r="I16" s="1006"/>
      <c r="J16" s="1067"/>
      <c r="K16" s="1067"/>
      <c r="L16" s="1067">
        <f>INDEX('86 AEC 1MW'!$C$6:$F$39,MATCH(SUP_H2_Production!L$10,'86 AEC 1MW'!$B$6:$B$39,0),MATCH(SUP_H2_Production!$G15,'86 AEC 1MW'!$C$4:$F$4,0))/100</f>
        <v>0.10478547854785489</v>
      </c>
      <c r="M16" s="1006"/>
      <c r="N16" s="1069"/>
      <c r="O16" s="1070"/>
      <c r="P16" s="1067"/>
      <c r="Q16" s="1067"/>
      <c r="R16" s="1006"/>
      <c r="S16" s="1006"/>
      <c r="T16" s="1006"/>
      <c r="U16" s="1006"/>
      <c r="W16" s="1232"/>
      <c r="X16" s="1232"/>
      <c r="Y16" s="1232"/>
    </row>
    <row r="17" spans="2:25" customFormat="1" ht="14.4">
      <c r="B17" s="69"/>
      <c r="C17" s="69"/>
      <c r="D17" s="1006" t="s">
        <v>71</v>
      </c>
      <c r="E17" s="1006" t="s">
        <v>1314</v>
      </c>
      <c r="F17" s="1006"/>
      <c r="G17" s="1006">
        <v>2050</v>
      </c>
      <c r="H17" s="1066" t="s">
        <v>70</v>
      </c>
      <c r="I17" s="1006"/>
      <c r="J17" s="1067">
        <f>INDEX('86 AEC 1MW'!$C$6:$F$39,MATCH(SUP_H2_Production!J$10,'86 AEC 1MW'!$B$6:$B$39,0),MATCH(SUP_H2_Production!$G17,'86 AEC 1MW'!$C$4:$F$4,0))/100</f>
        <v>0.75</v>
      </c>
      <c r="K17" s="1067"/>
      <c r="L17" s="1067"/>
      <c r="M17" s="1067">
        <f>(100-INDEX('86 AEC 1MW'!$C$6:$F$39,MATCH(SUP_H2_Production!M$10,'86 AEC 1MW'!$B$6:$B$39,0),MATCH(SUP_H2_Production!$G17,'86 AEC 1MW'!$C$4:$F$4,0)))/100</f>
        <v>0.98</v>
      </c>
      <c r="N17" s="1069">
        <f>INDEX('86 AEC 1MW'!$C$6:$F$39,MATCH(SUP_H2_Production!N$10,'86 AEC 1MW'!$B$6:$B$39,0),MATCH(SUP_H2_Production!$G17,'86 AEC 1MW'!$C$4:$F$4,0))</f>
        <v>35</v>
      </c>
      <c r="O17" s="1070">
        <v>3.1536000000000002E-2</v>
      </c>
      <c r="P17" s="1067">
        <f>INDEX('86 AEC 1MW'!$C$6:$F$39,MATCH(SUP_H2_Production!P$10,'86 AEC 1MW'!$B$6:$B$39,0),MATCH(SUP_H2_Production!$G17,'86 AEC 1MW'!$C$4:$F$4,0))/$J17/1000*7.45</f>
        <v>3.476666666666667</v>
      </c>
      <c r="Q17" s="1067">
        <f>INDEX('86 AEC 1MW'!$C$6:$F$39,MATCH(SUP_H2_Production!Q$10,'86 AEC 1MW'!$B$6:$B$39,0),MATCH(SUP_H2_Production!$G17,'86 AEC 1MW'!$C$4:$F$4,0))/$J17/1000*7.45</f>
        <v>4.9666666666666671E-2</v>
      </c>
      <c r="R17" s="1067"/>
      <c r="S17" s="1006"/>
      <c r="T17" s="1006"/>
      <c r="U17" s="1006"/>
      <c r="W17" s="1232"/>
      <c r="X17" s="1232"/>
      <c r="Y17" s="1232"/>
    </row>
    <row r="18" spans="2:25" customFormat="1" ht="15" thickBot="1">
      <c r="B18" s="107"/>
      <c r="C18" s="107"/>
      <c r="D18" s="107"/>
      <c r="E18" s="107"/>
      <c r="F18" s="107" t="s">
        <v>216</v>
      </c>
      <c r="G18" s="107"/>
      <c r="H18" s="256"/>
      <c r="I18" s="107"/>
      <c r="J18" s="151"/>
      <c r="K18" s="151"/>
      <c r="L18" s="151">
        <f>INDEX('86 AEC 1MW'!$C$6:$F$39,MATCH(SUP_H2_Production!L$10,'86 AEC 1MW'!$B$6:$B$39,0),MATCH(SUP_H2_Production!$G17,'86 AEC 1MW'!$C$4:$F$4,0))/100</f>
        <v>6.3411341134113425E-2</v>
      </c>
      <c r="M18" s="107"/>
      <c r="N18" s="107"/>
      <c r="O18" s="107"/>
      <c r="P18" s="257"/>
      <c r="Q18" s="257"/>
      <c r="R18" s="107"/>
      <c r="S18" s="107"/>
      <c r="T18" s="107"/>
      <c r="U18" s="1006"/>
      <c r="W18" s="1232"/>
      <c r="X18" s="1232"/>
      <c r="Y18" s="1232"/>
    </row>
    <row r="19" spans="2:25" customFormat="1" ht="14.4">
      <c r="B19" s="1232" t="s">
        <v>1737</v>
      </c>
      <c r="C19" s="1232" t="s">
        <v>1732</v>
      </c>
      <c r="D19" s="1006" t="s">
        <v>71</v>
      </c>
      <c r="E19" s="1006" t="s">
        <v>348</v>
      </c>
      <c r="F19" s="1006"/>
      <c r="G19" s="1006">
        <v>2020</v>
      </c>
      <c r="H19" s="1066" t="s">
        <v>70</v>
      </c>
      <c r="I19" s="1006">
        <v>2020</v>
      </c>
      <c r="J19" s="1067">
        <f>INDEX('86 AEC 1MW'!$C$6:$F$39,MATCH(SUP_H2_Production!J$10,'86 AEC 1MW'!$B$6:$B$39,0),MATCH(SUP_H2_Production!$G19,'86 AEC 1MW'!$C$4:$F$4,0))/100</f>
        <v>0.66500000000000004</v>
      </c>
      <c r="K19" s="1067"/>
      <c r="L19" s="1067"/>
      <c r="M19" s="1067">
        <f>(100-INDEX('86 AEC 1MW'!$C$6:$F$39,MATCH(SUP_H2_Production!M$10,'86 AEC 1MW'!$B$6:$B$39,0),MATCH(SUP_H2_Production!$G19,'86 AEC 1MW'!$C$4:$F$4,0)))/100</f>
        <v>0.98</v>
      </c>
      <c r="N19" s="1069">
        <f>INDEX('86 AEC 1MW'!$C$6:$F$39,MATCH(SUP_H2_Production!N$10,'86 AEC 1MW'!$B$6:$B$39,0),MATCH(SUP_H2_Production!$G19,'86 AEC 1MW'!$C$4:$F$4,0))</f>
        <v>25</v>
      </c>
      <c r="O19" s="1070">
        <v>3.1536000000000002E-2</v>
      </c>
      <c r="P19" s="1067">
        <f>INDEX('86 AEC 1MW'!$C$6:$F$39,MATCH(SUP_H2_Production!P$10,'86 AEC 1MW'!$B$6:$B$39,0),MATCH(SUP_H2_Production!$G19,'86 AEC 1MW'!$C$4:$F$4,0))/$J19/1000*7.45</f>
        <v>8.4022556390977439</v>
      </c>
      <c r="Q19" s="1067">
        <f>INDEX('86 AEC 1MW'!$C$6:$F$39,MATCH(SUP_H2_Production!Q$10,'86 AEC 1MW'!$B$6:$B$39,0),MATCH(SUP_H2_Production!$G19,'86 AEC 1MW'!$C$4:$F$4,0))/$J19/1000*7.45</f>
        <v>5.6015037593984969E-2</v>
      </c>
      <c r="R19" s="1067"/>
      <c r="S19" s="1006">
        <v>0.5</v>
      </c>
      <c r="T19" s="1006" t="s">
        <v>1734</v>
      </c>
      <c r="U19" s="1006"/>
      <c r="W19" s="1232"/>
      <c r="X19" s="1232"/>
      <c r="Y19" s="1232"/>
    </row>
    <row r="20" spans="2:25" customFormat="1" ht="14.4">
      <c r="B20" s="1232"/>
      <c r="C20" s="1232"/>
      <c r="D20" s="1232"/>
      <c r="E20" s="1232"/>
      <c r="F20" s="1232" t="s">
        <v>259</v>
      </c>
      <c r="G20" s="1232"/>
      <c r="H20" s="241"/>
      <c r="I20" s="1232"/>
      <c r="J20" s="1240" t="s">
        <v>124</v>
      </c>
      <c r="K20" s="141"/>
      <c r="L20" s="1067">
        <f>INDEX('86 AEC 1MW'!$C$6:$F$39,MATCH(SUP_H2_Production!L$10,'86 AEC 1MW'!$B$6:$B$39,0),MATCH(SUP_H2_Production!$G19,'86 AEC 1MW'!$C$4:$F$4,0))/100</f>
        <v>0.16389138913891388</v>
      </c>
      <c r="M20" s="1232"/>
      <c r="N20" s="281"/>
      <c r="O20" s="103"/>
      <c r="P20" s="141"/>
      <c r="Q20" s="141"/>
      <c r="R20" s="1232"/>
      <c r="S20" s="1232"/>
      <c r="T20" s="1232"/>
      <c r="U20" s="1232"/>
      <c r="W20" s="1232"/>
      <c r="X20" s="1232"/>
      <c r="Y20" s="1232"/>
    </row>
    <row r="21" spans="2:25" customFormat="1" ht="14.4">
      <c r="B21" s="1232"/>
      <c r="C21" s="1232"/>
      <c r="D21" s="1006" t="s">
        <v>71</v>
      </c>
      <c r="E21" s="1006" t="s">
        <v>348</v>
      </c>
      <c r="F21" s="1006"/>
      <c r="G21" s="1006">
        <v>2030</v>
      </c>
      <c r="H21" s="1066" t="s">
        <v>70</v>
      </c>
      <c r="I21" s="1006"/>
      <c r="J21" s="1067">
        <f>INDEX('86 AEC 1MW'!$C$6:$F$39,MATCH(SUP_H2_Production!J$10,'86 AEC 1MW'!$B$6:$B$39,0),MATCH(SUP_H2_Production!$G21,'86 AEC 1MW'!$C$4:$F$4,0))/100</f>
        <v>0.68</v>
      </c>
      <c r="K21" s="1067"/>
      <c r="L21" s="1067"/>
      <c r="M21" s="1067">
        <f>(100-INDEX('86 AEC 1MW'!$C$6:$F$39,MATCH(SUP_H2_Production!M$10,'86 AEC 1MW'!$B$6:$B$39,0),MATCH(SUP_H2_Production!$G21,'86 AEC 1MW'!$C$4:$F$4,0)))/100</f>
        <v>0.98</v>
      </c>
      <c r="N21" s="1069">
        <f>INDEX('86 AEC 1MW'!$C$6:$F$39,MATCH(SUP_H2_Production!N$10,'86 AEC 1MW'!$B$6:$B$39,0),MATCH(SUP_H2_Production!$G21,'86 AEC 1MW'!$C$4:$F$4,0))</f>
        <v>30</v>
      </c>
      <c r="O21" s="1070">
        <v>3.1536000000000002E-2</v>
      </c>
      <c r="P21" s="1067">
        <f>INDEX('86 AEC 1MW'!$C$6:$F$39,MATCH(SUP_H2_Production!P$10,'86 AEC 1MW'!$B$6:$B$39,0),MATCH(SUP_H2_Production!$G21,'86 AEC 1MW'!$C$4:$F$4,0))/$J21/1000*7.45</f>
        <v>6.2448529411764699</v>
      </c>
      <c r="Q21" s="1067">
        <f>INDEX('86 AEC 1MW'!$C$6:$F$39,MATCH(SUP_H2_Production!Q$10,'86 AEC 1MW'!$B$6:$B$39,0),MATCH(SUP_H2_Production!$G21,'86 AEC 1MW'!$C$4:$F$4,0))/$J21/1000*7.45</f>
        <v>5.4779411764705882E-2</v>
      </c>
      <c r="R21" s="1067"/>
      <c r="S21" s="1006"/>
      <c r="T21" s="1006"/>
      <c r="U21" s="1006"/>
      <c r="W21" s="1232"/>
      <c r="X21" s="1232"/>
      <c r="Y21" s="1232"/>
    </row>
    <row r="22" spans="2:25" customFormat="1" ht="14.4">
      <c r="B22" s="1232"/>
      <c r="C22" s="1232"/>
      <c r="D22" s="1006"/>
      <c r="E22" s="1006"/>
      <c r="F22" s="1232" t="s">
        <v>259</v>
      </c>
      <c r="G22" s="1006"/>
      <c r="H22" s="1066"/>
      <c r="I22" s="1006"/>
      <c r="J22" s="1067"/>
      <c r="K22" s="1067"/>
      <c r="L22" s="1067">
        <f>INDEX('86 AEC 1MW'!$C$6:$F$39,MATCH(SUP_H2_Production!L$10,'86 AEC 1MW'!$B$6:$B$39,0),MATCH(SUP_H2_Production!$G21,'86 AEC 1MW'!$C$4:$F$4,0))/100</f>
        <v>0.14615961596159621</v>
      </c>
      <c r="M22" s="1006"/>
      <c r="N22" s="1069"/>
      <c r="O22" s="1070"/>
      <c r="P22" s="1067"/>
      <c r="Q22" s="1067"/>
      <c r="R22" s="1006"/>
      <c r="S22" s="1006"/>
      <c r="T22" s="1006"/>
      <c r="U22" s="1006"/>
      <c r="W22" s="1232"/>
      <c r="X22" s="1232"/>
      <c r="Y22" s="1232"/>
    </row>
    <row r="23" spans="2:25" customFormat="1" ht="14.4">
      <c r="B23" s="1232"/>
      <c r="C23" s="1232"/>
      <c r="D23" s="1006" t="s">
        <v>71</v>
      </c>
      <c r="E23" s="1006" t="s">
        <v>348</v>
      </c>
      <c r="F23" s="1006"/>
      <c r="G23" s="1006">
        <v>2040</v>
      </c>
      <c r="H23" s="1066" t="s">
        <v>70</v>
      </c>
      <c r="I23" s="1006"/>
      <c r="J23" s="1067">
        <f>INDEX('86 AEC 1MW'!$C$6:$F$39,MATCH(SUP_H2_Production!J$10,'86 AEC 1MW'!$B$6:$B$39,0),MATCH(SUP_H2_Production!$G23,'86 AEC 1MW'!$C$4:$F$4,0))/100</f>
        <v>0.71499999999999997</v>
      </c>
      <c r="K23" s="1067"/>
      <c r="L23" s="1067"/>
      <c r="M23" s="1067">
        <f>(100-INDEX('86 AEC 1MW'!$C$6:$F$39,MATCH(SUP_H2_Production!M$10,'86 AEC 1MW'!$B$6:$B$39,0),MATCH(SUP_H2_Production!$G23,'86 AEC 1MW'!$C$4:$F$4,0)))/100</f>
        <v>0.98</v>
      </c>
      <c r="N23" s="1069">
        <f>INDEX('86 AEC 1MW'!$C$6:$F$39,MATCH(SUP_H2_Production!N$10,'86 AEC 1MW'!$B$6:$B$39,0),MATCH(SUP_H2_Production!$G23,'86 AEC 1MW'!$C$4:$F$4,0))</f>
        <v>32</v>
      </c>
      <c r="O23" s="1070">
        <v>3.1536000000000002E-2</v>
      </c>
      <c r="P23" s="1067">
        <f>INDEX('86 AEC 1MW'!$C$6:$F$39,MATCH(SUP_H2_Production!P$10,'86 AEC 1MW'!$B$6:$B$39,0),MATCH(SUP_H2_Production!$G23,'86 AEC 1MW'!$C$4:$F$4,0))/$J23/1000*7.45</f>
        <v>4.6888111888111901</v>
      </c>
      <c r="Q23" s="1067">
        <f>INDEX('86 AEC 1MW'!$C$6:$F$39,MATCH(SUP_H2_Production!Q$10,'86 AEC 1MW'!$B$6:$B$39,0),MATCH(SUP_H2_Production!$G23,'86 AEC 1MW'!$C$4:$F$4,0))/$J23/1000*7.45</f>
        <v>5.2097902097902098E-2</v>
      </c>
      <c r="R23" s="1067"/>
      <c r="S23" s="1006"/>
      <c r="T23" s="1006"/>
      <c r="U23" s="1006"/>
      <c r="W23" s="1232"/>
      <c r="X23" s="1232"/>
      <c r="Y23" s="1232"/>
    </row>
    <row r="24" spans="2:25" customFormat="1" ht="14.4">
      <c r="B24" s="1232"/>
      <c r="C24" s="1232"/>
      <c r="D24" s="1006"/>
      <c r="E24" s="1006"/>
      <c r="F24" s="1232" t="s">
        <v>259</v>
      </c>
      <c r="G24" s="1006"/>
      <c r="H24" s="1066"/>
      <c r="I24" s="1006"/>
      <c r="J24" s="1067"/>
      <c r="K24" s="1067"/>
      <c r="L24" s="1067">
        <f>INDEX('86 AEC 1MW'!$C$6:$F$39,MATCH(SUP_H2_Production!L$10,'86 AEC 1MW'!$B$6:$B$39,0),MATCH(SUP_H2_Production!$G23,'86 AEC 1MW'!$C$4:$F$4,0))/100</f>
        <v>0.10478547854785489</v>
      </c>
      <c r="M24" s="1006"/>
      <c r="N24" s="1069"/>
      <c r="O24" s="1070"/>
      <c r="P24" s="1067"/>
      <c r="Q24" s="1067"/>
      <c r="R24" s="1006"/>
      <c r="S24" s="1006"/>
      <c r="T24" s="1006"/>
      <c r="U24" s="1006"/>
      <c r="W24" s="1232"/>
      <c r="X24" s="1232"/>
      <c r="Y24" s="1232"/>
    </row>
    <row r="25" spans="2:25" customFormat="1" ht="14.4">
      <c r="B25" s="1232"/>
      <c r="C25" s="1232"/>
      <c r="D25" s="1006" t="s">
        <v>71</v>
      </c>
      <c r="E25" s="1006" t="s">
        <v>348</v>
      </c>
      <c r="F25" s="1006"/>
      <c r="G25" s="1006">
        <v>2050</v>
      </c>
      <c r="H25" s="1066" t="s">
        <v>70</v>
      </c>
      <c r="I25" s="1006"/>
      <c r="J25" s="1067">
        <f>INDEX('86 AEC 1MW'!$C$6:$F$39,MATCH(SUP_H2_Production!J$10,'86 AEC 1MW'!$B$6:$B$39,0),MATCH(SUP_H2_Production!$G25,'86 AEC 1MW'!$C$4:$F$4,0))/100</f>
        <v>0.75</v>
      </c>
      <c r="K25" s="1067"/>
      <c r="L25" s="1067"/>
      <c r="M25" s="1067">
        <f>(100-INDEX('86 AEC 1MW'!$C$6:$F$39,MATCH(SUP_H2_Production!M$10,'86 AEC 1MW'!$B$6:$B$39,0),MATCH(SUP_H2_Production!$G25,'86 AEC 1MW'!$C$4:$F$4,0)))/100</f>
        <v>0.98</v>
      </c>
      <c r="N25" s="1069">
        <f>INDEX('86 AEC 1MW'!$C$6:$F$39,MATCH(SUP_H2_Production!N$10,'86 AEC 1MW'!$B$6:$B$39,0),MATCH(SUP_H2_Production!$G25,'86 AEC 1MW'!$C$4:$F$4,0))</f>
        <v>35</v>
      </c>
      <c r="O25" s="1070">
        <v>3.1536000000000002E-2</v>
      </c>
      <c r="P25" s="1067">
        <f>INDEX('86 AEC 1MW'!$C$6:$F$39,MATCH(SUP_H2_Production!P$10,'86 AEC 1MW'!$B$6:$B$39,0),MATCH(SUP_H2_Production!$G25,'86 AEC 1MW'!$C$4:$F$4,0))/$J25/1000*7.45</f>
        <v>3.476666666666667</v>
      </c>
      <c r="Q25" s="1067">
        <f>INDEX('86 AEC 1MW'!$C$6:$F$39,MATCH(SUP_H2_Production!Q$10,'86 AEC 1MW'!$B$6:$B$39,0),MATCH(SUP_H2_Production!$G25,'86 AEC 1MW'!$C$4:$F$4,0))/$J25/1000*7.45</f>
        <v>4.9666666666666671E-2</v>
      </c>
      <c r="R25" s="1067"/>
      <c r="S25" s="1006"/>
      <c r="T25" s="1006"/>
      <c r="U25" s="1006"/>
      <c r="W25" s="1232"/>
      <c r="X25" s="1232"/>
      <c r="Y25" s="1232"/>
    </row>
    <row r="26" spans="2:25" customFormat="1" ht="15" thickBot="1">
      <c r="B26" s="107"/>
      <c r="C26" s="107"/>
      <c r="D26" s="107"/>
      <c r="E26" s="107"/>
      <c r="F26" s="107" t="s">
        <v>259</v>
      </c>
      <c r="G26" s="107"/>
      <c r="H26" s="256"/>
      <c r="I26" s="107"/>
      <c r="J26" s="151"/>
      <c r="K26" s="151"/>
      <c r="L26" s="151">
        <f>INDEX('86 AEC 1MW'!$C$6:$F$39,MATCH(SUP_H2_Production!L$10,'86 AEC 1MW'!$B$6:$B$39,0),MATCH(SUP_H2_Production!$G25,'86 AEC 1MW'!$C$4:$F$4,0))/100</f>
        <v>6.3411341134113425E-2</v>
      </c>
      <c r="M26" s="107"/>
      <c r="N26" s="107"/>
      <c r="O26" s="107"/>
      <c r="P26" s="257"/>
      <c r="Q26" s="257"/>
      <c r="R26" s="107"/>
      <c r="S26" s="107"/>
      <c r="T26" s="107"/>
      <c r="U26" s="1006"/>
      <c r="W26" s="1232"/>
      <c r="X26" s="1232"/>
      <c r="Y26" s="1232"/>
    </row>
    <row r="27" spans="2:25" customFormat="1" ht="14.4">
      <c r="B27" s="1232" t="s">
        <v>1738</v>
      </c>
      <c r="C27" s="1232" t="s">
        <v>1733</v>
      </c>
      <c r="D27" s="1006" t="s">
        <v>71</v>
      </c>
      <c r="E27" s="1006" t="s">
        <v>1314</v>
      </c>
      <c r="F27" s="1006"/>
      <c r="G27" s="1006">
        <v>2020</v>
      </c>
      <c r="H27" s="1066" t="s">
        <v>70</v>
      </c>
      <c r="I27" s="1006">
        <v>2020</v>
      </c>
      <c r="J27" s="1067">
        <f>INDEX('86 AEC 1MW'!$C$6:$F$39,MATCH(SUP_H2_Production!J$10,'86 AEC 1MW'!$B$6:$B$39,0),MATCH(SUP_H2_Production!$G27,'86 AEC 1MW'!$C$4:$F$4,0))/100</f>
        <v>0.66500000000000004</v>
      </c>
      <c r="K27" s="1067"/>
      <c r="L27" s="1067"/>
      <c r="M27" s="1067">
        <f>(100-INDEX('86 AEC 1MW'!$C$6:$F$39,MATCH(SUP_H2_Production!M$10,'86 AEC 1MW'!$B$6:$B$39,0),MATCH(SUP_H2_Production!$G27,'86 AEC 1MW'!$C$4:$F$4,0)))/100</f>
        <v>0.98</v>
      </c>
      <c r="N27" s="1069">
        <f>INDEX('86 AEC 1MW'!$C$6:$F$39,MATCH(SUP_H2_Production!N$10,'86 AEC 1MW'!$B$6:$B$39,0),MATCH(SUP_H2_Production!$G27,'86 AEC 1MW'!$C$4:$F$4,0))</f>
        <v>25</v>
      </c>
      <c r="O27" s="1070">
        <v>3.1536000000000002E-2</v>
      </c>
      <c r="P27" s="1067">
        <f>INDEX('86 AEC 1MW'!$C$6:$F$39,MATCH(SUP_H2_Production!P$10,'86 AEC 1MW'!$B$6:$B$39,0),MATCH(SUP_H2_Production!$G27,'86 AEC 1MW'!$C$4:$F$4,0))/$J27/1000*7.45</f>
        <v>8.4022556390977439</v>
      </c>
      <c r="Q27" s="1067">
        <f>INDEX('86 AEC 1MW'!$C$6:$F$39,MATCH(SUP_H2_Production!Q$10,'86 AEC 1MW'!$B$6:$B$39,0),MATCH(SUP_H2_Production!$G27,'86 AEC 1MW'!$C$4:$F$4,0))/$J27/1000*7.45</f>
        <v>5.6015037593984969E-2</v>
      </c>
      <c r="R27" s="1067"/>
      <c r="S27" s="1006">
        <v>0.5</v>
      </c>
      <c r="T27" s="1006" t="s">
        <v>1734</v>
      </c>
      <c r="U27" s="1006"/>
      <c r="W27" s="1232"/>
      <c r="X27" s="1232"/>
      <c r="Y27" s="1232"/>
    </row>
    <row r="28" spans="2:25" customFormat="1" ht="14.4">
      <c r="B28" s="1232"/>
      <c r="C28" s="1232"/>
      <c r="D28" s="1232"/>
      <c r="E28" s="1232"/>
      <c r="F28" s="1232"/>
      <c r="G28" s="1232"/>
      <c r="H28" s="241"/>
      <c r="I28" s="1232"/>
      <c r="J28" s="1240" t="s">
        <v>124</v>
      </c>
      <c r="K28" s="141"/>
      <c r="L28" s="1067">
        <f>INDEX('86 AEC 1MW'!$C$6:$F$39,MATCH(SUP_H2_Production!L$10,'86 AEC 1MW'!$B$6:$B$39,0),MATCH(SUP_H2_Production!$G27,'86 AEC 1MW'!$C$4:$F$4,0))/100</f>
        <v>0.16389138913891388</v>
      </c>
      <c r="M28" s="1232"/>
      <c r="N28" s="281"/>
      <c r="O28" s="103"/>
      <c r="P28" s="141"/>
      <c r="Q28" s="141"/>
      <c r="R28" s="1232"/>
      <c r="S28" s="1232"/>
      <c r="T28" s="1232"/>
      <c r="U28" s="1232"/>
      <c r="W28" s="1232"/>
      <c r="X28" s="1232"/>
      <c r="Y28" s="1232"/>
    </row>
    <row r="29" spans="2:25" customFormat="1" ht="14.4">
      <c r="B29" s="1232"/>
      <c r="C29" s="1232"/>
      <c r="D29" s="1006" t="s">
        <v>71</v>
      </c>
      <c r="E29" s="1006" t="s">
        <v>1314</v>
      </c>
      <c r="F29" s="1006"/>
      <c r="G29" s="1006">
        <v>2030</v>
      </c>
      <c r="H29" s="1066" t="s">
        <v>70</v>
      </c>
      <c r="I29" s="1006"/>
      <c r="J29" s="1067">
        <f>INDEX('86 AEC 1MW'!$C$6:$F$39,MATCH(SUP_H2_Production!J$10,'86 AEC 1MW'!$B$6:$B$39,0),MATCH(SUP_H2_Production!$G29,'86 AEC 1MW'!$C$4:$F$4,0))/100</f>
        <v>0.68</v>
      </c>
      <c r="K29" s="1067"/>
      <c r="L29" s="1067"/>
      <c r="M29" s="1067">
        <f>(100-INDEX('86 AEC 1MW'!$C$6:$F$39,MATCH(SUP_H2_Production!M$10,'86 AEC 1MW'!$B$6:$B$39,0),MATCH(SUP_H2_Production!$G29,'86 AEC 1MW'!$C$4:$F$4,0)))/100</f>
        <v>0.98</v>
      </c>
      <c r="N29" s="1069">
        <f>INDEX('86 AEC 1MW'!$C$6:$F$39,MATCH(SUP_H2_Production!N$10,'86 AEC 1MW'!$B$6:$B$39,0),MATCH(SUP_H2_Production!$G29,'86 AEC 1MW'!$C$4:$F$4,0))</f>
        <v>30</v>
      </c>
      <c r="O29" s="1070">
        <v>3.1536000000000002E-2</v>
      </c>
      <c r="P29" s="1067">
        <f>INDEX('86 AEC 1MW'!$C$6:$F$39,MATCH(SUP_H2_Production!P$10,'86 AEC 1MW'!$B$6:$B$39,0),MATCH(SUP_H2_Production!$G29,'86 AEC 1MW'!$C$4:$F$4,0))/$J29/1000*7.45</f>
        <v>6.2448529411764699</v>
      </c>
      <c r="Q29" s="1067">
        <f>INDEX('86 AEC 1MW'!$C$6:$F$39,MATCH(SUP_H2_Production!Q$10,'86 AEC 1MW'!$B$6:$B$39,0),MATCH(SUP_H2_Production!$G29,'86 AEC 1MW'!$C$4:$F$4,0))/$J29/1000*7.45</f>
        <v>5.4779411764705882E-2</v>
      </c>
      <c r="R29" s="1067"/>
      <c r="S29" s="1006"/>
      <c r="T29" s="1006"/>
      <c r="U29" s="1006"/>
      <c r="W29" s="1232"/>
      <c r="X29" s="1232"/>
      <c r="Y29" s="1232"/>
    </row>
    <row r="30" spans="2:25" customFormat="1" ht="14.4">
      <c r="B30" s="1232"/>
      <c r="C30" s="1232"/>
      <c r="D30" s="1006"/>
      <c r="E30" s="1006"/>
      <c r="F30" s="1006"/>
      <c r="G30" s="1006"/>
      <c r="H30" s="1066"/>
      <c r="I30" s="1006"/>
      <c r="J30" s="1067"/>
      <c r="K30" s="1067"/>
      <c r="L30" s="1067">
        <f>INDEX('86 AEC 1MW'!$C$6:$F$39,MATCH(SUP_H2_Production!L$10,'86 AEC 1MW'!$B$6:$B$39,0),MATCH(SUP_H2_Production!$G29,'86 AEC 1MW'!$C$4:$F$4,0))/100</f>
        <v>0.14615961596159621</v>
      </c>
      <c r="M30" s="1006"/>
      <c r="N30" s="1069"/>
      <c r="O30" s="1070"/>
      <c r="P30" s="1067"/>
      <c r="Q30" s="1067"/>
      <c r="R30" s="1006"/>
      <c r="S30" s="1006"/>
      <c r="T30" s="1006"/>
      <c r="U30" s="1006"/>
      <c r="W30" s="1232"/>
      <c r="X30" s="1232"/>
      <c r="Y30" s="1232"/>
    </row>
    <row r="31" spans="2:25" customFormat="1" ht="14.4">
      <c r="B31" s="1232"/>
      <c r="C31" s="1232"/>
      <c r="D31" s="1006" t="s">
        <v>71</v>
      </c>
      <c r="E31" s="1006" t="s">
        <v>1314</v>
      </c>
      <c r="F31" s="1006"/>
      <c r="G31" s="1006">
        <v>2040</v>
      </c>
      <c r="H31" s="1066" t="s">
        <v>70</v>
      </c>
      <c r="I31" s="1006"/>
      <c r="J31" s="1067">
        <f>INDEX('86 AEC 1MW'!$C$6:$F$39,MATCH(SUP_H2_Production!J$10,'86 AEC 1MW'!$B$6:$B$39,0),MATCH(SUP_H2_Production!$G31,'86 AEC 1MW'!$C$4:$F$4,0))/100</f>
        <v>0.71499999999999997</v>
      </c>
      <c r="K31" s="1067"/>
      <c r="L31" s="1067"/>
      <c r="M31" s="1067">
        <f>(100-INDEX('86 AEC 1MW'!$C$6:$F$39,MATCH(SUP_H2_Production!M$10,'86 AEC 1MW'!$B$6:$B$39,0),MATCH(SUP_H2_Production!$G31,'86 AEC 1MW'!$C$4:$F$4,0)))/100</f>
        <v>0.98</v>
      </c>
      <c r="N31" s="1069">
        <f>INDEX('86 AEC 1MW'!$C$6:$F$39,MATCH(SUP_H2_Production!N$10,'86 AEC 1MW'!$B$6:$B$39,0),MATCH(SUP_H2_Production!$G31,'86 AEC 1MW'!$C$4:$F$4,0))</f>
        <v>32</v>
      </c>
      <c r="O31" s="1070">
        <v>3.1536000000000002E-2</v>
      </c>
      <c r="P31" s="1067">
        <f>INDEX('86 AEC 1MW'!$C$6:$F$39,MATCH(SUP_H2_Production!P$10,'86 AEC 1MW'!$B$6:$B$39,0),MATCH(SUP_H2_Production!$G31,'86 AEC 1MW'!$C$4:$F$4,0))/$J31/1000*7.45</f>
        <v>4.6888111888111901</v>
      </c>
      <c r="Q31" s="1067">
        <f>INDEX('86 AEC 1MW'!$C$6:$F$39,MATCH(SUP_H2_Production!Q$10,'86 AEC 1MW'!$B$6:$B$39,0),MATCH(SUP_H2_Production!$G31,'86 AEC 1MW'!$C$4:$F$4,0))/$J31/1000*7.45</f>
        <v>5.2097902097902098E-2</v>
      </c>
      <c r="R31" s="1067"/>
      <c r="S31" s="1006"/>
      <c r="T31" s="1006"/>
      <c r="U31" s="1006"/>
      <c r="W31" s="1232"/>
      <c r="X31" s="1232"/>
      <c r="Y31" s="1232"/>
    </row>
    <row r="32" spans="2:25" customFormat="1" ht="14.4">
      <c r="B32" s="1232"/>
      <c r="C32" s="1232"/>
      <c r="D32" s="1006"/>
      <c r="E32" s="1006"/>
      <c r="F32" s="1006"/>
      <c r="G32" s="1006"/>
      <c r="H32" s="1066"/>
      <c r="I32" s="1006"/>
      <c r="J32" s="1067"/>
      <c r="K32" s="1067"/>
      <c r="L32" s="1067">
        <f>INDEX('86 AEC 1MW'!$C$6:$F$39,MATCH(SUP_H2_Production!L$10,'86 AEC 1MW'!$B$6:$B$39,0),MATCH(SUP_H2_Production!$G31,'86 AEC 1MW'!$C$4:$F$4,0))/100</f>
        <v>0.10478547854785489</v>
      </c>
      <c r="M32" s="1006"/>
      <c r="N32" s="1069"/>
      <c r="O32" s="1070"/>
      <c r="P32" s="1067"/>
      <c r="Q32" s="1067"/>
      <c r="R32" s="1006"/>
      <c r="S32" s="1006"/>
      <c r="T32" s="1006"/>
      <c r="U32" s="1006"/>
      <c r="W32" s="1232"/>
      <c r="X32" s="1232"/>
      <c r="Y32" s="1232"/>
    </row>
    <row r="33" spans="2:25" customFormat="1" ht="14.4">
      <c r="B33" s="1232"/>
      <c r="C33" s="1232"/>
      <c r="D33" s="1006" t="s">
        <v>71</v>
      </c>
      <c r="E33" s="1006" t="s">
        <v>1314</v>
      </c>
      <c r="F33" s="1006"/>
      <c r="G33" s="1006">
        <v>2050</v>
      </c>
      <c r="H33" s="1066" t="s">
        <v>70</v>
      </c>
      <c r="I33" s="1006"/>
      <c r="J33" s="1067">
        <f>INDEX('86 AEC 1MW'!$C$6:$F$39,MATCH(SUP_H2_Production!J$10,'86 AEC 1MW'!$B$6:$B$39,0),MATCH(SUP_H2_Production!$G33,'86 AEC 1MW'!$C$4:$F$4,0))/100</f>
        <v>0.75</v>
      </c>
      <c r="K33" s="1067"/>
      <c r="L33" s="1067"/>
      <c r="M33" s="1067">
        <f>(100-INDEX('86 AEC 1MW'!$C$6:$F$39,MATCH(SUP_H2_Production!M$10,'86 AEC 1MW'!$B$6:$B$39,0),MATCH(SUP_H2_Production!$G33,'86 AEC 1MW'!$C$4:$F$4,0)))/100</f>
        <v>0.98</v>
      </c>
      <c r="N33" s="1069">
        <f>INDEX('86 AEC 1MW'!$C$6:$F$39,MATCH(SUP_H2_Production!N$10,'86 AEC 1MW'!$B$6:$B$39,0),MATCH(SUP_H2_Production!$G33,'86 AEC 1MW'!$C$4:$F$4,0))</f>
        <v>35</v>
      </c>
      <c r="O33" s="1070">
        <v>3.1536000000000002E-2</v>
      </c>
      <c r="P33" s="1067">
        <f>INDEX('86 AEC 1MW'!$C$6:$F$39,MATCH(SUP_H2_Production!P$10,'86 AEC 1MW'!$B$6:$B$39,0),MATCH(SUP_H2_Production!$G33,'86 AEC 1MW'!$C$4:$F$4,0))/$J33/1000*7.45</f>
        <v>3.476666666666667</v>
      </c>
      <c r="Q33" s="1067">
        <f>INDEX('86 AEC 1MW'!$C$6:$F$39,MATCH(SUP_H2_Production!Q$10,'86 AEC 1MW'!$B$6:$B$39,0),MATCH(SUP_H2_Production!$G33,'86 AEC 1MW'!$C$4:$F$4,0))/$J33/1000*7.45</f>
        <v>4.9666666666666671E-2</v>
      </c>
      <c r="R33" s="1067"/>
      <c r="S33" s="1006"/>
      <c r="T33" s="1006"/>
      <c r="U33" s="1006"/>
      <c r="W33" s="1232"/>
      <c r="X33" s="1232"/>
      <c r="Y33" s="1232"/>
    </row>
    <row r="34" spans="2:25" customFormat="1" ht="15" thickBot="1">
      <c r="B34" s="107"/>
      <c r="C34" s="107"/>
      <c r="D34" s="107"/>
      <c r="E34" s="107"/>
      <c r="F34" s="107"/>
      <c r="G34" s="107"/>
      <c r="H34" s="256"/>
      <c r="I34" s="107"/>
      <c r="J34" s="151"/>
      <c r="K34" s="151"/>
      <c r="L34" s="151">
        <f>INDEX('86 AEC 1MW'!$C$6:$F$39,MATCH(SUP_H2_Production!L$10,'86 AEC 1MW'!$B$6:$B$39,0),MATCH(SUP_H2_Production!$G33,'86 AEC 1MW'!$C$4:$F$4,0))/100</f>
        <v>6.3411341134113425E-2</v>
      </c>
      <c r="M34" s="107"/>
      <c r="N34" s="107"/>
      <c r="O34" s="107"/>
      <c r="P34" s="257"/>
      <c r="Q34" s="257"/>
      <c r="R34" s="107"/>
      <c r="S34" s="107"/>
      <c r="T34" s="107"/>
      <c r="U34" s="1006"/>
      <c r="W34" s="1232"/>
      <c r="X34" s="1232"/>
      <c r="Y34" s="1232"/>
    </row>
    <row r="35" spans="2:25" customFormat="1" ht="14.4">
      <c r="B35" s="1232" t="s">
        <v>1739</v>
      </c>
      <c r="C35" s="1232" t="s">
        <v>1731</v>
      </c>
      <c r="D35" s="1006" t="s">
        <v>71</v>
      </c>
      <c r="E35" s="1006" t="s">
        <v>1314</v>
      </c>
      <c r="F35" s="1006"/>
      <c r="G35" s="1006">
        <v>2020</v>
      </c>
      <c r="H35" s="1066" t="s">
        <v>70</v>
      </c>
      <c r="I35" s="1006">
        <v>2020</v>
      </c>
      <c r="J35" s="1067">
        <f>INDEX('86 AEC 100MW'!$C$6:$F$39,MATCH(SUP_H2_Production!J$10,'86 AEC 100MW'!$B$6:$B$39,0),MATCH(SUP_H2_Production!$G35,'86 AEC 100MW'!$C$4:$F$4,0))/100</f>
        <v>0.66500000000000004</v>
      </c>
      <c r="K35" s="1067"/>
      <c r="L35" s="1067"/>
      <c r="M35" s="1067">
        <f>(100-INDEX('86 AEC 100MW'!$C$6:$F$39,MATCH(SUP_H2_Production!M$10,'86 AEC 100MW'!$B$6:$B$39,0),MATCH(SUP_H2_Production!$G35,'86 AEC 100MW'!$C$4:$F$4,0)))/100</f>
        <v>0.98</v>
      </c>
      <c r="N35" s="1069">
        <f>INDEX('86 AEC 100MW'!$C$6:$F$39,MATCH(SUP_H2_Production!N$10,'86 AEC 100MW'!$B$6:$B$39,0),MATCH(SUP_H2_Production!$G35,'86 AEC 100MW'!$C$4:$F$4,0))</f>
        <v>25</v>
      </c>
      <c r="O35" s="1070">
        <v>3.1536000000000002E-2</v>
      </c>
      <c r="P35" s="1067">
        <f>INDEX('86 AEC 100MW'!$C$6:$F$39,MATCH(SUP_H2_Production!P$10,'86 AEC 100MW'!$B$6:$B$39,0),MATCH(SUP_H2_Production!$G35,'86 AEC 100MW'!$C$4:$F$4,0))/$J35/1000*7.45</f>
        <v>7.2819548872180446</v>
      </c>
      <c r="Q35" s="1067">
        <f>INDEX('86 AEC 100MW'!$C$6:$F$39,MATCH(SUP_H2_Production!Q$10,'86 AEC 100MW'!$B$6:$B$39,0),MATCH(SUP_H2_Production!$G35,'86 AEC 100MW'!$C$4:$F$4,0))/$J35/1000*7.45</f>
        <v>2.2406015037593985E-2</v>
      </c>
      <c r="R35" s="1067"/>
      <c r="S35" s="1006">
        <v>0.5</v>
      </c>
      <c r="T35" s="1006" t="s">
        <v>1734</v>
      </c>
      <c r="U35" s="1006"/>
      <c r="W35" s="1232"/>
      <c r="X35" s="1232"/>
      <c r="Y35" s="1232"/>
    </row>
    <row r="36" spans="2:25" customFormat="1" ht="14.4">
      <c r="B36" s="1232"/>
      <c r="C36" s="1232"/>
      <c r="D36" s="1232"/>
      <c r="E36" s="1232"/>
      <c r="F36" s="1232" t="s">
        <v>216</v>
      </c>
      <c r="G36" s="1232"/>
      <c r="H36" s="241"/>
      <c r="I36" s="1232"/>
      <c r="J36" s="1240" t="s">
        <v>124</v>
      </c>
      <c r="K36" s="141"/>
      <c r="L36" s="1067">
        <f>INDEX('86 AEC 100MW'!$C$6:$F$39,MATCH(SUP_H2_Production!L$10,'86 AEC 100MW'!$B$6:$B$39,0),MATCH(SUP_H2_Production!$G35,'86 AEC 100MW'!$C$4:$F$4,0))/100</f>
        <v>0.18389138913891387</v>
      </c>
      <c r="M36" s="1232"/>
      <c r="N36" s="281"/>
      <c r="O36" s="103"/>
      <c r="P36" s="141"/>
      <c r="Q36" s="141"/>
      <c r="R36" s="1232"/>
      <c r="S36" s="1232"/>
      <c r="T36" s="1232"/>
      <c r="U36" s="1232"/>
      <c r="W36" s="1232"/>
      <c r="X36" s="1232"/>
      <c r="Y36" s="1232"/>
    </row>
    <row r="37" spans="2:25" customFormat="1" ht="14.4">
      <c r="B37" s="1232"/>
      <c r="C37" s="1232"/>
      <c r="D37" s="1006" t="s">
        <v>71</v>
      </c>
      <c r="E37" s="1006" t="s">
        <v>1314</v>
      </c>
      <c r="F37" s="1006"/>
      <c r="G37" s="1006">
        <v>2030</v>
      </c>
      <c r="H37" s="1066" t="s">
        <v>70</v>
      </c>
      <c r="I37" s="1006"/>
      <c r="J37" s="1067">
        <f>INDEX('86 AEC 100MW'!$C$6:$F$39,MATCH(SUP_H2_Production!J$10,'86 AEC 100MW'!$B$6:$B$39,0),MATCH(SUP_H2_Production!$G37,'86 AEC 100MW'!$C$4:$F$4,0))/100</f>
        <v>0.68</v>
      </c>
      <c r="K37" s="1067"/>
      <c r="L37" s="1067"/>
      <c r="M37" s="1067">
        <f>(100-INDEX('86 AEC 100MW'!$C$6:$F$39,MATCH(SUP_H2_Production!M$10,'86 AEC 100MW'!$B$6:$B$39,0),MATCH(SUP_H2_Production!$G37,'86 AEC 100MW'!$C$4:$F$4,0)))/100</f>
        <v>0.98</v>
      </c>
      <c r="N37" s="1069">
        <f>INDEX('86 AEC 100MW'!$C$6:$F$39,MATCH(SUP_H2_Production!N$10,'86 AEC 100MW'!$B$6:$B$39,0),MATCH(SUP_H2_Production!$G37,'86 AEC 100MW'!$C$4:$F$4,0))</f>
        <v>30</v>
      </c>
      <c r="O37" s="1070">
        <v>3.1536000000000002E-2</v>
      </c>
      <c r="P37" s="1067">
        <f>INDEX('86 AEC 100MW'!$C$6:$F$39,MATCH(SUP_H2_Production!P$10,'86 AEC 100MW'!$B$6:$B$39,0),MATCH(SUP_H2_Production!$G37,'86 AEC 100MW'!$C$4:$F$4,0))/$J37/1000*7.45</f>
        <v>4.930147058823529</v>
      </c>
      <c r="Q37" s="1067">
        <f>INDEX('86 AEC 100MW'!$C$6:$F$39,MATCH(SUP_H2_Production!Q$10,'86 AEC 100MW'!$B$6:$B$39,0),MATCH(SUP_H2_Production!$G37,'86 AEC 100MW'!$C$4:$F$4,0))/$J37/1000*7.45</f>
        <v>2.1911764705882353E-2</v>
      </c>
      <c r="R37" s="1067"/>
      <c r="S37" s="1006"/>
      <c r="T37" s="1006"/>
      <c r="U37" s="1006"/>
      <c r="W37" s="1232"/>
      <c r="X37" s="1232"/>
      <c r="Y37" s="1232"/>
    </row>
    <row r="38" spans="2:25" customFormat="1" ht="14.4">
      <c r="B38" s="1232"/>
      <c r="C38" s="1232"/>
      <c r="D38" s="1006"/>
      <c r="E38" s="1006"/>
      <c r="F38" s="1006" t="s">
        <v>216</v>
      </c>
      <c r="G38" s="1006"/>
      <c r="H38" s="1066"/>
      <c r="I38" s="1006"/>
      <c r="J38" s="1067"/>
      <c r="K38" s="1067"/>
      <c r="L38" s="1067">
        <f>INDEX('86 AEC 100MW'!$C$6:$F$39,MATCH(SUP_H2_Production!L$10,'86 AEC 100MW'!$B$6:$B$39,0),MATCH(SUP_H2_Production!$G37,'86 AEC 100MW'!$C$4:$F$4,0))/100</f>
        <v>0.16615961596159623</v>
      </c>
      <c r="M38" s="1006"/>
      <c r="N38" s="1069"/>
      <c r="O38" s="1070"/>
      <c r="P38" s="1067"/>
      <c r="Q38" s="1067"/>
      <c r="R38" s="1006"/>
      <c r="S38" s="1006"/>
      <c r="T38" s="1006"/>
      <c r="U38" s="1006"/>
      <c r="W38" s="1232"/>
      <c r="X38" s="1232"/>
      <c r="Y38" s="1232"/>
    </row>
    <row r="39" spans="2:25" customFormat="1" ht="14.4">
      <c r="B39" s="1232"/>
      <c r="C39" s="1232"/>
      <c r="D39" s="1006" t="s">
        <v>71</v>
      </c>
      <c r="E39" s="1006" t="s">
        <v>1314</v>
      </c>
      <c r="F39" s="1006"/>
      <c r="G39" s="1006">
        <v>2040</v>
      </c>
      <c r="H39" s="1066" t="s">
        <v>70</v>
      </c>
      <c r="I39" s="1006"/>
      <c r="J39" s="1067">
        <f>INDEX('86 AEC 100MW'!$C$6:$F$39,MATCH(SUP_H2_Production!J$10,'86 AEC 100MW'!$B$6:$B$39,0),MATCH(SUP_H2_Production!$G39,'86 AEC 100MW'!$C$4:$F$4,0))/100</f>
        <v>0.71499999999999997</v>
      </c>
      <c r="K39" s="1067"/>
      <c r="L39" s="1067"/>
      <c r="M39" s="1067">
        <f>(100-INDEX('86 AEC 100MW'!$C$6:$F$39,MATCH(SUP_H2_Production!M$10,'86 AEC 100MW'!$B$6:$B$39,0),MATCH(SUP_H2_Production!$G39,'86 AEC 100MW'!$C$4:$F$4,0)))/100</f>
        <v>0.98</v>
      </c>
      <c r="N39" s="1069">
        <f>INDEX('86 AEC 100MW'!$C$6:$F$39,MATCH(SUP_H2_Production!N$10,'86 AEC 100MW'!$B$6:$B$39,0),MATCH(SUP_H2_Production!$G39,'86 AEC 100MW'!$C$4:$F$4,0))</f>
        <v>32</v>
      </c>
      <c r="O39" s="1070">
        <v>3.1536000000000002E-2</v>
      </c>
      <c r="P39" s="1067">
        <f>INDEX('86 AEC 100MW'!$C$6:$F$39,MATCH(SUP_H2_Production!P$10,'86 AEC 100MW'!$B$6:$B$39,0),MATCH(SUP_H2_Production!$G39,'86 AEC 100MW'!$C$4:$F$4,0))/$J39/1000*7.45</f>
        <v>3.1258741258741258</v>
      </c>
      <c r="Q39" s="1067">
        <f>INDEX('86 AEC 100MW'!$C$6:$F$39,MATCH(SUP_H2_Production!Q$10,'86 AEC 100MW'!$B$6:$B$39,0),MATCH(SUP_H2_Production!$G39,'86 AEC 100MW'!$C$4:$F$4,0))/$J39/1000*7.45</f>
        <v>2.0839160839160844E-2</v>
      </c>
      <c r="R39" s="1067"/>
      <c r="S39" s="1006"/>
      <c r="T39" s="1006"/>
      <c r="U39" s="1006"/>
      <c r="W39" s="1232"/>
      <c r="X39" s="1232"/>
      <c r="Y39" s="1232"/>
    </row>
    <row r="40" spans="2:25" customFormat="1" ht="14.4">
      <c r="B40" s="1232"/>
      <c r="C40" s="1232"/>
      <c r="D40" s="1006"/>
      <c r="E40" s="1006"/>
      <c r="F40" s="1006" t="s">
        <v>216</v>
      </c>
      <c r="G40" s="1006"/>
      <c r="H40" s="1066"/>
      <c r="I40" s="1006"/>
      <c r="J40" s="1067"/>
      <c r="K40" s="1067"/>
      <c r="L40" s="1067">
        <f>INDEX('86 AEC 100MW'!$C$6:$F$39,MATCH(SUP_H2_Production!L$10,'86 AEC 100MW'!$B$6:$B$39,0),MATCH(SUP_H2_Production!$G39,'86 AEC 100MW'!$C$4:$F$4,0))/100</f>
        <v>0.12478547854785489</v>
      </c>
      <c r="M40" s="1006"/>
      <c r="N40" s="1069"/>
      <c r="O40" s="1070"/>
      <c r="P40" s="1067"/>
      <c r="Q40" s="1067"/>
      <c r="R40" s="1006"/>
      <c r="S40" s="1006"/>
      <c r="T40" s="1006"/>
      <c r="U40" s="1006"/>
      <c r="W40" s="1232"/>
      <c r="X40" s="1232"/>
      <c r="Y40" s="1232"/>
    </row>
    <row r="41" spans="2:25" customFormat="1" ht="14.4">
      <c r="B41" s="1232"/>
      <c r="C41" s="1232"/>
      <c r="D41" s="1006" t="s">
        <v>71</v>
      </c>
      <c r="E41" s="1006" t="s">
        <v>1314</v>
      </c>
      <c r="F41" s="1006"/>
      <c r="G41" s="1006">
        <v>2050</v>
      </c>
      <c r="H41" s="1066" t="s">
        <v>70</v>
      </c>
      <c r="I41" s="1006"/>
      <c r="J41" s="1067">
        <f>INDEX('86 AEC 100MW'!$C$6:$F$39,MATCH(SUP_H2_Production!J$10,'86 AEC 100MW'!$B$6:$B$39,0),MATCH(SUP_H2_Production!$G41,'86 AEC 100MW'!$C$4:$F$4,0))/100</f>
        <v>0.75</v>
      </c>
      <c r="K41" s="1067"/>
      <c r="L41" s="1067"/>
      <c r="M41" s="1067">
        <f>(100-INDEX('86 AEC 100MW'!$C$6:$F$39,MATCH(SUP_H2_Production!M$10,'86 AEC 100MW'!$B$6:$B$39,0),MATCH(SUP_H2_Production!$G41,'86 AEC 100MW'!$C$4:$F$4,0)))/100</f>
        <v>0.98</v>
      </c>
      <c r="N41" s="1069">
        <f>INDEX('86 AEC 100MW'!$C$6:$F$39,MATCH(SUP_H2_Production!N$10,'86 AEC 100MW'!$B$6:$B$39,0),MATCH(SUP_H2_Production!$G41,'86 AEC 100MW'!$C$4:$F$4,0))</f>
        <v>35</v>
      </c>
      <c r="O41" s="1070">
        <v>3.1536000000000002E-2</v>
      </c>
      <c r="P41" s="1067">
        <f>INDEX('86 AEC 100MW'!$C$6:$F$39,MATCH(SUP_H2_Production!P$10,'86 AEC 100MW'!$B$6:$B$39,0),MATCH(SUP_H2_Production!$G41,'86 AEC 100MW'!$C$4:$F$4,0))/$J41/1000*7.45</f>
        <v>2.4833333333333334</v>
      </c>
      <c r="Q41" s="1067">
        <f>INDEX('86 AEC 100MW'!$C$6:$F$39,MATCH(SUP_H2_Production!Q$10,'86 AEC 100MW'!$B$6:$B$39,0),MATCH(SUP_H2_Production!$G41,'86 AEC 100MW'!$C$4:$F$4,0))/$J41/1000*7.45</f>
        <v>1.9866666666666668E-2</v>
      </c>
      <c r="R41" s="1067"/>
      <c r="S41" s="1006"/>
      <c r="T41" s="1006"/>
      <c r="U41" s="1006"/>
      <c r="W41" s="1232"/>
      <c r="X41" s="1232"/>
      <c r="Y41" s="1232"/>
    </row>
    <row r="42" spans="2:25" customFormat="1" ht="15" thickBot="1">
      <c r="B42" s="107"/>
      <c r="C42" s="107"/>
      <c r="D42" s="107"/>
      <c r="E42" s="107"/>
      <c r="F42" s="107" t="s">
        <v>216</v>
      </c>
      <c r="G42" s="107"/>
      <c r="H42" s="256"/>
      <c r="I42" s="107"/>
      <c r="J42" s="151"/>
      <c r="K42" s="151"/>
      <c r="L42" s="151">
        <f>INDEX('86 AEC 100MW'!$C$6:$F$39,MATCH(SUP_H2_Production!L$10,'86 AEC 100MW'!$B$6:$B$39,0),MATCH(SUP_H2_Production!$G41,'86 AEC 100MW'!$C$4:$F$4,0))/100</f>
        <v>8.3411341134113429E-2</v>
      </c>
      <c r="M42" s="107"/>
      <c r="N42" s="107"/>
      <c r="O42" s="107"/>
      <c r="P42" s="257"/>
      <c r="Q42" s="257"/>
      <c r="R42" s="107"/>
      <c r="S42" s="107"/>
      <c r="T42" s="107"/>
      <c r="U42" s="1006"/>
      <c r="W42" s="1232"/>
      <c r="X42" s="1232"/>
      <c r="Y42" s="1232"/>
    </row>
    <row r="43" spans="2:25" customFormat="1" ht="14.4">
      <c r="B43" s="1232" t="s">
        <v>1740</v>
      </c>
      <c r="C43" s="1232" t="s">
        <v>1732</v>
      </c>
      <c r="D43" s="1006" t="s">
        <v>71</v>
      </c>
      <c r="E43" s="1006" t="s">
        <v>348</v>
      </c>
      <c r="F43" s="1006"/>
      <c r="G43" s="1006">
        <v>2020</v>
      </c>
      <c r="H43" s="1066" t="s">
        <v>70</v>
      </c>
      <c r="I43" s="1006">
        <v>2020</v>
      </c>
      <c r="J43" s="1067">
        <f>INDEX('86 AEC 100MW'!$C$6:$F$39,MATCH(SUP_H2_Production!J$10,'86 AEC 100MW'!$B$6:$B$39,0),MATCH(SUP_H2_Production!$G43,'86 AEC 100MW'!$C$4:$F$4,0))/100</f>
        <v>0.66500000000000004</v>
      </c>
      <c r="K43" s="1067"/>
      <c r="L43" s="1067"/>
      <c r="M43" s="1067">
        <f>(100-INDEX('86 AEC 100MW'!$C$6:$F$39,MATCH(SUP_H2_Production!M$10,'86 AEC 100MW'!$B$6:$B$39,0),MATCH(SUP_H2_Production!$G43,'86 AEC 100MW'!$C$4:$F$4,0)))/100</f>
        <v>0.98</v>
      </c>
      <c r="N43" s="1069">
        <f>INDEX('86 AEC 100MW'!$C$6:$F$39,MATCH(SUP_H2_Production!N$10,'86 AEC 100MW'!$B$6:$B$39,0),MATCH(SUP_H2_Production!$G43,'86 AEC 100MW'!$C$4:$F$4,0))</f>
        <v>25</v>
      </c>
      <c r="O43" s="1070">
        <v>3.1536000000000002E-2</v>
      </c>
      <c r="P43" s="1067">
        <f>INDEX('86 AEC 100MW'!$C$6:$F$39,MATCH(SUP_H2_Production!P$10,'86 AEC 100MW'!$B$6:$B$39,0),MATCH(SUP_H2_Production!$G43,'86 AEC 100MW'!$C$4:$F$4,0))/$J43/1000*7.45</f>
        <v>7.2819548872180446</v>
      </c>
      <c r="Q43" s="1067">
        <f>INDEX('86 AEC 100MW'!$C$6:$F$39,MATCH(SUP_H2_Production!Q$10,'86 AEC 100MW'!$B$6:$B$39,0),MATCH(SUP_H2_Production!$G43,'86 AEC 100MW'!$C$4:$F$4,0))/$J43/1000*7.45</f>
        <v>2.2406015037593985E-2</v>
      </c>
      <c r="R43" s="1067"/>
      <c r="S43" s="1006">
        <v>0.5</v>
      </c>
      <c r="T43" s="1006" t="s">
        <v>1734</v>
      </c>
      <c r="U43" s="1006"/>
      <c r="W43" s="1232"/>
      <c r="X43" s="1232"/>
      <c r="Y43" s="1232"/>
    </row>
    <row r="44" spans="2:25" customFormat="1" ht="14.4">
      <c r="B44" s="1232"/>
      <c r="C44" s="1232"/>
      <c r="D44" s="1232"/>
      <c r="E44" s="1232"/>
      <c r="F44" s="1232" t="s">
        <v>259</v>
      </c>
      <c r="G44" s="1232"/>
      <c r="H44" s="241"/>
      <c r="I44" s="1232"/>
      <c r="J44" s="1240" t="s">
        <v>124</v>
      </c>
      <c r="K44" s="141"/>
      <c r="L44" s="1067">
        <f>INDEX('86 AEC 100MW'!$C$6:$F$39,MATCH(SUP_H2_Production!L$10,'86 AEC 100MW'!$B$6:$B$39,0),MATCH(SUP_H2_Production!$G43,'86 AEC 100MW'!$C$4:$F$4,0))/100</f>
        <v>0.18389138913891387</v>
      </c>
      <c r="M44" s="1232"/>
      <c r="N44" s="281"/>
      <c r="O44" s="103"/>
      <c r="P44" s="141"/>
      <c r="Q44" s="141"/>
      <c r="R44" s="1232"/>
      <c r="S44" s="1232"/>
      <c r="T44" s="1232"/>
      <c r="U44" s="1232"/>
      <c r="W44" s="1232"/>
      <c r="X44" s="1232"/>
      <c r="Y44" s="1232"/>
    </row>
    <row r="45" spans="2:25" customFormat="1" ht="14.4">
      <c r="B45" s="1232"/>
      <c r="C45" s="1232"/>
      <c r="D45" s="1006" t="s">
        <v>71</v>
      </c>
      <c r="E45" s="1006" t="s">
        <v>348</v>
      </c>
      <c r="F45" s="1006"/>
      <c r="G45" s="1006">
        <v>2030</v>
      </c>
      <c r="H45" s="1066" t="s">
        <v>70</v>
      </c>
      <c r="I45" s="1006"/>
      <c r="J45" s="1067">
        <f>INDEX('86 AEC 100MW'!$C$6:$F$39,MATCH(SUP_H2_Production!J$10,'86 AEC 100MW'!$B$6:$B$39,0),MATCH(SUP_H2_Production!$G45,'86 AEC 100MW'!$C$4:$F$4,0))/100</f>
        <v>0.68</v>
      </c>
      <c r="K45" s="1067"/>
      <c r="L45" s="1067"/>
      <c r="M45" s="1067">
        <f>(100-INDEX('86 AEC 100MW'!$C$6:$F$39,MATCH(SUP_H2_Production!M$10,'86 AEC 100MW'!$B$6:$B$39,0),MATCH(SUP_H2_Production!$G45,'86 AEC 100MW'!$C$4:$F$4,0)))/100</f>
        <v>0.98</v>
      </c>
      <c r="N45" s="1069">
        <f>INDEX('86 AEC 100MW'!$C$6:$F$39,MATCH(SUP_H2_Production!N$10,'86 AEC 100MW'!$B$6:$B$39,0),MATCH(SUP_H2_Production!$G45,'86 AEC 100MW'!$C$4:$F$4,0))</f>
        <v>30</v>
      </c>
      <c r="O45" s="1070">
        <v>3.1536000000000002E-2</v>
      </c>
      <c r="P45" s="1067">
        <f>INDEX('86 AEC 100MW'!$C$6:$F$39,MATCH(SUP_H2_Production!P$10,'86 AEC 100MW'!$B$6:$B$39,0),MATCH(SUP_H2_Production!$G45,'86 AEC 100MW'!$C$4:$F$4,0))/$J45/1000*7.45</f>
        <v>4.930147058823529</v>
      </c>
      <c r="Q45" s="1067">
        <f>INDEX('86 AEC 100MW'!$C$6:$F$39,MATCH(SUP_H2_Production!Q$10,'86 AEC 100MW'!$B$6:$B$39,0),MATCH(SUP_H2_Production!$G45,'86 AEC 100MW'!$C$4:$F$4,0))/$J45/1000*7.45</f>
        <v>2.1911764705882353E-2</v>
      </c>
      <c r="R45" s="1067"/>
      <c r="S45" s="1006"/>
      <c r="T45" s="1006"/>
      <c r="U45" s="1006"/>
      <c r="W45" s="1232"/>
      <c r="X45" s="1232"/>
      <c r="Y45" s="1232"/>
    </row>
    <row r="46" spans="2:25">
      <c r="B46" s="1232"/>
      <c r="C46" s="1232"/>
      <c r="D46" s="1006"/>
      <c r="E46" s="1006"/>
      <c r="F46" s="1232" t="s">
        <v>259</v>
      </c>
      <c r="G46" s="1006"/>
      <c r="H46" s="1066"/>
      <c r="I46" s="1006"/>
      <c r="J46" s="1067"/>
      <c r="K46" s="1067"/>
      <c r="L46" s="1067">
        <f>INDEX('86 AEC 100MW'!$C$6:$F$39,MATCH(SUP_H2_Production!L$10,'86 AEC 100MW'!$B$6:$B$39,0),MATCH(SUP_H2_Production!$G45,'86 AEC 100MW'!$C$4:$F$4,0))/100</f>
        <v>0.16615961596159623</v>
      </c>
      <c r="M46" s="1006"/>
      <c r="N46" s="1069"/>
      <c r="O46" s="1070"/>
      <c r="P46" s="1067"/>
      <c r="Q46" s="1067"/>
      <c r="R46" s="1006"/>
      <c r="S46" s="1006"/>
      <c r="T46" s="1006"/>
      <c r="U46" s="1006"/>
    </row>
    <row r="47" spans="2:25">
      <c r="B47" s="1232"/>
      <c r="C47" s="1232"/>
      <c r="D47" s="1006" t="s">
        <v>71</v>
      </c>
      <c r="E47" s="1006" t="s">
        <v>348</v>
      </c>
      <c r="F47" s="1006"/>
      <c r="G47" s="1006">
        <v>2040</v>
      </c>
      <c r="H47" s="1066" t="s">
        <v>70</v>
      </c>
      <c r="I47" s="1006"/>
      <c r="J47" s="1067">
        <f>INDEX('86 AEC 100MW'!$C$6:$F$39,MATCH(SUP_H2_Production!J$10,'86 AEC 100MW'!$B$6:$B$39,0),MATCH(SUP_H2_Production!$G47,'86 AEC 100MW'!$C$4:$F$4,0))/100</f>
        <v>0.71499999999999997</v>
      </c>
      <c r="K47" s="1067"/>
      <c r="L47" s="1067"/>
      <c r="M47" s="1067">
        <f>(100-INDEX('86 AEC 100MW'!$C$6:$F$39,MATCH(SUP_H2_Production!M$10,'86 AEC 100MW'!$B$6:$B$39,0),MATCH(SUP_H2_Production!$G47,'86 AEC 100MW'!$C$4:$F$4,0)))/100</f>
        <v>0.98</v>
      </c>
      <c r="N47" s="1069">
        <f>INDEX('86 AEC 100MW'!$C$6:$F$39,MATCH(SUP_H2_Production!N$10,'86 AEC 100MW'!$B$6:$B$39,0),MATCH(SUP_H2_Production!$G47,'86 AEC 100MW'!$C$4:$F$4,0))</f>
        <v>32</v>
      </c>
      <c r="O47" s="1070">
        <v>3.1536000000000002E-2</v>
      </c>
      <c r="P47" s="1067">
        <f>INDEX('86 AEC 100MW'!$C$6:$F$39,MATCH(SUP_H2_Production!P$10,'86 AEC 100MW'!$B$6:$B$39,0),MATCH(SUP_H2_Production!$G47,'86 AEC 100MW'!$C$4:$F$4,0))/$J47/1000*7.45</f>
        <v>3.1258741258741258</v>
      </c>
      <c r="Q47" s="1067">
        <f>INDEX('86 AEC 100MW'!$C$6:$F$39,MATCH(SUP_H2_Production!Q$10,'86 AEC 100MW'!$B$6:$B$39,0),MATCH(SUP_H2_Production!$G47,'86 AEC 100MW'!$C$4:$F$4,0))/$J47/1000*7.45</f>
        <v>2.0839160839160844E-2</v>
      </c>
      <c r="R47" s="1067"/>
      <c r="S47" s="1006"/>
      <c r="T47" s="1006"/>
      <c r="U47" s="1006"/>
    </row>
    <row r="48" spans="2:25">
      <c r="B48" s="1232"/>
      <c r="C48" s="1232"/>
      <c r="D48" s="1006"/>
      <c r="E48" s="1006"/>
      <c r="F48" s="1232" t="s">
        <v>259</v>
      </c>
      <c r="G48" s="1006"/>
      <c r="H48" s="1066"/>
      <c r="I48" s="1006"/>
      <c r="J48" s="1067"/>
      <c r="K48" s="1067"/>
      <c r="L48" s="1067">
        <f>INDEX('86 AEC 100MW'!$C$6:$F$39,MATCH(SUP_H2_Production!L$10,'86 AEC 100MW'!$B$6:$B$39,0),MATCH(SUP_H2_Production!$G47,'86 AEC 100MW'!$C$4:$F$4,0))/100</f>
        <v>0.12478547854785489</v>
      </c>
      <c r="M48" s="1006"/>
      <c r="N48" s="1069"/>
      <c r="O48" s="1070"/>
      <c r="P48" s="1067"/>
      <c r="Q48" s="1067"/>
      <c r="R48" s="1006"/>
      <c r="S48" s="1006"/>
      <c r="T48" s="1006"/>
      <c r="U48" s="1006"/>
    </row>
    <row r="49" spans="2:22" ht="14.4">
      <c r="B49" s="1232"/>
      <c r="C49" s="1232"/>
      <c r="D49" s="1006" t="s">
        <v>71</v>
      </c>
      <c r="E49" s="1006" t="s">
        <v>348</v>
      </c>
      <c r="F49" s="1006"/>
      <c r="G49" s="1006">
        <v>2050</v>
      </c>
      <c r="H49" s="1066" t="s">
        <v>70</v>
      </c>
      <c r="I49" s="1006"/>
      <c r="J49" s="1067">
        <f>INDEX('86 AEC 100MW'!$C$6:$F$39,MATCH(SUP_H2_Production!J$10,'86 AEC 100MW'!$B$6:$B$39,0),MATCH(SUP_H2_Production!$G49,'86 AEC 100MW'!$C$4:$F$4,0))/100</f>
        <v>0.75</v>
      </c>
      <c r="K49" s="1067"/>
      <c r="L49" s="1067"/>
      <c r="M49" s="1067">
        <f>(100-INDEX('86 AEC 100MW'!$C$6:$F$39,MATCH(SUP_H2_Production!M$10,'86 AEC 100MW'!$B$6:$B$39,0),MATCH(SUP_H2_Production!$G49,'86 AEC 100MW'!$C$4:$F$4,0)))/100</f>
        <v>0.98</v>
      </c>
      <c r="N49" s="1069">
        <f>INDEX('86 AEC 100MW'!$C$6:$F$39,MATCH(SUP_H2_Production!N$10,'86 AEC 100MW'!$B$6:$B$39,0),MATCH(SUP_H2_Production!$G49,'86 AEC 100MW'!$C$4:$F$4,0))</f>
        <v>35</v>
      </c>
      <c r="O49" s="1070">
        <v>3.1536000000000002E-2</v>
      </c>
      <c r="P49" s="1067">
        <f>INDEX('86 AEC 100MW'!$C$6:$F$39,MATCH(SUP_H2_Production!P$10,'86 AEC 100MW'!$B$6:$B$39,0),MATCH(SUP_H2_Production!$G49,'86 AEC 100MW'!$C$4:$F$4,0))/$J49/1000*7.45</f>
        <v>2.4833333333333334</v>
      </c>
      <c r="Q49" s="1067">
        <f>INDEX('86 AEC 100MW'!$C$6:$F$39,MATCH(SUP_H2_Production!Q$10,'86 AEC 100MW'!$B$6:$B$39,0),MATCH(SUP_H2_Production!$G49,'86 AEC 100MW'!$C$4:$F$4,0))/$J49/1000*7.45</f>
        <v>1.9866666666666668E-2</v>
      </c>
      <c r="R49" s="1067"/>
      <c r="S49" s="1006"/>
      <c r="T49" s="1006"/>
      <c r="U49" s="1006"/>
      <c r="V49"/>
    </row>
    <row r="50" spans="2:22" ht="13.8" thickBot="1">
      <c r="B50" s="107"/>
      <c r="C50" s="107"/>
      <c r="D50" s="107"/>
      <c r="E50" s="107"/>
      <c r="F50" s="107" t="s">
        <v>259</v>
      </c>
      <c r="G50" s="107"/>
      <c r="H50" s="256"/>
      <c r="I50" s="107"/>
      <c r="J50" s="151"/>
      <c r="K50" s="151"/>
      <c r="L50" s="151">
        <f>INDEX('86 AEC 100MW'!$C$6:$F$39,MATCH(SUP_H2_Production!L$10,'86 AEC 100MW'!$B$6:$B$39,0),MATCH(SUP_H2_Production!$G49,'86 AEC 100MW'!$C$4:$F$4,0))/100</f>
        <v>8.3411341134113429E-2</v>
      </c>
      <c r="M50" s="107"/>
      <c r="N50" s="107"/>
      <c r="O50" s="107"/>
      <c r="P50" s="257"/>
      <c r="Q50" s="257"/>
      <c r="R50" s="107"/>
      <c r="S50" s="107"/>
      <c r="T50" s="107"/>
      <c r="U50" s="1006"/>
    </row>
    <row r="51" spans="2:22">
      <c r="B51" s="1232" t="s">
        <v>1741</v>
      </c>
      <c r="C51" s="1232" t="s">
        <v>1733</v>
      </c>
      <c r="D51" s="1006" t="s">
        <v>71</v>
      </c>
      <c r="E51" s="1006" t="s">
        <v>1314</v>
      </c>
      <c r="F51" s="1006"/>
      <c r="G51" s="1006">
        <v>2020</v>
      </c>
      <c r="H51" s="1066" t="s">
        <v>70</v>
      </c>
      <c r="I51" s="1006">
        <v>2020</v>
      </c>
      <c r="J51" s="1067">
        <f>INDEX('86 AEC 100MW'!$C$6:$F$39,MATCH(SUP_H2_Production!J$10,'86 AEC 100MW'!$B$6:$B$39,0),MATCH(SUP_H2_Production!$G51,'86 AEC 100MW'!$C$4:$F$4,0))/100</f>
        <v>0.66500000000000004</v>
      </c>
      <c r="K51" s="1067"/>
      <c r="L51" s="1067"/>
      <c r="M51" s="1067">
        <f>(100-INDEX('86 AEC 100MW'!$C$6:$F$39,MATCH(SUP_H2_Production!M$10,'86 AEC 100MW'!$B$6:$B$39,0),MATCH(SUP_H2_Production!$G51,'86 AEC 100MW'!$C$4:$F$4,0)))/100</f>
        <v>0.98</v>
      </c>
      <c r="N51" s="1069">
        <f>INDEX('86 AEC 100MW'!$C$6:$F$39,MATCH(SUP_H2_Production!N$10,'86 AEC 100MW'!$B$6:$B$39,0),MATCH(SUP_H2_Production!$G51,'86 AEC 100MW'!$C$4:$F$4,0))</f>
        <v>25</v>
      </c>
      <c r="O51" s="1070">
        <v>3.1536000000000002E-2</v>
      </c>
      <c r="P51" s="1067">
        <f>INDEX('86 AEC 100MW'!$C$6:$F$39,MATCH(SUP_H2_Production!P$10,'86 AEC 100MW'!$B$6:$B$39,0),MATCH(SUP_H2_Production!$G51,'86 AEC 100MW'!$C$4:$F$4,0))/$J51/1000*7.45</f>
        <v>7.2819548872180446</v>
      </c>
      <c r="Q51" s="1067">
        <f>INDEX('86 AEC 100MW'!$C$6:$F$39,MATCH(SUP_H2_Production!Q$10,'86 AEC 100MW'!$B$6:$B$39,0),MATCH(SUP_H2_Production!$G51,'86 AEC 100MW'!$C$4:$F$4,0))/$J51/1000*7.45</f>
        <v>2.2406015037593985E-2</v>
      </c>
      <c r="R51" s="1067"/>
      <c r="S51" s="1006">
        <v>0.5</v>
      </c>
      <c r="T51" s="1006" t="s">
        <v>1734</v>
      </c>
      <c r="U51" s="1006"/>
    </row>
    <row r="52" spans="2:22">
      <c r="B52" s="1232"/>
      <c r="C52" s="1232"/>
      <c r="D52" s="1232"/>
      <c r="E52" s="1232"/>
      <c r="F52" s="1232"/>
      <c r="G52" s="1232"/>
      <c r="H52" s="241"/>
      <c r="I52" s="1232"/>
      <c r="J52" s="1240" t="s">
        <v>124</v>
      </c>
      <c r="K52" s="141"/>
      <c r="L52" s="1067">
        <f>INDEX('86 AEC 100MW'!$C$6:$F$39,MATCH(SUP_H2_Production!L$10,'86 AEC 100MW'!$B$6:$B$39,0),MATCH(SUP_H2_Production!$G51,'86 AEC 100MW'!$C$4:$F$4,0))/100</f>
        <v>0.18389138913891387</v>
      </c>
      <c r="M52" s="1232"/>
      <c r="N52" s="281"/>
      <c r="O52" s="103"/>
      <c r="P52" s="141"/>
      <c r="Q52" s="141"/>
      <c r="R52" s="1232"/>
      <c r="S52" s="1232"/>
      <c r="T52" s="1232"/>
    </row>
    <row r="53" spans="2:22">
      <c r="B53" s="1232"/>
      <c r="C53" s="1232"/>
      <c r="D53" s="1006" t="s">
        <v>71</v>
      </c>
      <c r="E53" s="1006" t="s">
        <v>1314</v>
      </c>
      <c r="F53" s="1006"/>
      <c r="G53" s="1006">
        <v>2030</v>
      </c>
      <c r="H53" s="1066" t="s">
        <v>70</v>
      </c>
      <c r="I53" s="1006"/>
      <c r="J53" s="1067">
        <f>INDEX('86 AEC 100MW'!$C$6:$F$39,MATCH(SUP_H2_Production!J$10,'86 AEC 100MW'!$B$6:$B$39,0),MATCH(SUP_H2_Production!$G53,'86 AEC 100MW'!$C$4:$F$4,0))/100</f>
        <v>0.68</v>
      </c>
      <c r="K53" s="1067"/>
      <c r="L53" s="1067"/>
      <c r="M53" s="1067">
        <f>(100-INDEX('86 AEC 100MW'!$C$6:$F$39,MATCH(SUP_H2_Production!M$10,'86 AEC 100MW'!$B$6:$B$39,0),MATCH(SUP_H2_Production!$G53,'86 AEC 100MW'!$C$4:$F$4,0)))/100</f>
        <v>0.98</v>
      </c>
      <c r="N53" s="1069">
        <f>INDEX('86 AEC 100MW'!$C$6:$F$39,MATCH(SUP_H2_Production!N$10,'86 AEC 100MW'!$B$6:$B$39,0),MATCH(SUP_H2_Production!$G53,'86 AEC 100MW'!$C$4:$F$4,0))</f>
        <v>30</v>
      </c>
      <c r="O53" s="1070">
        <v>3.1536000000000002E-2</v>
      </c>
      <c r="P53" s="1067">
        <f>INDEX('86 AEC 100MW'!$C$6:$F$39,MATCH(SUP_H2_Production!P$10,'86 AEC 100MW'!$B$6:$B$39,0),MATCH(SUP_H2_Production!$G53,'86 AEC 100MW'!$C$4:$F$4,0))/$J53/1000*7.45</f>
        <v>4.930147058823529</v>
      </c>
      <c r="Q53" s="1067">
        <f>INDEX('86 AEC 100MW'!$C$6:$F$39,MATCH(SUP_H2_Production!Q$10,'86 AEC 100MW'!$B$6:$B$39,0),MATCH(SUP_H2_Production!$G53,'86 AEC 100MW'!$C$4:$F$4,0))/$J53/1000*7.45</f>
        <v>2.1911764705882353E-2</v>
      </c>
      <c r="R53" s="1067"/>
      <c r="S53" s="1006"/>
      <c r="T53" s="1006"/>
      <c r="U53" s="1006"/>
    </row>
    <row r="54" spans="2:22">
      <c r="B54" s="1232"/>
      <c r="C54" s="1232"/>
      <c r="D54" s="1006"/>
      <c r="E54" s="1006"/>
      <c r="F54" s="1006"/>
      <c r="G54" s="1006"/>
      <c r="H54" s="1066"/>
      <c r="I54" s="1006"/>
      <c r="J54" s="1067"/>
      <c r="K54" s="1067"/>
      <c r="L54" s="1067">
        <f>INDEX('86 AEC 100MW'!$C$6:$F$39,MATCH(SUP_H2_Production!L$10,'86 AEC 100MW'!$B$6:$B$39,0),MATCH(SUP_H2_Production!$G53,'86 AEC 100MW'!$C$4:$F$4,0))/100</f>
        <v>0.16615961596159623</v>
      </c>
      <c r="M54" s="1006"/>
      <c r="N54" s="1069"/>
      <c r="O54" s="1070"/>
      <c r="P54" s="1067"/>
      <c r="Q54" s="1067"/>
      <c r="R54" s="1006"/>
      <c r="S54" s="1006"/>
      <c r="T54" s="1006"/>
      <c r="U54" s="1006"/>
    </row>
    <row r="55" spans="2:22">
      <c r="B55" s="1232"/>
      <c r="C55" s="1232"/>
      <c r="D55" s="1006" t="s">
        <v>71</v>
      </c>
      <c r="E55" s="1006" t="s">
        <v>1314</v>
      </c>
      <c r="F55" s="1006"/>
      <c r="G55" s="1006">
        <v>2040</v>
      </c>
      <c r="H55" s="1066" t="s">
        <v>70</v>
      </c>
      <c r="I55" s="1006"/>
      <c r="J55" s="1067">
        <f>INDEX('86 AEC 100MW'!$C$6:$F$39,MATCH(SUP_H2_Production!J$10,'86 AEC 100MW'!$B$6:$B$39,0),MATCH(SUP_H2_Production!$G55,'86 AEC 100MW'!$C$4:$F$4,0))/100</f>
        <v>0.71499999999999997</v>
      </c>
      <c r="K55" s="1067"/>
      <c r="L55" s="1067"/>
      <c r="M55" s="1067">
        <f>(100-INDEX('86 AEC 100MW'!$C$6:$F$39,MATCH(SUP_H2_Production!M$10,'86 AEC 100MW'!$B$6:$B$39,0),MATCH(SUP_H2_Production!$G55,'86 AEC 100MW'!$C$4:$F$4,0)))/100</f>
        <v>0.98</v>
      </c>
      <c r="N55" s="1069">
        <f>INDEX('86 AEC 100MW'!$C$6:$F$39,MATCH(SUP_H2_Production!N$10,'86 AEC 100MW'!$B$6:$B$39,0),MATCH(SUP_H2_Production!$G55,'86 AEC 100MW'!$C$4:$F$4,0))</f>
        <v>32</v>
      </c>
      <c r="O55" s="1070">
        <v>3.1536000000000002E-2</v>
      </c>
      <c r="P55" s="1067">
        <f>INDEX('86 AEC 100MW'!$C$6:$F$39,MATCH(SUP_H2_Production!P$10,'86 AEC 100MW'!$B$6:$B$39,0),MATCH(SUP_H2_Production!$G55,'86 AEC 100MW'!$C$4:$F$4,0))/$J55/1000*7.45</f>
        <v>3.1258741258741258</v>
      </c>
      <c r="Q55" s="1067">
        <f>INDEX('86 AEC 100MW'!$C$6:$F$39,MATCH(SUP_H2_Production!Q$10,'86 AEC 100MW'!$B$6:$B$39,0),MATCH(SUP_H2_Production!$G55,'86 AEC 100MW'!$C$4:$F$4,0))/$J55/1000*7.45</f>
        <v>2.0839160839160844E-2</v>
      </c>
      <c r="R55" s="1067"/>
      <c r="S55" s="1006"/>
      <c r="T55" s="1006"/>
      <c r="U55" s="1006"/>
    </row>
    <row r="56" spans="2:22">
      <c r="B56" s="1232"/>
      <c r="C56" s="1232"/>
      <c r="D56" s="1006"/>
      <c r="E56" s="1006"/>
      <c r="F56" s="1006"/>
      <c r="G56" s="1006"/>
      <c r="H56" s="1066"/>
      <c r="I56" s="1006"/>
      <c r="J56" s="1067"/>
      <c r="K56" s="1067"/>
      <c r="L56" s="1067">
        <f>INDEX('86 AEC 100MW'!$C$6:$F$39,MATCH(SUP_H2_Production!L$10,'86 AEC 100MW'!$B$6:$B$39,0),MATCH(SUP_H2_Production!$G55,'86 AEC 100MW'!$C$4:$F$4,0))/100</f>
        <v>0.12478547854785489</v>
      </c>
      <c r="M56" s="1006"/>
      <c r="N56" s="1069"/>
      <c r="O56" s="1070"/>
      <c r="P56" s="1067"/>
      <c r="Q56" s="1067"/>
      <c r="R56" s="1006"/>
      <c r="S56" s="1006"/>
      <c r="T56" s="1006"/>
      <c r="U56" s="1006"/>
    </row>
    <row r="57" spans="2:22">
      <c r="B57" s="1232"/>
      <c r="C57" s="1232"/>
      <c r="D57" s="1006" t="s">
        <v>71</v>
      </c>
      <c r="E57" s="1006" t="s">
        <v>1314</v>
      </c>
      <c r="F57" s="1006"/>
      <c r="G57" s="1006">
        <v>2050</v>
      </c>
      <c r="H57" s="1066" t="s">
        <v>70</v>
      </c>
      <c r="I57" s="1006"/>
      <c r="J57" s="1067">
        <f>INDEX('86 AEC 100MW'!$C$6:$F$39,MATCH(SUP_H2_Production!J$10,'86 AEC 100MW'!$B$6:$B$39,0),MATCH(SUP_H2_Production!$G57,'86 AEC 100MW'!$C$4:$F$4,0))/100</f>
        <v>0.75</v>
      </c>
      <c r="K57" s="1067"/>
      <c r="L57" s="1067"/>
      <c r="M57" s="1067">
        <f>(100-INDEX('86 AEC 100MW'!$C$6:$F$39,MATCH(SUP_H2_Production!M$10,'86 AEC 100MW'!$B$6:$B$39,0),MATCH(SUP_H2_Production!$G57,'86 AEC 100MW'!$C$4:$F$4,0)))/100</f>
        <v>0.98</v>
      </c>
      <c r="N57" s="1069">
        <f>INDEX('86 AEC 100MW'!$C$6:$F$39,MATCH(SUP_H2_Production!N$10,'86 AEC 100MW'!$B$6:$B$39,0),MATCH(SUP_H2_Production!$G57,'86 AEC 100MW'!$C$4:$F$4,0))</f>
        <v>35</v>
      </c>
      <c r="O57" s="1070">
        <v>3.1536000000000002E-2</v>
      </c>
      <c r="P57" s="1067">
        <f>INDEX('86 AEC 100MW'!$C$6:$F$39,MATCH(SUP_H2_Production!P$10,'86 AEC 100MW'!$B$6:$B$39,0),MATCH(SUP_H2_Production!$G57,'86 AEC 100MW'!$C$4:$F$4,0))/$J57/1000*7.45</f>
        <v>2.4833333333333334</v>
      </c>
      <c r="Q57" s="1067">
        <f>INDEX('86 AEC 100MW'!$C$6:$F$39,MATCH(SUP_H2_Production!Q$10,'86 AEC 100MW'!$B$6:$B$39,0),MATCH(SUP_H2_Production!$G57,'86 AEC 100MW'!$C$4:$F$4,0))/$J57/1000*7.45</f>
        <v>1.9866666666666668E-2</v>
      </c>
      <c r="R57" s="1067"/>
      <c r="S57" s="1006"/>
      <c r="T57" s="1006"/>
      <c r="U57" s="1006"/>
    </row>
    <row r="58" spans="2:22" ht="13.8" thickBot="1">
      <c r="B58" s="107"/>
      <c r="C58" s="107"/>
      <c r="D58" s="107"/>
      <c r="E58" s="107"/>
      <c r="F58" s="107"/>
      <c r="G58" s="107"/>
      <c r="H58" s="256"/>
      <c r="I58" s="107"/>
      <c r="J58" s="151"/>
      <c r="K58" s="151"/>
      <c r="L58" s="151">
        <f>INDEX('86 AEC 100MW'!$C$6:$F$39,MATCH(SUP_H2_Production!L$10,'86 AEC 100MW'!$B$6:$B$39,0),MATCH(SUP_H2_Production!$G57,'86 AEC 100MW'!$C$4:$F$4,0))/100</f>
        <v>8.3411341134113429E-2</v>
      </c>
      <c r="M58" s="107"/>
      <c r="N58" s="107"/>
      <c r="O58" s="107"/>
      <c r="P58" s="257"/>
      <c r="Q58" s="257"/>
      <c r="R58" s="107"/>
      <c r="S58" s="107"/>
      <c r="T58" s="107"/>
      <c r="U58" s="1006"/>
    </row>
    <row r="59" spans="2:22">
      <c r="B59" s="1232" t="s">
        <v>1742</v>
      </c>
      <c r="C59" s="1232" t="s">
        <v>368</v>
      </c>
      <c r="D59" s="1006" t="s">
        <v>71</v>
      </c>
      <c r="E59" s="1006" t="s">
        <v>1314</v>
      </c>
      <c r="F59" s="1006"/>
      <c r="G59" s="1006">
        <v>2020</v>
      </c>
      <c r="H59" s="1066" t="s">
        <v>70</v>
      </c>
      <c r="I59" s="1006">
        <v>2020</v>
      </c>
      <c r="J59" s="1067">
        <f>INDEX('86 PEMEC 1MW'!$C$6:$F$39,MATCH(SUP_H2_Production!J$10,'86 PEMEC 1MW'!$B$6:$B$39,0),MATCH(SUP_H2_Production!$G59,'86 PEMEC 1MW'!$C$4:$F$4,0))/100</f>
        <v>0.57999999999999996</v>
      </c>
      <c r="K59" s="1067"/>
      <c r="L59" s="1067"/>
      <c r="M59" s="1067">
        <f>(100-INDEX('86 PEMEC 1MW'!$C$6:$F$39,MATCH(SUP_H2_Production!M$10,'86 PEMEC 1MW'!$B$6:$B$39,0),MATCH(SUP_H2_Production!$G59,'86 PEMEC 1MW'!$C$4:$F$4,0)))/100</f>
        <v>0.98</v>
      </c>
      <c r="N59" s="1069">
        <f>INDEX('86 PEMEC 1MW'!$C$6:$F$39,MATCH(SUP_H2_Production!N$10,'86 PEMEC 1MW'!$B$6:$B$39,0),MATCH(SUP_H2_Production!$G59,'86 PEMEC 1MW'!$C$4:$F$4,0))</f>
        <v>20</v>
      </c>
      <c r="O59" s="1070">
        <v>3.1536000000000002E-2</v>
      </c>
      <c r="P59" s="1067">
        <f>INDEX('86 PEMEC 1MW'!$C$6:$F$39,MATCH(SUP_H2_Production!P$10,'86 PEMEC 1MW'!$B$6:$B$39,0),MATCH(SUP_H2_Production!$G59,'86 PEMEC 1MW'!$C$4:$F$4,0))/$J59/1000*7.45</f>
        <v>11.881465517241381</v>
      </c>
      <c r="Q59" s="1067">
        <f>INDEX('86 PEMEC 1MW'!$C$6:$F$39,MATCH(SUP_H2_Production!Q$10,'86 PEMEC 1MW'!$B$6:$B$39,0),MATCH(SUP_H2_Production!$G59,'86 PEMEC 1MW'!$C$4:$F$4,0))/$J59/1000*7.45</f>
        <v>8.9913793103448283E-2</v>
      </c>
      <c r="R59" s="1067"/>
      <c r="S59" s="1006">
        <v>0.5</v>
      </c>
      <c r="T59" s="1006" t="s">
        <v>1734</v>
      </c>
      <c r="U59" s="1006"/>
    </row>
    <row r="60" spans="2:22">
      <c r="B60" s="1232"/>
      <c r="C60" s="1232"/>
      <c r="D60" s="1232"/>
      <c r="E60" s="1232"/>
      <c r="F60" s="1232" t="s">
        <v>216</v>
      </c>
      <c r="G60" s="1232"/>
      <c r="H60" s="241"/>
      <c r="I60" s="1232"/>
      <c r="J60" s="1240" t="s">
        <v>124</v>
      </c>
      <c r="K60" s="141"/>
      <c r="L60" s="1067">
        <f>INDEX('86 PEMEC 1MW'!$C$6:$F$39,MATCH(SUP_H2_Production!L$10,'86 PEMEC 1MW'!$B$6:$B$39,0),MATCH(SUP_H2_Production!$G59,'86 PEMEC 1MW'!$C$4:$F$4,0))/100</f>
        <v>0.26437143714371447</v>
      </c>
      <c r="M60" s="1232"/>
      <c r="N60" s="281"/>
      <c r="O60" s="103"/>
      <c r="P60" s="141"/>
      <c r="Q60" s="141"/>
      <c r="R60" s="1232"/>
      <c r="S60" s="1232"/>
      <c r="T60" s="1232"/>
    </row>
    <row r="61" spans="2:22">
      <c r="B61" s="1232"/>
      <c r="C61" s="1232"/>
      <c r="D61" s="1006" t="s">
        <v>71</v>
      </c>
      <c r="E61" s="1006" t="s">
        <v>1314</v>
      </c>
      <c r="F61" s="1006"/>
      <c r="G61" s="1006">
        <v>2030</v>
      </c>
      <c r="H61" s="1066" t="s">
        <v>70</v>
      </c>
      <c r="I61" s="1006"/>
      <c r="J61" s="1067">
        <f>INDEX('86 PEMEC 1MW'!$C$6:$F$39,MATCH(SUP_H2_Production!J$10,'86 PEMEC 1MW'!$B$6:$B$39,0),MATCH(SUP_H2_Production!$G61,'86 PEMEC 1MW'!$C$4:$F$4,0))/100</f>
        <v>0.65500000000000003</v>
      </c>
      <c r="K61" s="1067"/>
      <c r="L61" s="1067"/>
      <c r="M61" s="1067">
        <f>(100-INDEX('86 PEMEC 1MW'!$C$6:$F$39,MATCH(SUP_H2_Production!M$10,'86 PEMEC 1MW'!$B$6:$B$39,0),MATCH(SUP_H2_Production!$G61,'86 PEMEC 1MW'!$C$4:$F$4,0)))/100</f>
        <v>0.98</v>
      </c>
      <c r="N61" s="1069">
        <f>INDEX('86 PEMEC 1MW'!$C$6:$F$39,MATCH(SUP_H2_Production!N$10,'86 PEMEC 1MW'!$B$6:$B$39,0),MATCH(SUP_H2_Production!$G61,'86 PEMEC 1MW'!$C$4:$F$4,0))</f>
        <v>25</v>
      </c>
      <c r="O61" s="1070">
        <v>3.1536000000000002E-2</v>
      </c>
      <c r="P61" s="1067">
        <f>INDEX('86 PEMEC 1MW'!$C$6:$F$39,MATCH(SUP_H2_Production!P$10,'86 PEMEC 1MW'!$B$6:$B$39,0),MATCH(SUP_H2_Production!$G61,'86 PEMEC 1MW'!$C$4:$F$4,0))/$J61/1000*7.45</f>
        <v>7.3931297709923669</v>
      </c>
      <c r="Q61" s="1067">
        <f>INDEX('86 PEMEC 1MW'!$C$6:$F$39,MATCH(SUP_H2_Production!Q$10,'86 PEMEC 1MW'!$B$6:$B$39,0),MATCH(SUP_H2_Production!$G61,'86 PEMEC 1MW'!$C$4:$F$4,0))/$J61/1000*7.45</f>
        <v>7.9618320610687007E-2</v>
      </c>
      <c r="R61" s="1067"/>
      <c r="S61" s="1006"/>
      <c r="T61" s="1006"/>
      <c r="U61" s="1006"/>
    </row>
    <row r="62" spans="2:22">
      <c r="B62" s="1232"/>
      <c r="C62" s="1232"/>
      <c r="D62" s="1006"/>
      <c r="E62" s="1006"/>
      <c r="F62" s="1006" t="s">
        <v>216</v>
      </c>
      <c r="G62" s="1006"/>
      <c r="H62" s="1066"/>
      <c r="I62" s="1006"/>
      <c r="J62" s="1067"/>
      <c r="K62" s="1067"/>
      <c r="L62" s="1067">
        <f>INDEX('86 PEMEC 1MW'!$C$6:$F$39,MATCH(SUP_H2_Production!L$10,'86 PEMEC 1MW'!$B$6:$B$39,0),MATCH(SUP_H2_Production!$G61,'86 PEMEC 1MW'!$C$4:$F$4,0))/100</f>
        <v>0.17571257125712564</v>
      </c>
      <c r="M62" s="1006"/>
      <c r="N62" s="1069"/>
      <c r="O62" s="1070"/>
      <c r="P62" s="1067"/>
      <c r="Q62" s="1067"/>
      <c r="R62" s="1006"/>
      <c r="S62" s="1006"/>
      <c r="T62" s="1006"/>
      <c r="U62" s="1006"/>
    </row>
    <row r="63" spans="2:22">
      <c r="B63" s="1232"/>
      <c r="C63" s="1232"/>
      <c r="D63" s="1006" t="s">
        <v>71</v>
      </c>
      <c r="E63" s="1006" t="s">
        <v>1314</v>
      </c>
      <c r="F63" s="1006"/>
      <c r="G63" s="1006">
        <v>2040</v>
      </c>
      <c r="H63" s="1066" t="s">
        <v>70</v>
      </c>
      <c r="I63" s="1006"/>
      <c r="J63" s="1067">
        <f>INDEX('86 PEMEC 1MW'!$C$6:$F$39,MATCH(SUP_H2_Production!J$10,'86 PEMEC 1MW'!$B$6:$B$39,0),MATCH(SUP_H2_Production!$G63,'86 PEMEC 1MW'!$C$4:$F$4,0))/100</f>
        <v>0.68</v>
      </c>
      <c r="K63" s="1067"/>
      <c r="L63" s="1067"/>
      <c r="M63" s="1067">
        <f>(100-INDEX('86 PEMEC 1MW'!$C$6:$F$39,MATCH(SUP_H2_Production!M$10,'86 PEMEC 1MW'!$B$6:$B$39,0),MATCH(SUP_H2_Production!$G63,'86 PEMEC 1MW'!$C$4:$F$4,0)))/100</f>
        <v>0.98</v>
      </c>
      <c r="N63" s="1069">
        <f>INDEX('86 PEMEC 1MW'!$C$6:$F$39,MATCH(SUP_H2_Production!N$10,'86 PEMEC 1MW'!$B$6:$B$39,0),MATCH(SUP_H2_Production!$G63,'86 PEMEC 1MW'!$C$4:$F$4,0))</f>
        <v>28</v>
      </c>
      <c r="O63" s="1070">
        <v>3.1536000000000002E-2</v>
      </c>
      <c r="P63" s="1067">
        <f>INDEX('86 PEMEC 1MW'!$C$6:$F$39,MATCH(SUP_H2_Production!P$10,'86 PEMEC 1MW'!$B$6:$B$39,0),MATCH(SUP_H2_Production!$G63,'86 PEMEC 1MW'!$C$4:$F$4,0))/$J63/1000*7.45</f>
        <v>4.930147058823529</v>
      </c>
      <c r="Q63" s="1067">
        <f>INDEX('86 PEMEC 1MW'!$C$6:$F$39,MATCH(SUP_H2_Production!Q$10,'86 PEMEC 1MW'!$B$6:$B$39,0),MATCH(SUP_H2_Production!$G63,'86 PEMEC 1MW'!$C$4:$F$4,0))/$J63/1000*7.45</f>
        <v>7.6691176470588221E-2</v>
      </c>
      <c r="R63" s="1067"/>
      <c r="S63" s="1006"/>
      <c r="T63" s="1006"/>
      <c r="U63" s="1006"/>
    </row>
    <row r="64" spans="2:22">
      <c r="B64" s="1232"/>
      <c r="C64" s="1232"/>
      <c r="D64" s="1006"/>
      <c r="E64" s="1006"/>
      <c r="F64" s="1006" t="s">
        <v>216</v>
      </c>
      <c r="G64" s="1006"/>
      <c r="H64" s="1066"/>
      <c r="I64" s="1006"/>
      <c r="J64" s="1067"/>
      <c r="K64" s="1067"/>
      <c r="L64" s="1067">
        <f>INDEX('86 PEMEC 1MW'!$C$6:$F$39,MATCH(SUP_H2_Production!L$10,'86 PEMEC 1MW'!$B$6:$B$39,0),MATCH(SUP_H2_Production!$G63,'86 PEMEC 1MW'!$C$4:$F$4,0))/100</f>
        <v>0.14615961596159621</v>
      </c>
      <c r="M64" s="1006"/>
      <c r="N64" s="1069"/>
      <c r="O64" s="1070"/>
      <c r="P64" s="1067"/>
      <c r="Q64" s="1067"/>
      <c r="R64" s="1006"/>
      <c r="S64" s="1006"/>
      <c r="T64" s="1006"/>
      <c r="U64" s="1006"/>
    </row>
    <row r="65" spans="2:21">
      <c r="B65" s="1232"/>
      <c r="C65" s="1232"/>
      <c r="D65" s="1006" t="s">
        <v>71</v>
      </c>
      <c r="E65" s="1006" t="s">
        <v>1314</v>
      </c>
      <c r="F65" s="1006"/>
      <c r="G65" s="1006">
        <v>2050</v>
      </c>
      <c r="H65" s="1066" t="s">
        <v>70</v>
      </c>
      <c r="I65" s="1006"/>
      <c r="J65" s="1067">
        <f>INDEX('86 PEMEC 1MW'!$C$6:$F$39,MATCH(SUP_H2_Production!J$10,'86 PEMEC 1MW'!$B$6:$B$39,0),MATCH(SUP_H2_Production!$G65,'86 PEMEC 1MW'!$C$4:$F$4,0))/100</f>
        <v>0.70499999999999996</v>
      </c>
      <c r="K65" s="1067"/>
      <c r="L65" s="1067"/>
      <c r="M65" s="1067">
        <f>(100-INDEX('86 PEMEC 1MW'!$C$6:$F$39,MATCH(SUP_H2_Production!M$10,'86 PEMEC 1MW'!$B$6:$B$39,0),MATCH(SUP_H2_Production!$G65,'86 PEMEC 1MW'!$C$4:$F$4,0)))/100</f>
        <v>0.98</v>
      </c>
      <c r="N65" s="1069">
        <f>INDEX('86 PEMEC 1MW'!$C$6:$F$39,MATCH(SUP_H2_Production!N$10,'86 PEMEC 1MW'!$B$6:$B$39,0),MATCH(SUP_H2_Production!$G65,'86 PEMEC 1MW'!$C$4:$F$4,0))</f>
        <v>30</v>
      </c>
      <c r="O65" s="1070">
        <v>3.1536000000000002E-2</v>
      </c>
      <c r="P65" s="1067">
        <f>INDEX('86 PEMEC 1MW'!$C$6:$F$39,MATCH(SUP_H2_Production!P$10,'86 PEMEC 1MW'!$B$6:$B$39,0),MATCH(SUP_H2_Production!$G65,'86 PEMEC 1MW'!$C$4:$F$4,0))/$J65/1000*7.45</f>
        <v>4.2269503546099294</v>
      </c>
      <c r="Q65" s="1067">
        <f>INDEX('86 PEMEC 1MW'!$C$6:$F$39,MATCH(SUP_H2_Production!Q$10,'86 PEMEC 1MW'!$B$6:$B$39,0),MATCH(SUP_H2_Production!$G65,'86 PEMEC 1MW'!$C$4:$F$4,0))/$J65/1000*7.45</f>
        <v>7.3971631205673766E-2</v>
      </c>
      <c r="R65" s="1067"/>
      <c r="S65" s="1006"/>
      <c r="T65" s="1006"/>
      <c r="U65" s="1006"/>
    </row>
    <row r="66" spans="2:21" ht="13.8" thickBot="1">
      <c r="B66" s="107"/>
      <c r="C66" s="107"/>
      <c r="D66" s="107"/>
      <c r="E66" s="107"/>
      <c r="F66" s="107" t="s">
        <v>216</v>
      </c>
      <c r="G66" s="107"/>
      <c r="H66" s="256"/>
      <c r="I66" s="107"/>
      <c r="J66" s="151"/>
      <c r="K66" s="151"/>
      <c r="L66" s="151">
        <f>INDEX('86 PEMEC 1MW'!$C$6:$F$39,MATCH(SUP_H2_Production!L$10,'86 PEMEC 1MW'!$B$6:$B$39,0),MATCH(SUP_H2_Production!$G65,'86 PEMEC 1MW'!$C$4:$F$4,0))/100</f>
        <v>0.1166066606660668</v>
      </c>
      <c r="M66" s="107"/>
      <c r="N66" s="107"/>
      <c r="O66" s="107"/>
      <c r="P66" s="257"/>
      <c r="Q66" s="257"/>
      <c r="R66" s="107"/>
      <c r="S66" s="107"/>
      <c r="T66" s="107"/>
      <c r="U66" s="1006"/>
    </row>
    <row r="67" spans="2:21">
      <c r="B67" s="1232" t="s">
        <v>1743</v>
      </c>
      <c r="C67" s="1232" t="s">
        <v>369</v>
      </c>
      <c r="D67" s="1006" t="s">
        <v>71</v>
      </c>
      <c r="E67" s="1006" t="s">
        <v>348</v>
      </c>
      <c r="F67" s="1006"/>
      <c r="G67" s="1006">
        <v>2020</v>
      </c>
      <c r="H67" s="1066" t="s">
        <v>70</v>
      </c>
      <c r="I67" s="1006">
        <v>2020</v>
      </c>
      <c r="J67" s="1067">
        <f>INDEX('86 PEMEC 1MW'!$C$6:$F$39,MATCH(SUP_H2_Production!J$10,'86 PEMEC 1MW'!$B$6:$B$39,0),MATCH(SUP_H2_Production!$G67,'86 PEMEC 1MW'!$C$4:$F$4,0))/100</f>
        <v>0.57999999999999996</v>
      </c>
      <c r="K67" s="1067"/>
      <c r="L67" s="1067"/>
      <c r="M67" s="1067">
        <f>(100-INDEX('86 PEMEC 1MW'!$C$6:$F$39,MATCH(SUP_H2_Production!M$10,'86 PEMEC 1MW'!$B$6:$B$39,0),MATCH(SUP_H2_Production!$G67,'86 PEMEC 1MW'!$C$4:$F$4,0)))/100</f>
        <v>0.98</v>
      </c>
      <c r="N67" s="1069">
        <f>INDEX('86 PEMEC 1MW'!$C$6:$F$39,MATCH(SUP_H2_Production!N$10,'86 PEMEC 1MW'!$B$6:$B$39,0),MATCH(SUP_H2_Production!$G67,'86 PEMEC 1MW'!$C$4:$F$4,0))</f>
        <v>20</v>
      </c>
      <c r="O67" s="1070">
        <v>3.1536000000000002E-2</v>
      </c>
      <c r="P67" s="1067">
        <f>INDEX('86 PEMEC 1MW'!$C$6:$F$39,MATCH(SUP_H2_Production!P$10,'86 PEMEC 1MW'!$B$6:$B$39,0),MATCH(SUP_H2_Production!$G67,'86 PEMEC 1MW'!$C$4:$F$4,0))/$J67/1000*7.45</f>
        <v>11.881465517241381</v>
      </c>
      <c r="Q67" s="1067">
        <f>INDEX('86 PEMEC 1MW'!$C$6:$F$39,MATCH(SUP_H2_Production!Q$10,'86 PEMEC 1MW'!$B$6:$B$39,0),MATCH(SUP_H2_Production!$G67,'86 PEMEC 1MW'!$C$4:$F$4,0))/$J67/1000*7.45</f>
        <v>8.9913793103448283E-2</v>
      </c>
      <c r="R67" s="1067"/>
      <c r="S67" s="1006">
        <v>0.5</v>
      </c>
      <c r="T67" s="1006" t="s">
        <v>1734</v>
      </c>
      <c r="U67" s="1006"/>
    </row>
    <row r="68" spans="2:21">
      <c r="B68" s="1232"/>
      <c r="C68" s="1232"/>
      <c r="D68" s="1232"/>
      <c r="E68" s="1232"/>
      <c r="F68" s="1232" t="s">
        <v>259</v>
      </c>
      <c r="G68" s="1232"/>
      <c r="H68" s="241"/>
      <c r="I68" s="1232"/>
      <c r="J68" s="1240" t="s">
        <v>124</v>
      </c>
      <c r="K68" s="141"/>
      <c r="L68" s="1067">
        <f>INDEX('86 PEMEC 1MW'!$C$6:$F$39,MATCH(SUP_H2_Production!L$10,'86 PEMEC 1MW'!$B$6:$B$39,0),MATCH(SUP_H2_Production!$G67,'86 PEMEC 1MW'!$C$4:$F$4,0))/100</f>
        <v>0.26437143714371447</v>
      </c>
      <c r="M68" s="1232"/>
      <c r="N68" s="281"/>
      <c r="O68" s="103"/>
      <c r="P68" s="141"/>
      <c r="Q68" s="141"/>
      <c r="R68" s="1232"/>
      <c r="S68" s="1232"/>
      <c r="T68" s="1232"/>
    </row>
    <row r="69" spans="2:21">
      <c r="B69" s="1232"/>
      <c r="C69" s="1232"/>
      <c r="D69" s="1006" t="s">
        <v>71</v>
      </c>
      <c r="E69" s="1006" t="s">
        <v>348</v>
      </c>
      <c r="F69" s="1006"/>
      <c r="G69" s="1006">
        <v>2030</v>
      </c>
      <c r="H69" s="1066" t="s">
        <v>70</v>
      </c>
      <c r="I69" s="1006"/>
      <c r="J69" s="1067">
        <f>INDEX('86 PEMEC 1MW'!$C$6:$F$39,MATCH(SUP_H2_Production!J$10,'86 PEMEC 1MW'!$B$6:$B$39,0),MATCH(SUP_H2_Production!$G69,'86 PEMEC 1MW'!$C$4:$F$4,0))/100</f>
        <v>0.65500000000000003</v>
      </c>
      <c r="K69" s="1067"/>
      <c r="L69" s="1067"/>
      <c r="M69" s="1067">
        <f>(100-INDEX('86 PEMEC 1MW'!$C$6:$F$39,MATCH(SUP_H2_Production!M$10,'86 PEMEC 1MW'!$B$6:$B$39,0),MATCH(SUP_H2_Production!$G69,'86 PEMEC 1MW'!$C$4:$F$4,0)))/100</f>
        <v>0.98</v>
      </c>
      <c r="N69" s="1069">
        <f>INDEX('86 PEMEC 1MW'!$C$6:$F$39,MATCH(SUP_H2_Production!N$10,'86 PEMEC 1MW'!$B$6:$B$39,0),MATCH(SUP_H2_Production!$G69,'86 PEMEC 1MW'!$C$4:$F$4,0))</f>
        <v>25</v>
      </c>
      <c r="O69" s="1070">
        <v>3.1536000000000002E-2</v>
      </c>
      <c r="P69" s="1067">
        <f>INDEX('86 PEMEC 1MW'!$C$6:$F$39,MATCH(SUP_H2_Production!P$10,'86 PEMEC 1MW'!$B$6:$B$39,0),MATCH(SUP_H2_Production!$G69,'86 PEMEC 1MW'!$C$4:$F$4,0))/$J69/1000*7.45</f>
        <v>7.3931297709923669</v>
      </c>
      <c r="Q69" s="1067">
        <f>INDEX('86 PEMEC 1MW'!$C$6:$F$39,MATCH(SUP_H2_Production!Q$10,'86 PEMEC 1MW'!$B$6:$B$39,0),MATCH(SUP_H2_Production!$G69,'86 PEMEC 1MW'!$C$4:$F$4,0))/$J69/1000*7.45</f>
        <v>7.9618320610687007E-2</v>
      </c>
      <c r="R69" s="1067"/>
      <c r="S69" s="1006"/>
      <c r="T69" s="1006"/>
      <c r="U69" s="1006"/>
    </row>
    <row r="70" spans="2:21">
      <c r="B70" s="1232"/>
      <c r="C70" s="1232"/>
      <c r="D70" s="1006"/>
      <c r="E70" s="1006"/>
      <c r="F70" s="1232" t="s">
        <v>259</v>
      </c>
      <c r="G70" s="1006"/>
      <c r="H70" s="1066"/>
      <c r="I70" s="1006"/>
      <c r="J70" s="1067"/>
      <c r="K70" s="1067"/>
      <c r="L70" s="1067">
        <f>INDEX('86 PEMEC 1MW'!$C$6:$F$39,MATCH(SUP_H2_Production!L$10,'86 PEMEC 1MW'!$B$6:$B$39,0),MATCH(SUP_H2_Production!$G69,'86 PEMEC 1MW'!$C$4:$F$4,0))/100</f>
        <v>0.17571257125712564</v>
      </c>
      <c r="M70" s="1006"/>
      <c r="N70" s="1069"/>
      <c r="O70" s="1070"/>
      <c r="P70" s="1067"/>
      <c r="Q70" s="1067"/>
      <c r="R70" s="1006"/>
      <c r="S70" s="1006"/>
      <c r="T70" s="1006"/>
      <c r="U70" s="1006"/>
    </row>
    <row r="71" spans="2:21">
      <c r="B71" s="1232"/>
      <c r="C71" s="1232"/>
      <c r="D71" s="1006" t="s">
        <v>71</v>
      </c>
      <c r="E71" s="1006" t="s">
        <v>348</v>
      </c>
      <c r="F71" s="1006"/>
      <c r="G71" s="1006">
        <v>2040</v>
      </c>
      <c r="H71" s="1066" t="s">
        <v>70</v>
      </c>
      <c r="I71" s="1006"/>
      <c r="J71" s="1067">
        <f>INDEX('86 PEMEC 1MW'!$C$6:$F$39,MATCH(SUP_H2_Production!J$10,'86 PEMEC 1MW'!$B$6:$B$39,0),MATCH(SUP_H2_Production!$G71,'86 PEMEC 1MW'!$C$4:$F$4,0))/100</f>
        <v>0.68</v>
      </c>
      <c r="K71" s="1067"/>
      <c r="L71" s="1067"/>
      <c r="M71" s="1067">
        <f>(100-INDEX('86 PEMEC 1MW'!$C$6:$F$39,MATCH(SUP_H2_Production!M$10,'86 PEMEC 1MW'!$B$6:$B$39,0),MATCH(SUP_H2_Production!$G71,'86 PEMEC 1MW'!$C$4:$F$4,0)))/100</f>
        <v>0.98</v>
      </c>
      <c r="N71" s="1069">
        <f>INDEX('86 PEMEC 1MW'!$C$6:$F$39,MATCH(SUP_H2_Production!N$10,'86 PEMEC 1MW'!$B$6:$B$39,0),MATCH(SUP_H2_Production!$G71,'86 PEMEC 1MW'!$C$4:$F$4,0))</f>
        <v>28</v>
      </c>
      <c r="O71" s="1070">
        <v>3.1536000000000002E-2</v>
      </c>
      <c r="P71" s="1067">
        <f>INDEX('86 PEMEC 1MW'!$C$6:$F$39,MATCH(SUP_H2_Production!P$10,'86 PEMEC 1MW'!$B$6:$B$39,0),MATCH(SUP_H2_Production!$G71,'86 PEMEC 1MW'!$C$4:$F$4,0))/$J71/1000*7.45</f>
        <v>4.930147058823529</v>
      </c>
      <c r="Q71" s="1067">
        <f>INDEX('86 PEMEC 1MW'!$C$6:$F$39,MATCH(SUP_H2_Production!Q$10,'86 PEMEC 1MW'!$B$6:$B$39,0),MATCH(SUP_H2_Production!$G71,'86 PEMEC 1MW'!$C$4:$F$4,0))/$J71/1000*7.45</f>
        <v>7.6691176470588221E-2</v>
      </c>
      <c r="R71" s="1067"/>
      <c r="S71" s="1006"/>
      <c r="T71" s="1006"/>
      <c r="U71" s="1006"/>
    </row>
    <row r="72" spans="2:21">
      <c r="B72" s="1232"/>
      <c r="C72" s="1232"/>
      <c r="D72" s="1006"/>
      <c r="E72" s="1006"/>
      <c r="F72" s="1232" t="s">
        <v>259</v>
      </c>
      <c r="G72" s="1006"/>
      <c r="H72" s="1066"/>
      <c r="I72" s="1006"/>
      <c r="J72" s="1067"/>
      <c r="K72" s="1067"/>
      <c r="L72" s="1067">
        <f>INDEX('86 PEMEC 1MW'!$C$6:$F$39,MATCH(SUP_H2_Production!L$10,'86 PEMEC 1MW'!$B$6:$B$39,0),MATCH(SUP_H2_Production!$G71,'86 PEMEC 1MW'!$C$4:$F$4,0))/100</f>
        <v>0.14615961596159621</v>
      </c>
      <c r="M72" s="1006"/>
      <c r="N72" s="1069"/>
      <c r="O72" s="1070"/>
      <c r="P72" s="1067"/>
      <c r="Q72" s="1067"/>
      <c r="R72" s="1006"/>
      <c r="S72" s="1006"/>
      <c r="T72" s="1006"/>
      <c r="U72" s="1006"/>
    </row>
    <row r="73" spans="2:21">
      <c r="B73" s="1232"/>
      <c r="C73" s="1232"/>
      <c r="D73" s="1006" t="s">
        <v>71</v>
      </c>
      <c r="E73" s="1006" t="s">
        <v>348</v>
      </c>
      <c r="F73" s="1006"/>
      <c r="G73" s="1006">
        <v>2050</v>
      </c>
      <c r="H73" s="1066" t="s">
        <v>70</v>
      </c>
      <c r="I73" s="1006"/>
      <c r="J73" s="1067">
        <f>INDEX('86 PEMEC 1MW'!$C$6:$F$39,MATCH(SUP_H2_Production!J$10,'86 PEMEC 1MW'!$B$6:$B$39,0),MATCH(SUP_H2_Production!$G73,'86 PEMEC 1MW'!$C$4:$F$4,0))/100</f>
        <v>0.70499999999999996</v>
      </c>
      <c r="K73" s="1067"/>
      <c r="L73" s="1067"/>
      <c r="M73" s="1067">
        <f>(100-INDEX('86 PEMEC 1MW'!$C$6:$F$39,MATCH(SUP_H2_Production!M$10,'86 PEMEC 1MW'!$B$6:$B$39,0),MATCH(SUP_H2_Production!$G73,'86 PEMEC 1MW'!$C$4:$F$4,0)))/100</f>
        <v>0.98</v>
      </c>
      <c r="N73" s="1069">
        <f>INDEX('86 PEMEC 1MW'!$C$6:$F$39,MATCH(SUP_H2_Production!N$10,'86 PEMEC 1MW'!$B$6:$B$39,0),MATCH(SUP_H2_Production!$G73,'86 PEMEC 1MW'!$C$4:$F$4,0))</f>
        <v>30</v>
      </c>
      <c r="O73" s="1070">
        <v>3.1536000000000002E-2</v>
      </c>
      <c r="P73" s="1067">
        <f>INDEX('86 PEMEC 1MW'!$C$6:$F$39,MATCH(SUP_H2_Production!P$10,'86 PEMEC 1MW'!$B$6:$B$39,0),MATCH(SUP_H2_Production!$G73,'86 PEMEC 1MW'!$C$4:$F$4,0))/$J73/1000*7.45</f>
        <v>4.2269503546099294</v>
      </c>
      <c r="Q73" s="1067">
        <f>INDEX('86 PEMEC 1MW'!$C$6:$F$39,MATCH(SUP_H2_Production!Q$10,'86 PEMEC 1MW'!$B$6:$B$39,0),MATCH(SUP_H2_Production!$G73,'86 PEMEC 1MW'!$C$4:$F$4,0))/$J73/1000*7.45</f>
        <v>7.3971631205673766E-2</v>
      </c>
      <c r="R73" s="1067"/>
      <c r="S73" s="1006"/>
      <c r="T73" s="1006"/>
      <c r="U73" s="1006"/>
    </row>
    <row r="74" spans="2:21" ht="13.8" thickBot="1">
      <c r="B74" s="107"/>
      <c r="C74" s="107"/>
      <c r="D74" s="107"/>
      <c r="E74" s="107"/>
      <c r="F74" s="107" t="s">
        <v>259</v>
      </c>
      <c r="G74" s="107"/>
      <c r="H74" s="256"/>
      <c r="I74" s="107"/>
      <c r="J74" s="151"/>
      <c r="K74" s="151"/>
      <c r="L74" s="151">
        <f>INDEX('86 PEMEC 1MW'!$C$6:$F$39,MATCH(SUP_H2_Production!L$10,'86 PEMEC 1MW'!$B$6:$B$39,0),MATCH(SUP_H2_Production!$G73,'86 PEMEC 1MW'!$C$4:$F$4,0))/100</f>
        <v>0.1166066606660668</v>
      </c>
      <c r="M74" s="107"/>
      <c r="N74" s="107"/>
      <c r="O74" s="107"/>
      <c r="P74" s="257"/>
      <c r="Q74" s="257"/>
      <c r="R74" s="107"/>
      <c r="S74" s="107"/>
      <c r="T74" s="107"/>
      <c r="U74" s="1006"/>
    </row>
    <row r="75" spans="2:21">
      <c r="B75" s="1232" t="s">
        <v>1744</v>
      </c>
      <c r="C75" s="1232" t="s">
        <v>1735</v>
      </c>
      <c r="D75" s="1006" t="s">
        <v>71</v>
      </c>
      <c r="E75" s="1006" t="s">
        <v>1314</v>
      </c>
      <c r="F75" s="1006"/>
      <c r="G75" s="1006">
        <v>2020</v>
      </c>
      <c r="H75" s="1066" t="s">
        <v>70</v>
      </c>
      <c r="I75" s="1006">
        <v>2020</v>
      </c>
      <c r="J75" s="1067">
        <f>INDEX('86 PEMEC 1MW'!$C$6:$F$39,MATCH(SUP_H2_Production!J$10,'86 PEMEC 1MW'!$B$6:$B$39,0),MATCH(SUP_H2_Production!$G75,'86 PEMEC 1MW'!$C$4:$F$4,0))/100</f>
        <v>0.57999999999999996</v>
      </c>
      <c r="K75" s="1067"/>
      <c r="L75" s="1067"/>
      <c r="M75" s="1067">
        <f>(100-INDEX('86 PEMEC 1MW'!$C$6:$F$39,MATCH(SUP_H2_Production!M$10,'86 PEMEC 1MW'!$B$6:$B$39,0),MATCH(SUP_H2_Production!$G75,'86 PEMEC 1MW'!$C$4:$F$4,0)))/100</f>
        <v>0.98</v>
      </c>
      <c r="N75" s="1069">
        <f>INDEX('86 PEMEC 1MW'!$C$6:$F$39,MATCH(SUP_H2_Production!N$10,'86 PEMEC 1MW'!$B$6:$B$39,0),MATCH(SUP_H2_Production!$G75,'86 PEMEC 1MW'!$C$4:$F$4,0))</f>
        <v>20</v>
      </c>
      <c r="O75" s="1070">
        <v>3.1536000000000002E-2</v>
      </c>
      <c r="P75" s="1067">
        <f>INDEX('86 PEMEC 1MW'!$C$6:$F$39,MATCH(SUP_H2_Production!P$10,'86 PEMEC 1MW'!$B$6:$B$39,0),MATCH(SUP_H2_Production!$G75,'86 PEMEC 1MW'!$C$4:$F$4,0))/$J75/1000*7.45</f>
        <v>11.881465517241381</v>
      </c>
      <c r="Q75" s="1067">
        <f>INDEX('86 PEMEC 1MW'!$C$6:$F$39,MATCH(SUP_H2_Production!Q$10,'86 PEMEC 1MW'!$B$6:$B$39,0),MATCH(SUP_H2_Production!$G75,'86 PEMEC 1MW'!$C$4:$F$4,0))/$J75/1000*7.45</f>
        <v>8.9913793103448283E-2</v>
      </c>
      <c r="R75" s="1067"/>
      <c r="S75" s="1006">
        <v>0.5</v>
      </c>
      <c r="T75" s="1006" t="s">
        <v>1734</v>
      </c>
      <c r="U75" s="1006"/>
    </row>
    <row r="76" spans="2:21">
      <c r="B76" s="1232"/>
      <c r="C76" s="1232"/>
      <c r="D76" s="1232"/>
      <c r="E76" s="1232"/>
      <c r="F76" s="1232"/>
      <c r="G76" s="1232"/>
      <c r="H76" s="241"/>
      <c r="I76" s="1232"/>
      <c r="J76" s="1240" t="s">
        <v>124</v>
      </c>
      <c r="K76" s="141"/>
      <c r="L76" s="1067">
        <f>INDEX('86 PEMEC 1MW'!$C$6:$F$39,MATCH(SUP_H2_Production!L$10,'86 PEMEC 1MW'!$B$6:$B$39,0),MATCH(SUP_H2_Production!$G75,'86 PEMEC 1MW'!$C$4:$F$4,0))/100</f>
        <v>0.26437143714371447</v>
      </c>
      <c r="M76" s="1232"/>
      <c r="N76" s="281"/>
      <c r="O76" s="103"/>
      <c r="P76" s="141"/>
      <c r="Q76" s="141"/>
      <c r="R76" s="1232"/>
      <c r="S76" s="1232"/>
      <c r="T76" s="1232"/>
    </row>
    <row r="77" spans="2:21">
      <c r="B77" s="1232"/>
      <c r="C77" s="1232"/>
      <c r="D77" s="1006" t="s">
        <v>71</v>
      </c>
      <c r="E77" s="1006" t="s">
        <v>1314</v>
      </c>
      <c r="F77" s="1006"/>
      <c r="G77" s="1006">
        <v>2030</v>
      </c>
      <c r="H77" s="1066" t="s">
        <v>70</v>
      </c>
      <c r="I77" s="1006"/>
      <c r="J77" s="1067">
        <f>INDEX('86 PEMEC 1MW'!$C$6:$F$39,MATCH(SUP_H2_Production!J$10,'86 PEMEC 1MW'!$B$6:$B$39,0),MATCH(SUP_H2_Production!$G77,'86 PEMEC 1MW'!$C$4:$F$4,0))/100</f>
        <v>0.65500000000000003</v>
      </c>
      <c r="K77" s="1067"/>
      <c r="L77" s="1067"/>
      <c r="M77" s="1067">
        <f>(100-INDEX('86 PEMEC 1MW'!$C$6:$F$39,MATCH(SUP_H2_Production!M$10,'86 PEMEC 1MW'!$B$6:$B$39,0),MATCH(SUP_H2_Production!$G77,'86 PEMEC 1MW'!$C$4:$F$4,0)))/100</f>
        <v>0.98</v>
      </c>
      <c r="N77" s="1069">
        <f>INDEX('86 PEMEC 1MW'!$C$6:$F$39,MATCH(SUP_H2_Production!N$10,'86 PEMEC 1MW'!$B$6:$B$39,0),MATCH(SUP_H2_Production!$G77,'86 PEMEC 1MW'!$C$4:$F$4,0))</f>
        <v>25</v>
      </c>
      <c r="O77" s="1070">
        <v>3.1536000000000002E-2</v>
      </c>
      <c r="P77" s="1067">
        <f>INDEX('86 PEMEC 1MW'!$C$6:$F$39,MATCH(SUP_H2_Production!P$10,'86 PEMEC 1MW'!$B$6:$B$39,0),MATCH(SUP_H2_Production!$G77,'86 PEMEC 1MW'!$C$4:$F$4,0))/$J77/1000*7.45</f>
        <v>7.3931297709923669</v>
      </c>
      <c r="Q77" s="1067">
        <f>INDEX('86 PEMEC 1MW'!$C$6:$F$39,MATCH(SUP_H2_Production!Q$10,'86 PEMEC 1MW'!$B$6:$B$39,0),MATCH(SUP_H2_Production!$G77,'86 PEMEC 1MW'!$C$4:$F$4,0))/$J77/1000*7.45</f>
        <v>7.9618320610687007E-2</v>
      </c>
      <c r="R77" s="1067"/>
      <c r="S77" s="1006"/>
      <c r="T77" s="1006"/>
      <c r="U77" s="1006"/>
    </row>
    <row r="78" spans="2:21">
      <c r="B78" s="1232"/>
      <c r="C78" s="1232"/>
      <c r="D78" s="1006"/>
      <c r="E78" s="1006"/>
      <c r="F78" s="1006"/>
      <c r="G78" s="1006"/>
      <c r="H78" s="1066"/>
      <c r="I78" s="1006"/>
      <c r="J78" s="1067"/>
      <c r="K78" s="1067"/>
      <c r="L78" s="1067">
        <f>INDEX('86 PEMEC 1MW'!$C$6:$F$39,MATCH(SUP_H2_Production!L$10,'86 PEMEC 1MW'!$B$6:$B$39,0),MATCH(SUP_H2_Production!$G77,'86 PEMEC 1MW'!$C$4:$F$4,0))/100</f>
        <v>0.17571257125712564</v>
      </c>
      <c r="M78" s="1006"/>
      <c r="N78" s="1069"/>
      <c r="O78" s="1070"/>
      <c r="P78" s="1067"/>
      <c r="Q78" s="1067"/>
      <c r="R78" s="1006"/>
      <c r="S78" s="1006"/>
      <c r="T78" s="1006"/>
      <c r="U78" s="1006"/>
    </row>
    <row r="79" spans="2:21">
      <c r="B79" s="1232"/>
      <c r="C79" s="1232"/>
      <c r="D79" s="1006" t="s">
        <v>71</v>
      </c>
      <c r="E79" s="1006" t="s">
        <v>1314</v>
      </c>
      <c r="F79" s="1006"/>
      <c r="G79" s="1006">
        <v>2040</v>
      </c>
      <c r="H79" s="1066" t="s">
        <v>70</v>
      </c>
      <c r="I79" s="1006"/>
      <c r="J79" s="1067">
        <f>INDEX('86 PEMEC 1MW'!$C$6:$F$39,MATCH(SUP_H2_Production!J$10,'86 PEMEC 1MW'!$B$6:$B$39,0),MATCH(SUP_H2_Production!$G79,'86 PEMEC 1MW'!$C$4:$F$4,0))/100</f>
        <v>0.68</v>
      </c>
      <c r="K79" s="1067"/>
      <c r="L79" s="1067"/>
      <c r="M79" s="1067">
        <f>(100-INDEX('86 PEMEC 1MW'!$C$6:$F$39,MATCH(SUP_H2_Production!M$10,'86 PEMEC 1MW'!$B$6:$B$39,0),MATCH(SUP_H2_Production!$G79,'86 PEMEC 1MW'!$C$4:$F$4,0)))/100</f>
        <v>0.98</v>
      </c>
      <c r="N79" s="1069">
        <f>INDEX('86 PEMEC 1MW'!$C$6:$F$39,MATCH(SUP_H2_Production!N$10,'86 PEMEC 1MW'!$B$6:$B$39,0),MATCH(SUP_H2_Production!$G79,'86 PEMEC 1MW'!$C$4:$F$4,0))</f>
        <v>28</v>
      </c>
      <c r="O79" s="1070">
        <v>3.1536000000000002E-2</v>
      </c>
      <c r="P79" s="1067">
        <f>INDEX('86 PEMEC 1MW'!$C$6:$F$39,MATCH(SUP_H2_Production!P$10,'86 PEMEC 1MW'!$B$6:$B$39,0),MATCH(SUP_H2_Production!$G79,'86 PEMEC 1MW'!$C$4:$F$4,0))/$J79/1000*7.45</f>
        <v>4.930147058823529</v>
      </c>
      <c r="Q79" s="1067">
        <f>INDEX('86 PEMEC 1MW'!$C$6:$F$39,MATCH(SUP_H2_Production!Q$10,'86 PEMEC 1MW'!$B$6:$B$39,0),MATCH(SUP_H2_Production!$G79,'86 PEMEC 1MW'!$C$4:$F$4,0))/$J79/1000*7.45</f>
        <v>7.6691176470588221E-2</v>
      </c>
      <c r="R79" s="1067"/>
      <c r="S79" s="1006"/>
      <c r="T79" s="1006"/>
      <c r="U79" s="1006"/>
    </row>
    <row r="80" spans="2:21">
      <c r="B80" s="1232"/>
      <c r="C80" s="1232"/>
      <c r="D80" s="1006"/>
      <c r="E80" s="1006"/>
      <c r="F80" s="1006"/>
      <c r="G80" s="1006"/>
      <c r="H80" s="1066"/>
      <c r="I80" s="1006"/>
      <c r="J80" s="1067"/>
      <c r="K80" s="1067"/>
      <c r="L80" s="1067">
        <f>INDEX('86 PEMEC 1MW'!$C$6:$F$39,MATCH(SUP_H2_Production!L$10,'86 PEMEC 1MW'!$B$6:$B$39,0),MATCH(SUP_H2_Production!$G79,'86 PEMEC 1MW'!$C$4:$F$4,0))/100</f>
        <v>0.14615961596159621</v>
      </c>
      <c r="M80" s="1006"/>
      <c r="N80" s="1069"/>
      <c r="O80" s="1070"/>
      <c r="P80" s="1067"/>
      <c r="Q80" s="1067"/>
      <c r="R80" s="1006"/>
      <c r="S80" s="1006"/>
      <c r="T80" s="1006"/>
      <c r="U80" s="1006"/>
    </row>
    <row r="81" spans="2:21">
      <c r="B81" s="1232"/>
      <c r="C81" s="1232"/>
      <c r="D81" s="1006" t="s">
        <v>71</v>
      </c>
      <c r="E81" s="1006" t="s">
        <v>1314</v>
      </c>
      <c r="F81" s="1006"/>
      <c r="G81" s="1006">
        <v>2050</v>
      </c>
      <c r="H81" s="1066" t="s">
        <v>70</v>
      </c>
      <c r="I81" s="1006"/>
      <c r="J81" s="1067">
        <f>INDEX('86 PEMEC 1MW'!$C$6:$F$39,MATCH(SUP_H2_Production!J$10,'86 PEMEC 1MW'!$B$6:$B$39,0),MATCH(SUP_H2_Production!$G81,'86 PEMEC 1MW'!$C$4:$F$4,0))/100</f>
        <v>0.70499999999999996</v>
      </c>
      <c r="K81" s="1067"/>
      <c r="L81" s="1067"/>
      <c r="M81" s="1067">
        <f>(100-INDEX('86 PEMEC 1MW'!$C$6:$F$39,MATCH(SUP_H2_Production!M$10,'86 PEMEC 1MW'!$B$6:$B$39,0),MATCH(SUP_H2_Production!$G81,'86 PEMEC 1MW'!$C$4:$F$4,0)))/100</f>
        <v>0.98</v>
      </c>
      <c r="N81" s="1069">
        <f>INDEX('86 PEMEC 1MW'!$C$6:$F$39,MATCH(SUP_H2_Production!N$10,'86 PEMEC 1MW'!$B$6:$B$39,0),MATCH(SUP_H2_Production!$G81,'86 PEMEC 1MW'!$C$4:$F$4,0))</f>
        <v>30</v>
      </c>
      <c r="O81" s="1070">
        <v>3.1536000000000002E-2</v>
      </c>
      <c r="P81" s="1067">
        <f>INDEX('86 PEMEC 1MW'!$C$6:$F$39,MATCH(SUP_H2_Production!P$10,'86 PEMEC 1MW'!$B$6:$B$39,0),MATCH(SUP_H2_Production!$G81,'86 PEMEC 1MW'!$C$4:$F$4,0))/$J81/1000*7.45</f>
        <v>4.2269503546099294</v>
      </c>
      <c r="Q81" s="1067">
        <f>INDEX('86 PEMEC 1MW'!$C$6:$F$39,MATCH(SUP_H2_Production!Q$10,'86 PEMEC 1MW'!$B$6:$B$39,0),MATCH(SUP_H2_Production!$G81,'86 PEMEC 1MW'!$C$4:$F$4,0))/$J81/1000*7.45</f>
        <v>7.3971631205673766E-2</v>
      </c>
      <c r="R81" s="1067"/>
      <c r="S81" s="1006"/>
      <c r="T81" s="1006"/>
      <c r="U81" s="1006"/>
    </row>
    <row r="82" spans="2:21" ht="13.8" thickBot="1">
      <c r="B82" s="107"/>
      <c r="C82" s="107"/>
      <c r="D82" s="107"/>
      <c r="E82" s="107"/>
      <c r="F82" s="107"/>
      <c r="G82" s="107"/>
      <c r="H82" s="256"/>
      <c r="I82" s="107"/>
      <c r="J82" s="151"/>
      <c r="K82" s="151"/>
      <c r="L82" s="151">
        <f>INDEX('86 PEMEC 1MW'!$C$6:$F$39,MATCH(SUP_H2_Production!L$10,'86 PEMEC 1MW'!$B$6:$B$39,0),MATCH(SUP_H2_Production!$G81,'86 PEMEC 1MW'!$C$4:$F$4,0))/100</f>
        <v>0.1166066606660668</v>
      </c>
      <c r="M82" s="107"/>
      <c r="N82" s="107"/>
      <c r="O82" s="107"/>
      <c r="P82" s="257"/>
      <c r="Q82" s="257"/>
      <c r="R82" s="107"/>
      <c r="S82" s="107"/>
      <c r="T82" s="107"/>
      <c r="U82" s="1006"/>
    </row>
    <row r="83" spans="2:21">
      <c r="B83" s="1232" t="s">
        <v>1745</v>
      </c>
      <c r="C83" s="1232" t="s">
        <v>368</v>
      </c>
      <c r="D83" s="1006" t="s">
        <v>71</v>
      </c>
      <c r="E83" s="1006" t="s">
        <v>1314</v>
      </c>
      <c r="F83" s="1006"/>
      <c r="G83" s="1006">
        <v>2020</v>
      </c>
      <c r="H83" s="1066" t="s">
        <v>70</v>
      </c>
      <c r="I83" s="1006">
        <v>2020</v>
      </c>
      <c r="J83" s="1067">
        <f>INDEX('86 PEMEC 100MW'!$C$6:$F$39,MATCH(SUP_H2_Production!J$10,'86 PEMEC 100MW'!$B$6:$B$39,0),MATCH(SUP_H2_Production!$G83,'86 PEMEC 100MW'!$C$4:$F$4,0))/100</f>
        <v>0.57999999999999996</v>
      </c>
      <c r="K83" s="1067"/>
      <c r="L83" s="1067"/>
      <c r="M83" s="1067">
        <f>(100-INDEX('86 PEMEC 100MW'!$C$6:$F$39,MATCH(SUP_H2_Production!M$10,'86 PEMEC 100MW'!$B$6:$B$39,0),MATCH(SUP_H2_Production!$G83,'86 PEMEC 100MW'!$C$4:$F$4,0)))/100</f>
        <v>0.98</v>
      </c>
      <c r="N83" s="1069">
        <f>INDEX('86 PEMEC 100MW'!$C$6:$F$39,MATCH(SUP_H2_Production!N$10,'86 PEMEC 100MW'!$B$6:$B$39,0),MATCH(SUP_H2_Production!$G83,'86 PEMEC 100MW'!$C$4:$F$4,0))</f>
        <v>20</v>
      </c>
      <c r="O83" s="1070">
        <v>3.1536000000000002E-2</v>
      </c>
      <c r="P83" s="1067">
        <f>INDEX('86 PEMEC 100MW'!$C$6:$F$39,MATCH(SUP_H2_Production!P$10,'86 PEMEC 100MW'!$B$6:$B$39,0),MATCH(SUP_H2_Production!$G83,'86 PEMEC 100MW'!$C$4:$F$4,0))/$J83/1000*7.45</f>
        <v>11.881465517241381</v>
      </c>
      <c r="Q83" s="1067">
        <f>INDEX('86 PEMEC 100MW'!$C$6:$F$39,MATCH(SUP_H2_Production!Q$10,'86 PEMEC 100MW'!$B$6:$B$39,0),MATCH(SUP_H2_Production!$G83,'86 PEMEC 100MW'!$C$4:$F$4,0))/$J83/1000*7.45</f>
        <v>5.1379310344827595E-2</v>
      </c>
      <c r="R83" s="1067"/>
      <c r="S83" s="1006">
        <v>0.5</v>
      </c>
      <c r="T83" s="1006" t="s">
        <v>1734</v>
      </c>
      <c r="U83" s="1006"/>
    </row>
    <row r="84" spans="2:21">
      <c r="B84" s="1232"/>
      <c r="C84" s="1232"/>
      <c r="D84" s="1232"/>
      <c r="E84" s="1232"/>
      <c r="F84" s="1232" t="s">
        <v>216</v>
      </c>
      <c r="G84" s="1232"/>
      <c r="H84" s="241"/>
      <c r="I84" s="1232"/>
      <c r="J84" s="1240" t="s">
        <v>124</v>
      </c>
      <c r="K84" s="141"/>
      <c r="L84" s="1067">
        <f>INDEX('86 PEMEC 100MW'!$C$6:$F$39,MATCH(SUP_H2_Production!L$10,'86 PEMEC 100MW'!$B$6:$B$39,0),MATCH(SUP_H2_Production!$G83,'86 PEMEC 100MW'!$C$4:$F$4,0))/100</f>
        <v>0.28437143714371443</v>
      </c>
      <c r="M84" s="1232"/>
      <c r="N84" s="281"/>
      <c r="O84" s="103"/>
      <c r="P84" s="141"/>
      <c r="Q84" s="141"/>
      <c r="R84" s="1232"/>
      <c r="S84" s="1232"/>
      <c r="T84" s="1232"/>
    </row>
    <row r="85" spans="2:21">
      <c r="B85" s="1232"/>
      <c r="C85" s="1232"/>
      <c r="D85" s="1006" t="s">
        <v>71</v>
      </c>
      <c r="E85" s="1006" t="s">
        <v>1314</v>
      </c>
      <c r="F85" s="1006"/>
      <c r="G85" s="1006">
        <v>2030</v>
      </c>
      <c r="H85" s="1066" t="s">
        <v>70</v>
      </c>
      <c r="I85" s="1006"/>
      <c r="J85" s="1067">
        <f>INDEX('86 PEMEC 100MW'!$C$6:$F$39,MATCH(SUP_H2_Production!J$10,'86 PEMEC 100MW'!$B$6:$B$39,0),MATCH(SUP_H2_Production!$G85,'86 PEMEC 100MW'!$C$4:$F$4,0))/100</f>
        <v>0.65500000000000003</v>
      </c>
      <c r="K85" s="1067"/>
      <c r="L85" s="1067"/>
      <c r="M85" s="1067">
        <f>(100-INDEX('86 PEMEC 100MW'!$C$6:$F$39,MATCH(SUP_H2_Production!M$10,'86 PEMEC 100MW'!$B$6:$B$39,0),MATCH(SUP_H2_Production!$G85,'86 PEMEC 100MW'!$C$4:$F$4,0)))/100</f>
        <v>0.98</v>
      </c>
      <c r="N85" s="1069">
        <f>INDEX('86 PEMEC 100MW'!$C$6:$F$39,MATCH(SUP_H2_Production!N$10,'86 PEMEC 100MW'!$B$6:$B$39,0),MATCH(SUP_H2_Production!$G85,'86 PEMEC 100MW'!$C$4:$F$4,0))</f>
        <v>25</v>
      </c>
      <c r="O85" s="1070">
        <v>3.1536000000000002E-2</v>
      </c>
      <c r="P85" s="1067">
        <f>INDEX('86 PEMEC 100MW'!$C$6:$F$39,MATCH(SUP_H2_Production!P$10,'86 PEMEC 100MW'!$B$6:$B$39,0),MATCH(SUP_H2_Production!$G85,'86 PEMEC 100MW'!$C$4:$F$4,0))/$J85/1000*7.45</f>
        <v>7.3931297709923669</v>
      </c>
      <c r="Q85" s="1067">
        <f>INDEX('86 PEMEC 100MW'!$C$6:$F$39,MATCH(SUP_H2_Production!Q$10,'86 PEMEC 100MW'!$B$6:$B$39,0),MATCH(SUP_H2_Production!$G85,'86 PEMEC 100MW'!$C$4:$F$4,0))/$J85/1000*7.45</f>
        <v>4.549618320610687E-2</v>
      </c>
      <c r="R85" s="1067"/>
      <c r="S85" s="1006"/>
      <c r="T85" s="1006"/>
      <c r="U85" s="1006"/>
    </row>
    <row r="86" spans="2:21">
      <c r="B86" s="1232"/>
      <c r="C86" s="1232"/>
      <c r="D86" s="1006"/>
      <c r="E86" s="1006"/>
      <c r="F86" s="1006" t="s">
        <v>216</v>
      </c>
      <c r="G86" s="1006"/>
      <c r="H86" s="1066"/>
      <c r="I86" s="1006"/>
      <c r="J86" s="1067"/>
      <c r="K86" s="1067"/>
      <c r="L86" s="1067">
        <f>INDEX('86 PEMEC 100MW'!$C$6:$F$39,MATCH(SUP_H2_Production!L$10,'86 PEMEC 100MW'!$B$6:$B$39,0),MATCH(SUP_H2_Production!$G85,'86 PEMEC 100MW'!$C$4:$F$4,0))/100</f>
        <v>0.19571257125712563</v>
      </c>
      <c r="M86" s="1006"/>
      <c r="N86" s="1069"/>
      <c r="O86" s="1070"/>
      <c r="P86" s="1067"/>
      <c r="Q86" s="1067"/>
      <c r="R86" s="1006"/>
      <c r="S86" s="1006"/>
      <c r="T86" s="1006"/>
      <c r="U86" s="1006"/>
    </row>
    <row r="87" spans="2:21">
      <c r="B87" s="1232"/>
      <c r="C87" s="1232"/>
      <c r="D87" s="1006" t="s">
        <v>71</v>
      </c>
      <c r="E87" s="1006" t="s">
        <v>1314</v>
      </c>
      <c r="F87" s="1006"/>
      <c r="G87" s="1006">
        <v>2040</v>
      </c>
      <c r="H87" s="1066" t="s">
        <v>70</v>
      </c>
      <c r="I87" s="1006"/>
      <c r="J87" s="1067">
        <f>INDEX('86 PEMEC 100MW'!$C$6:$F$39,MATCH(SUP_H2_Production!J$10,'86 PEMEC 100MW'!$B$6:$B$39,0),MATCH(SUP_H2_Production!$G87,'86 PEMEC 100MW'!$C$4:$F$4,0))/100</f>
        <v>0.68</v>
      </c>
      <c r="K87" s="1067"/>
      <c r="L87" s="1067"/>
      <c r="M87" s="1067">
        <f>(100-INDEX('86 PEMEC 100MW'!$C$6:$F$39,MATCH(SUP_H2_Production!M$10,'86 PEMEC 100MW'!$B$6:$B$39,0),MATCH(SUP_H2_Production!$G87,'86 PEMEC 100MW'!$C$4:$F$4,0)))/100</f>
        <v>0.98</v>
      </c>
      <c r="N87" s="1069">
        <f>INDEX('86 PEMEC 100MW'!$C$6:$F$39,MATCH(SUP_H2_Production!N$10,'86 PEMEC 100MW'!$B$6:$B$39,0),MATCH(SUP_H2_Production!$G87,'86 PEMEC 100MW'!$C$4:$F$4,0))</f>
        <v>28</v>
      </c>
      <c r="O87" s="1070">
        <v>3.1536000000000002E-2</v>
      </c>
      <c r="P87" s="1067">
        <f>INDEX('86 PEMEC 100MW'!$C$6:$F$39,MATCH(SUP_H2_Production!P$10,'86 PEMEC 100MW'!$B$6:$B$39,0),MATCH(SUP_H2_Production!$G87,'86 PEMEC 100MW'!$C$4:$F$4,0))/$J87/1000*7.45</f>
        <v>4.930147058823529</v>
      </c>
      <c r="Q87" s="1067">
        <f>INDEX('86 PEMEC 100MW'!$C$6:$F$39,MATCH(SUP_H2_Production!Q$10,'86 PEMEC 100MW'!$B$6:$B$39,0),MATCH(SUP_H2_Production!$G87,'86 PEMEC 100MW'!$C$4:$F$4,0))/$J87/1000*7.45</f>
        <v>4.3823529411764706E-2</v>
      </c>
      <c r="R87" s="1067"/>
      <c r="S87" s="1006"/>
      <c r="T87" s="1006"/>
      <c r="U87" s="1006"/>
    </row>
    <row r="88" spans="2:21">
      <c r="B88" s="1232"/>
      <c r="C88" s="1232"/>
      <c r="D88" s="1006"/>
      <c r="E88" s="1006"/>
      <c r="F88" s="1006" t="s">
        <v>216</v>
      </c>
      <c r="G88" s="1006"/>
      <c r="H88" s="1066"/>
      <c r="I88" s="1006"/>
      <c r="J88" s="1067"/>
      <c r="K88" s="1067"/>
      <c r="L88" s="1067">
        <f>INDEX('86 PEMEC 100MW'!$C$6:$F$39,MATCH(SUP_H2_Production!L$10,'86 PEMEC 100MW'!$B$6:$B$39,0),MATCH(SUP_H2_Production!$G87,'86 PEMEC 100MW'!$C$4:$F$4,0))/100</f>
        <v>0.16615961596159623</v>
      </c>
      <c r="M88" s="1006"/>
      <c r="N88" s="1069"/>
      <c r="O88" s="1070"/>
      <c r="P88" s="1067"/>
      <c r="Q88" s="1067"/>
      <c r="R88" s="1006"/>
      <c r="S88" s="1006"/>
      <c r="T88" s="1006"/>
      <c r="U88" s="1006"/>
    </row>
    <row r="89" spans="2:21">
      <c r="B89" s="1232"/>
      <c r="C89" s="1232"/>
      <c r="D89" s="1006" t="s">
        <v>71</v>
      </c>
      <c r="E89" s="1006" t="s">
        <v>1314</v>
      </c>
      <c r="F89" s="1006"/>
      <c r="G89" s="1006">
        <v>2050</v>
      </c>
      <c r="H89" s="1066" t="s">
        <v>70</v>
      </c>
      <c r="I89" s="1006"/>
      <c r="J89" s="1067">
        <f>INDEX('86 PEMEC 100MW'!$C$6:$F$39,MATCH(SUP_H2_Production!J$10,'86 PEMEC 100MW'!$B$6:$B$39,0),MATCH(SUP_H2_Production!$G89,'86 PEMEC 100MW'!$C$4:$F$4,0))/100</f>
        <v>0.70499999999999996</v>
      </c>
      <c r="K89" s="1067"/>
      <c r="L89" s="1067"/>
      <c r="M89" s="1067">
        <f>(100-INDEX('86 PEMEC 100MW'!$C$6:$F$39,MATCH(SUP_H2_Production!M$10,'86 PEMEC 100MW'!$B$6:$B$39,0),MATCH(SUP_H2_Production!$G89,'86 PEMEC 100MW'!$C$4:$F$4,0)))/100</f>
        <v>0.98</v>
      </c>
      <c r="N89" s="1069">
        <f>INDEX('86 PEMEC 100MW'!$C$6:$F$39,MATCH(SUP_H2_Production!N$10,'86 PEMEC 100MW'!$B$6:$B$39,0),MATCH(SUP_H2_Production!$G89,'86 PEMEC 100MW'!$C$4:$F$4,0))</f>
        <v>30</v>
      </c>
      <c r="O89" s="1070">
        <v>3.1536000000000002E-2</v>
      </c>
      <c r="P89" s="1067">
        <f>INDEX('86 PEMEC 100MW'!$C$6:$F$39,MATCH(SUP_H2_Production!P$10,'86 PEMEC 100MW'!$B$6:$B$39,0),MATCH(SUP_H2_Production!$G89,'86 PEMEC 100MW'!$C$4:$F$4,0))/$J89/1000*7.45</f>
        <v>4.2269503546099294</v>
      </c>
      <c r="Q89" s="1067">
        <f>INDEX('86 PEMEC 100MW'!$C$6:$F$39,MATCH(SUP_H2_Production!Q$10,'86 PEMEC 100MW'!$B$6:$B$39,0),MATCH(SUP_H2_Production!$G89,'86 PEMEC 100MW'!$C$4:$F$4,0))/$J89/1000*7.45</f>
        <v>4.2269503546099298E-2</v>
      </c>
      <c r="R89" s="1067"/>
      <c r="S89" s="1006"/>
      <c r="T89" s="1006"/>
      <c r="U89" s="1006"/>
    </row>
    <row r="90" spans="2:21" ht="13.8" thickBot="1">
      <c r="B90" s="107"/>
      <c r="C90" s="107"/>
      <c r="D90" s="107"/>
      <c r="E90" s="107"/>
      <c r="F90" s="107" t="s">
        <v>216</v>
      </c>
      <c r="G90" s="107"/>
      <c r="H90" s="256"/>
      <c r="I90" s="107"/>
      <c r="J90" s="151"/>
      <c r="K90" s="151"/>
      <c r="L90" s="151">
        <f>INDEX('86 PEMEC 100MW'!$C$6:$F$39,MATCH(SUP_H2_Production!L$10,'86 PEMEC 100MW'!$B$6:$B$39,0),MATCH(SUP_H2_Production!$G89,'86 PEMEC 100MW'!$C$4:$F$4,0))/100</f>
        <v>0.1366066606660668</v>
      </c>
      <c r="M90" s="107"/>
      <c r="N90" s="107"/>
      <c r="O90" s="107"/>
      <c r="P90" s="257"/>
      <c r="Q90" s="257"/>
      <c r="R90" s="107"/>
      <c r="S90" s="107"/>
      <c r="T90" s="107"/>
      <c r="U90" s="1006"/>
    </row>
    <row r="91" spans="2:21">
      <c r="B91" s="1232" t="s">
        <v>1746</v>
      </c>
      <c r="C91" s="1232" t="s">
        <v>369</v>
      </c>
      <c r="D91" s="1006" t="s">
        <v>71</v>
      </c>
      <c r="E91" s="1006" t="s">
        <v>348</v>
      </c>
      <c r="F91" s="1006"/>
      <c r="G91" s="1006">
        <v>2020</v>
      </c>
      <c r="H91" s="1066" t="s">
        <v>70</v>
      </c>
      <c r="I91" s="1006">
        <v>2020</v>
      </c>
      <c r="J91" s="1067">
        <f>INDEX('86 PEMEC 100MW'!$C$6:$F$39,MATCH(SUP_H2_Production!J$10,'86 PEMEC 100MW'!$B$6:$B$39,0),MATCH(SUP_H2_Production!$G91,'86 PEMEC 100MW'!$C$4:$F$4,0))/100</f>
        <v>0.57999999999999996</v>
      </c>
      <c r="K91" s="1067"/>
      <c r="L91" s="1067"/>
      <c r="M91" s="1067">
        <f>(100-INDEX('86 PEMEC 100MW'!$C$6:$F$39,MATCH(SUP_H2_Production!M$10,'86 PEMEC 100MW'!$B$6:$B$39,0),MATCH(SUP_H2_Production!$G91,'86 PEMEC 100MW'!$C$4:$F$4,0)))/100</f>
        <v>0.98</v>
      </c>
      <c r="N91" s="1069">
        <f>INDEX('86 PEMEC 100MW'!$C$6:$F$39,MATCH(SUP_H2_Production!N$10,'86 PEMEC 100MW'!$B$6:$B$39,0),MATCH(SUP_H2_Production!$G91,'86 PEMEC 100MW'!$C$4:$F$4,0))</f>
        <v>20</v>
      </c>
      <c r="O91" s="1070">
        <v>3.1536000000000002E-2</v>
      </c>
      <c r="P91" s="1067">
        <f>INDEX('86 PEMEC 100MW'!$C$6:$F$39,MATCH(SUP_H2_Production!P$10,'86 PEMEC 100MW'!$B$6:$B$39,0),MATCH(SUP_H2_Production!$G91,'86 PEMEC 100MW'!$C$4:$F$4,0))/$J91/1000*7.45</f>
        <v>11.881465517241381</v>
      </c>
      <c r="Q91" s="1067">
        <f>INDEX('86 PEMEC 100MW'!$C$6:$F$39,MATCH(SUP_H2_Production!Q$10,'86 PEMEC 100MW'!$B$6:$B$39,0),MATCH(SUP_H2_Production!$G91,'86 PEMEC 100MW'!$C$4:$F$4,0))/$J91/1000*7.45</f>
        <v>5.1379310344827595E-2</v>
      </c>
      <c r="R91" s="1067"/>
      <c r="S91" s="1006">
        <v>0.5</v>
      </c>
      <c r="T91" s="1006" t="s">
        <v>1734</v>
      </c>
      <c r="U91" s="1006"/>
    </row>
    <row r="92" spans="2:21">
      <c r="B92" s="1232"/>
      <c r="C92" s="1232"/>
      <c r="D92" s="1232"/>
      <c r="E92" s="1232"/>
      <c r="F92" s="1232" t="s">
        <v>259</v>
      </c>
      <c r="G92" s="1232"/>
      <c r="H92" s="241"/>
      <c r="I92" s="1232"/>
      <c r="J92" s="1240" t="s">
        <v>124</v>
      </c>
      <c r="K92" s="141"/>
      <c r="L92" s="1067">
        <f>INDEX('86 PEMEC 100MW'!$C$6:$F$39,MATCH(SUP_H2_Production!L$10,'86 PEMEC 100MW'!$B$6:$B$39,0),MATCH(SUP_H2_Production!$G91,'86 PEMEC 100MW'!$C$4:$F$4,0))/100</f>
        <v>0.28437143714371443</v>
      </c>
      <c r="M92" s="1232"/>
      <c r="N92" s="281"/>
      <c r="O92" s="103"/>
      <c r="P92" s="141"/>
      <c r="Q92" s="141"/>
      <c r="R92" s="1232"/>
      <c r="S92" s="1232"/>
      <c r="T92" s="1232"/>
    </row>
    <row r="93" spans="2:21">
      <c r="B93" s="1232"/>
      <c r="C93" s="1232"/>
      <c r="D93" s="1006" t="s">
        <v>71</v>
      </c>
      <c r="E93" s="1006" t="s">
        <v>348</v>
      </c>
      <c r="F93" s="1006"/>
      <c r="G93" s="1006">
        <v>2030</v>
      </c>
      <c r="H93" s="1066" t="s">
        <v>70</v>
      </c>
      <c r="I93" s="1006"/>
      <c r="J93" s="1067">
        <f>INDEX('86 PEMEC 100MW'!$C$6:$F$39,MATCH(SUP_H2_Production!J$10,'86 PEMEC 100MW'!$B$6:$B$39,0),MATCH(SUP_H2_Production!$G93,'86 PEMEC 100MW'!$C$4:$F$4,0))/100</f>
        <v>0.65500000000000003</v>
      </c>
      <c r="K93" s="1067"/>
      <c r="L93" s="1067"/>
      <c r="M93" s="1067">
        <f>(100-INDEX('86 PEMEC 100MW'!$C$6:$F$39,MATCH(SUP_H2_Production!M$10,'86 PEMEC 100MW'!$B$6:$B$39,0),MATCH(SUP_H2_Production!$G93,'86 PEMEC 100MW'!$C$4:$F$4,0)))/100</f>
        <v>0.98</v>
      </c>
      <c r="N93" s="1069">
        <f>INDEX('86 PEMEC 100MW'!$C$6:$F$39,MATCH(SUP_H2_Production!N$10,'86 PEMEC 100MW'!$B$6:$B$39,0),MATCH(SUP_H2_Production!$G93,'86 PEMEC 100MW'!$C$4:$F$4,0))</f>
        <v>25</v>
      </c>
      <c r="O93" s="1070">
        <v>3.1536000000000002E-2</v>
      </c>
      <c r="P93" s="1067">
        <f>INDEX('86 PEMEC 100MW'!$C$6:$F$39,MATCH(SUP_H2_Production!P$10,'86 PEMEC 100MW'!$B$6:$B$39,0),MATCH(SUP_H2_Production!$G93,'86 PEMEC 100MW'!$C$4:$F$4,0))/$J93/1000*7.45</f>
        <v>7.3931297709923669</v>
      </c>
      <c r="Q93" s="1067">
        <f>INDEX('86 PEMEC 100MW'!$C$6:$F$39,MATCH(SUP_H2_Production!Q$10,'86 PEMEC 100MW'!$B$6:$B$39,0),MATCH(SUP_H2_Production!$G93,'86 PEMEC 100MW'!$C$4:$F$4,0))/$J93/1000*7.45</f>
        <v>4.549618320610687E-2</v>
      </c>
      <c r="R93" s="1067"/>
      <c r="S93" s="1006"/>
      <c r="T93" s="1006"/>
      <c r="U93" s="1006"/>
    </row>
    <row r="94" spans="2:21">
      <c r="B94" s="1232"/>
      <c r="C94" s="1232"/>
      <c r="D94" s="1006"/>
      <c r="E94" s="1006"/>
      <c r="F94" s="1232" t="s">
        <v>259</v>
      </c>
      <c r="G94" s="1006"/>
      <c r="H94" s="1066"/>
      <c r="I94" s="1006"/>
      <c r="J94" s="1067"/>
      <c r="K94" s="1067"/>
      <c r="L94" s="1067">
        <f>INDEX('86 PEMEC 100MW'!$C$6:$F$39,MATCH(SUP_H2_Production!L$10,'86 PEMEC 100MW'!$B$6:$B$39,0),MATCH(SUP_H2_Production!$G93,'86 PEMEC 100MW'!$C$4:$F$4,0))/100</f>
        <v>0.19571257125712563</v>
      </c>
      <c r="M94" s="1006"/>
      <c r="N94" s="1069"/>
      <c r="O94" s="1070"/>
      <c r="P94" s="1067"/>
      <c r="Q94" s="1067"/>
      <c r="R94" s="1006"/>
      <c r="S94" s="1006"/>
      <c r="T94" s="1006"/>
      <c r="U94" s="1006"/>
    </row>
    <row r="95" spans="2:21">
      <c r="B95" s="1232"/>
      <c r="C95" s="1232"/>
      <c r="D95" s="1006" t="s">
        <v>71</v>
      </c>
      <c r="E95" s="1006" t="s">
        <v>348</v>
      </c>
      <c r="F95" s="1006"/>
      <c r="G95" s="1006">
        <v>2040</v>
      </c>
      <c r="H95" s="1066" t="s">
        <v>70</v>
      </c>
      <c r="I95" s="1006"/>
      <c r="J95" s="1067">
        <f>INDEX('86 PEMEC 100MW'!$C$6:$F$39,MATCH(SUP_H2_Production!J$10,'86 PEMEC 100MW'!$B$6:$B$39,0),MATCH(SUP_H2_Production!$G95,'86 PEMEC 100MW'!$C$4:$F$4,0))/100</f>
        <v>0.68</v>
      </c>
      <c r="K95" s="1067"/>
      <c r="L95" s="1067"/>
      <c r="M95" s="1067">
        <f>(100-INDEX('86 PEMEC 100MW'!$C$6:$F$39,MATCH(SUP_H2_Production!M$10,'86 PEMEC 100MW'!$B$6:$B$39,0),MATCH(SUP_H2_Production!$G95,'86 PEMEC 100MW'!$C$4:$F$4,0)))/100</f>
        <v>0.98</v>
      </c>
      <c r="N95" s="1069">
        <f>INDEX('86 PEMEC 100MW'!$C$6:$F$39,MATCH(SUP_H2_Production!N$10,'86 PEMEC 100MW'!$B$6:$B$39,0),MATCH(SUP_H2_Production!$G95,'86 PEMEC 100MW'!$C$4:$F$4,0))</f>
        <v>28</v>
      </c>
      <c r="O95" s="1070">
        <v>3.1536000000000002E-2</v>
      </c>
      <c r="P95" s="1067">
        <f>INDEX('86 PEMEC 100MW'!$C$6:$F$39,MATCH(SUP_H2_Production!P$10,'86 PEMEC 100MW'!$B$6:$B$39,0),MATCH(SUP_H2_Production!$G95,'86 PEMEC 100MW'!$C$4:$F$4,0))/$J95/1000*7.45</f>
        <v>4.930147058823529</v>
      </c>
      <c r="Q95" s="1067">
        <f>INDEX('86 PEMEC 100MW'!$C$6:$F$39,MATCH(SUP_H2_Production!Q$10,'86 PEMEC 100MW'!$B$6:$B$39,0),MATCH(SUP_H2_Production!$G95,'86 PEMEC 100MW'!$C$4:$F$4,0))/$J95/1000*7.45</f>
        <v>4.3823529411764706E-2</v>
      </c>
      <c r="R95" s="1067"/>
      <c r="S95" s="1006"/>
      <c r="T95" s="1006"/>
      <c r="U95" s="1006"/>
    </row>
    <row r="96" spans="2:21">
      <c r="B96" s="1232"/>
      <c r="C96" s="1232"/>
      <c r="D96" s="1006"/>
      <c r="E96" s="1006"/>
      <c r="F96" s="1232" t="s">
        <v>259</v>
      </c>
      <c r="G96" s="1006"/>
      <c r="H96" s="1066"/>
      <c r="I96" s="1006"/>
      <c r="J96" s="1067"/>
      <c r="K96" s="1067"/>
      <c r="L96" s="1067">
        <f>INDEX('86 PEMEC 100MW'!$C$6:$F$39,MATCH(SUP_H2_Production!L$10,'86 PEMEC 100MW'!$B$6:$B$39,0),MATCH(SUP_H2_Production!$G95,'86 PEMEC 100MW'!$C$4:$F$4,0))/100</f>
        <v>0.16615961596159623</v>
      </c>
      <c r="M96" s="1006"/>
      <c r="N96" s="1069"/>
      <c r="O96" s="1070"/>
      <c r="P96" s="1067"/>
      <c r="Q96" s="1067"/>
      <c r="R96" s="1006"/>
      <c r="S96" s="1006"/>
      <c r="T96" s="1006"/>
      <c r="U96" s="1006"/>
    </row>
    <row r="97" spans="2:21">
      <c r="B97" s="1232"/>
      <c r="C97" s="1232"/>
      <c r="D97" s="1006" t="s">
        <v>71</v>
      </c>
      <c r="E97" s="1006" t="s">
        <v>348</v>
      </c>
      <c r="F97" s="1006"/>
      <c r="G97" s="1006">
        <v>2050</v>
      </c>
      <c r="H97" s="1066" t="s">
        <v>70</v>
      </c>
      <c r="I97" s="1006"/>
      <c r="J97" s="1067">
        <f>INDEX('86 PEMEC 100MW'!$C$6:$F$39,MATCH(SUP_H2_Production!J$10,'86 PEMEC 100MW'!$B$6:$B$39,0),MATCH(SUP_H2_Production!$G97,'86 PEMEC 100MW'!$C$4:$F$4,0))/100</f>
        <v>0.70499999999999996</v>
      </c>
      <c r="K97" s="1067"/>
      <c r="L97" s="1067"/>
      <c r="M97" s="1067">
        <f>(100-INDEX('86 PEMEC 100MW'!$C$6:$F$39,MATCH(SUP_H2_Production!M$10,'86 PEMEC 100MW'!$B$6:$B$39,0),MATCH(SUP_H2_Production!$G97,'86 PEMEC 100MW'!$C$4:$F$4,0)))/100</f>
        <v>0.98</v>
      </c>
      <c r="N97" s="1069">
        <f>INDEX('86 PEMEC 100MW'!$C$6:$F$39,MATCH(SUP_H2_Production!N$10,'86 PEMEC 100MW'!$B$6:$B$39,0),MATCH(SUP_H2_Production!$G97,'86 PEMEC 100MW'!$C$4:$F$4,0))</f>
        <v>30</v>
      </c>
      <c r="O97" s="1070">
        <v>3.1536000000000002E-2</v>
      </c>
      <c r="P97" s="1067">
        <f>INDEX('86 PEMEC 100MW'!$C$6:$F$39,MATCH(SUP_H2_Production!P$10,'86 PEMEC 100MW'!$B$6:$B$39,0),MATCH(SUP_H2_Production!$G97,'86 PEMEC 100MW'!$C$4:$F$4,0))/$J97/1000*7.45</f>
        <v>4.2269503546099294</v>
      </c>
      <c r="Q97" s="1067">
        <f>INDEX('86 PEMEC 100MW'!$C$6:$F$39,MATCH(SUP_H2_Production!Q$10,'86 PEMEC 100MW'!$B$6:$B$39,0),MATCH(SUP_H2_Production!$G97,'86 PEMEC 100MW'!$C$4:$F$4,0))/$J97/1000*7.45</f>
        <v>4.2269503546099298E-2</v>
      </c>
      <c r="R97" s="1067"/>
      <c r="S97" s="1006"/>
      <c r="T97" s="1006"/>
      <c r="U97" s="1006"/>
    </row>
    <row r="98" spans="2:21" ht="13.8" thickBot="1">
      <c r="B98" s="107"/>
      <c r="C98" s="107"/>
      <c r="D98" s="107"/>
      <c r="E98" s="107"/>
      <c r="F98" s="107" t="s">
        <v>259</v>
      </c>
      <c r="G98" s="107"/>
      <c r="H98" s="256"/>
      <c r="I98" s="107"/>
      <c r="J98" s="151"/>
      <c r="K98" s="151"/>
      <c r="L98" s="151">
        <f>INDEX('86 PEMEC 100MW'!$C$6:$F$39,MATCH(SUP_H2_Production!L$10,'86 PEMEC 100MW'!$B$6:$B$39,0),MATCH(SUP_H2_Production!$G97,'86 PEMEC 100MW'!$C$4:$F$4,0))/100</f>
        <v>0.1366066606660668</v>
      </c>
      <c r="M98" s="107"/>
      <c r="N98" s="107"/>
      <c r="O98" s="107"/>
      <c r="P98" s="257"/>
      <c r="Q98" s="257"/>
      <c r="R98" s="107"/>
      <c r="S98" s="107"/>
      <c r="T98" s="107"/>
      <c r="U98" s="1006"/>
    </row>
    <row r="99" spans="2:21">
      <c r="B99" s="1232" t="s">
        <v>1747</v>
      </c>
      <c r="C99" s="1232" t="s">
        <v>1735</v>
      </c>
      <c r="D99" s="1006" t="s">
        <v>71</v>
      </c>
      <c r="E99" s="1006" t="s">
        <v>1314</v>
      </c>
      <c r="F99" s="1006"/>
      <c r="G99" s="1006">
        <v>2020</v>
      </c>
      <c r="H99" s="1066" t="s">
        <v>70</v>
      </c>
      <c r="I99" s="1006">
        <v>2020</v>
      </c>
      <c r="J99" s="1067">
        <f>INDEX('86 PEMEC 100MW'!$C$6:$F$39,MATCH(SUP_H2_Production!J$10,'86 PEMEC 100MW'!$B$6:$B$39,0),MATCH(SUP_H2_Production!$G99,'86 PEMEC 100MW'!$C$4:$F$4,0))/100</f>
        <v>0.57999999999999996</v>
      </c>
      <c r="K99" s="1067"/>
      <c r="L99" s="1067"/>
      <c r="M99" s="1067">
        <f>(100-INDEX('86 PEMEC 100MW'!$C$6:$F$39,MATCH(SUP_H2_Production!M$10,'86 PEMEC 100MW'!$B$6:$B$39,0),MATCH(SUP_H2_Production!$G99,'86 PEMEC 100MW'!$C$4:$F$4,0)))/100</f>
        <v>0.98</v>
      </c>
      <c r="N99" s="1069">
        <f>INDEX('86 PEMEC 100MW'!$C$6:$F$39,MATCH(SUP_H2_Production!N$10,'86 PEMEC 100MW'!$B$6:$B$39,0),MATCH(SUP_H2_Production!$G99,'86 PEMEC 100MW'!$C$4:$F$4,0))</f>
        <v>20</v>
      </c>
      <c r="O99" s="1070">
        <v>3.1536000000000002E-2</v>
      </c>
      <c r="P99" s="1067">
        <f>INDEX('86 PEMEC 100MW'!$C$6:$F$39,MATCH(SUP_H2_Production!P$10,'86 PEMEC 100MW'!$B$6:$B$39,0),MATCH(SUP_H2_Production!$G99,'86 PEMEC 100MW'!$C$4:$F$4,0))/$J99/1000*7.45</f>
        <v>11.881465517241381</v>
      </c>
      <c r="Q99" s="1067">
        <f>INDEX('86 PEMEC 100MW'!$C$6:$F$39,MATCH(SUP_H2_Production!Q$10,'86 PEMEC 100MW'!$B$6:$B$39,0),MATCH(SUP_H2_Production!$G99,'86 PEMEC 100MW'!$C$4:$F$4,0))/$J99/1000*7.45</f>
        <v>5.1379310344827595E-2</v>
      </c>
      <c r="R99" s="1067"/>
      <c r="S99" s="1006">
        <v>0.5</v>
      </c>
      <c r="T99" s="1006" t="s">
        <v>1734</v>
      </c>
      <c r="U99" s="1006"/>
    </row>
    <row r="100" spans="2:21">
      <c r="B100" s="1232"/>
      <c r="C100" s="1232"/>
      <c r="D100" s="1232"/>
      <c r="E100" s="1232"/>
      <c r="F100" s="1232"/>
      <c r="G100" s="1232"/>
      <c r="H100" s="241"/>
      <c r="I100" s="1232"/>
      <c r="J100" s="1240" t="s">
        <v>124</v>
      </c>
      <c r="K100" s="141"/>
      <c r="L100" s="1067">
        <f>INDEX('86 PEMEC 100MW'!$C$6:$F$39,MATCH(SUP_H2_Production!L$10,'86 PEMEC 100MW'!$B$6:$B$39,0),MATCH(SUP_H2_Production!$G99,'86 PEMEC 100MW'!$C$4:$F$4,0))/100</f>
        <v>0.28437143714371443</v>
      </c>
      <c r="M100" s="1232"/>
      <c r="N100" s="281"/>
      <c r="O100" s="103"/>
      <c r="P100" s="141"/>
      <c r="Q100" s="141"/>
      <c r="R100" s="1232"/>
      <c r="S100" s="1232"/>
      <c r="T100" s="1232"/>
    </row>
    <row r="101" spans="2:21">
      <c r="B101" s="1232"/>
      <c r="C101" s="1232"/>
      <c r="D101" s="1006" t="s">
        <v>71</v>
      </c>
      <c r="E101" s="1006" t="s">
        <v>1314</v>
      </c>
      <c r="F101" s="1006"/>
      <c r="G101" s="1006">
        <v>2030</v>
      </c>
      <c r="H101" s="1066" t="s">
        <v>70</v>
      </c>
      <c r="I101" s="1006"/>
      <c r="J101" s="1067">
        <f>INDEX('86 PEMEC 100MW'!$C$6:$F$39,MATCH(SUP_H2_Production!J$10,'86 PEMEC 100MW'!$B$6:$B$39,0),MATCH(SUP_H2_Production!$G101,'86 PEMEC 100MW'!$C$4:$F$4,0))/100</f>
        <v>0.65500000000000003</v>
      </c>
      <c r="K101" s="1067"/>
      <c r="L101" s="1067"/>
      <c r="M101" s="1067">
        <f>(100-INDEX('86 PEMEC 100MW'!$C$6:$F$39,MATCH(SUP_H2_Production!M$10,'86 PEMEC 100MW'!$B$6:$B$39,0),MATCH(SUP_H2_Production!$G101,'86 PEMEC 100MW'!$C$4:$F$4,0)))/100</f>
        <v>0.98</v>
      </c>
      <c r="N101" s="1069">
        <f>INDEX('86 PEMEC 100MW'!$C$6:$F$39,MATCH(SUP_H2_Production!N$10,'86 PEMEC 100MW'!$B$6:$B$39,0),MATCH(SUP_H2_Production!$G101,'86 PEMEC 100MW'!$C$4:$F$4,0))</f>
        <v>25</v>
      </c>
      <c r="O101" s="1070">
        <v>3.1536000000000002E-2</v>
      </c>
      <c r="P101" s="1067">
        <f>INDEX('86 PEMEC 100MW'!$C$6:$F$39,MATCH(SUP_H2_Production!P$10,'86 PEMEC 100MW'!$B$6:$B$39,0),MATCH(SUP_H2_Production!$G101,'86 PEMEC 100MW'!$C$4:$F$4,0))/$J101/1000*7.45</f>
        <v>7.3931297709923669</v>
      </c>
      <c r="Q101" s="1067">
        <f>INDEX('86 PEMEC 100MW'!$C$6:$F$39,MATCH(SUP_H2_Production!Q$10,'86 PEMEC 100MW'!$B$6:$B$39,0),MATCH(SUP_H2_Production!$G101,'86 PEMEC 100MW'!$C$4:$F$4,0))/$J101/1000*7.45</f>
        <v>4.549618320610687E-2</v>
      </c>
      <c r="R101" s="1067"/>
      <c r="S101" s="1006"/>
      <c r="T101" s="1006"/>
      <c r="U101" s="1006"/>
    </row>
    <row r="102" spans="2:21">
      <c r="B102" s="1232"/>
      <c r="C102" s="1232"/>
      <c r="D102" s="1006"/>
      <c r="E102" s="1006"/>
      <c r="F102" s="1006"/>
      <c r="G102" s="1006"/>
      <c r="H102" s="1066"/>
      <c r="I102" s="1006"/>
      <c r="J102" s="1067"/>
      <c r="K102" s="1067"/>
      <c r="L102" s="1067">
        <f>INDEX('86 PEMEC 100MW'!$C$6:$F$39,MATCH(SUP_H2_Production!L$10,'86 PEMEC 100MW'!$B$6:$B$39,0),MATCH(SUP_H2_Production!$G101,'86 PEMEC 100MW'!$C$4:$F$4,0))/100</f>
        <v>0.19571257125712563</v>
      </c>
      <c r="M102" s="1006"/>
      <c r="N102" s="1069"/>
      <c r="O102" s="1070"/>
      <c r="P102" s="1067"/>
      <c r="Q102" s="1067"/>
      <c r="R102" s="1006"/>
      <c r="S102" s="1006"/>
      <c r="T102" s="1006"/>
      <c r="U102" s="1006"/>
    </row>
    <row r="103" spans="2:21">
      <c r="B103" s="1232"/>
      <c r="C103" s="1232"/>
      <c r="D103" s="1006" t="s">
        <v>71</v>
      </c>
      <c r="E103" s="1006" t="s">
        <v>1314</v>
      </c>
      <c r="F103" s="1006"/>
      <c r="G103" s="1006">
        <v>2040</v>
      </c>
      <c r="H103" s="1066" t="s">
        <v>70</v>
      </c>
      <c r="I103" s="1006"/>
      <c r="J103" s="1067">
        <f>INDEX('86 PEMEC 100MW'!$C$6:$F$39,MATCH(SUP_H2_Production!J$10,'86 PEMEC 100MW'!$B$6:$B$39,0),MATCH(SUP_H2_Production!$G103,'86 PEMEC 100MW'!$C$4:$F$4,0))/100</f>
        <v>0.68</v>
      </c>
      <c r="K103" s="1067"/>
      <c r="L103" s="1067"/>
      <c r="M103" s="1067">
        <f>(100-INDEX('86 PEMEC 100MW'!$C$6:$F$39,MATCH(SUP_H2_Production!M$10,'86 PEMEC 100MW'!$B$6:$B$39,0),MATCH(SUP_H2_Production!$G103,'86 PEMEC 100MW'!$C$4:$F$4,0)))/100</f>
        <v>0.98</v>
      </c>
      <c r="N103" s="1069">
        <f>INDEX('86 PEMEC 100MW'!$C$6:$F$39,MATCH(SUP_H2_Production!N$10,'86 PEMEC 100MW'!$B$6:$B$39,0),MATCH(SUP_H2_Production!$G103,'86 PEMEC 100MW'!$C$4:$F$4,0))</f>
        <v>28</v>
      </c>
      <c r="O103" s="1070">
        <v>3.1536000000000002E-2</v>
      </c>
      <c r="P103" s="1067">
        <f>INDEX('86 PEMEC 100MW'!$C$6:$F$39,MATCH(SUP_H2_Production!P$10,'86 PEMEC 100MW'!$B$6:$B$39,0),MATCH(SUP_H2_Production!$G103,'86 PEMEC 100MW'!$C$4:$F$4,0))/$J103/1000*7.45</f>
        <v>4.930147058823529</v>
      </c>
      <c r="Q103" s="1067">
        <f>INDEX('86 PEMEC 100MW'!$C$6:$F$39,MATCH(SUP_H2_Production!Q$10,'86 PEMEC 100MW'!$B$6:$B$39,0),MATCH(SUP_H2_Production!$G103,'86 PEMEC 100MW'!$C$4:$F$4,0))/$J103/1000*7.45</f>
        <v>4.3823529411764706E-2</v>
      </c>
      <c r="R103" s="1067"/>
      <c r="S103" s="1006"/>
      <c r="T103" s="1006"/>
      <c r="U103" s="1006"/>
    </row>
    <row r="104" spans="2:21">
      <c r="B104" s="1232"/>
      <c r="C104" s="1232"/>
      <c r="D104" s="1006"/>
      <c r="E104" s="1006"/>
      <c r="F104" s="1006"/>
      <c r="G104" s="1006"/>
      <c r="H104" s="1066"/>
      <c r="I104" s="1006"/>
      <c r="J104" s="1067"/>
      <c r="K104" s="1067"/>
      <c r="L104" s="1067">
        <f>INDEX('86 PEMEC 100MW'!$C$6:$F$39,MATCH(SUP_H2_Production!L$10,'86 PEMEC 100MW'!$B$6:$B$39,0),MATCH(SUP_H2_Production!$G103,'86 PEMEC 100MW'!$C$4:$F$4,0))/100</f>
        <v>0.16615961596159623</v>
      </c>
      <c r="M104" s="1006"/>
      <c r="N104" s="1069"/>
      <c r="O104" s="1070"/>
      <c r="P104" s="1067"/>
      <c r="Q104" s="1067"/>
      <c r="R104" s="1006"/>
      <c r="S104" s="1006"/>
      <c r="T104" s="1006"/>
      <c r="U104" s="1006"/>
    </row>
    <row r="105" spans="2:21">
      <c r="B105" s="1232"/>
      <c r="C105" s="1232"/>
      <c r="D105" s="1006" t="s">
        <v>71</v>
      </c>
      <c r="E105" s="1006" t="s">
        <v>1314</v>
      </c>
      <c r="F105" s="1006"/>
      <c r="G105" s="1006">
        <v>2050</v>
      </c>
      <c r="H105" s="1066" t="s">
        <v>70</v>
      </c>
      <c r="I105" s="1006"/>
      <c r="J105" s="1067">
        <f>INDEX('86 PEMEC 100MW'!$C$6:$F$39,MATCH(SUP_H2_Production!J$10,'86 PEMEC 100MW'!$B$6:$B$39,0),MATCH(SUP_H2_Production!$G105,'86 PEMEC 100MW'!$C$4:$F$4,0))/100</f>
        <v>0.70499999999999996</v>
      </c>
      <c r="K105" s="1067"/>
      <c r="L105" s="1067"/>
      <c r="M105" s="1067">
        <f>(100-INDEX('86 PEMEC 100MW'!$C$6:$F$39,MATCH(SUP_H2_Production!M$10,'86 PEMEC 100MW'!$B$6:$B$39,0),MATCH(SUP_H2_Production!$G105,'86 PEMEC 100MW'!$C$4:$F$4,0)))/100</f>
        <v>0.98</v>
      </c>
      <c r="N105" s="1069">
        <f>INDEX('86 PEMEC 100MW'!$C$6:$F$39,MATCH(SUP_H2_Production!N$10,'86 PEMEC 100MW'!$B$6:$B$39,0),MATCH(SUP_H2_Production!$G105,'86 PEMEC 100MW'!$C$4:$F$4,0))</f>
        <v>30</v>
      </c>
      <c r="O105" s="1070">
        <v>3.1536000000000002E-2</v>
      </c>
      <c r="P105" s="1067">
        <f>INDEX('86 PEMEC 100MW'!$C$6:$F$39,MATCH(SUP_H2_Production!P$10,'86 PEMEC 100MW'!$B$6:$B$39,0),MATCH(SUP_H2_Production!$G105,'86 PEMEC 100MW'!$C$4:$F$4,0))/$J105/1000*7.45</f>
        <v>4.2269503546099294</v>
      </c>
      <c r="Q105" s="1067">
        <f>INDEX('86 PEMEC 100MW'!$C$6:$F$39,MATCH(SUP_H2_Production!Q$10,'86 PEMEC 100MW'!$B$6:$B$39,0),MATCH(SUP_H2_Production!$G105,'86 PEMEC 100MW'!$C$4:$F$4,0))/$J105/1000*7.45</f>
        <v>4.2269503546099298E-2</v>
      </c>
      <c r="R105" s="1067"/>
      <c r="S105" s="1006"/>
      <c r="T105" s="1006"/>
      <c r="U105" s="1006"/>
    </row>
    <row r="106" spans="2:21" ht="13.8" thickBot="1">
      <c r="B106" s="107"/>
      <c r="C106" s="107"/>
      <c r="D106" s="107"/>
      <c r="E106" s="107"/>
      <c r="F106" s="107"/>
      <c r="G106" s="107"/>
      <c r="H106" s="256"/>
      <c r="I106" s="107"/>
      <c r="J106" s="151"/>
      <c r="K106" s="151"/>
      <c r="L106" s="151">
        <f>INDEX('86 PEMEC 100MW'!$C$6:$F$39,MATCH(SUP_H2_Production!L$10,'86 PEMEC 100MW'!$B$6:$B$39,0),MATCH(SUP_H2_Production!$G105,'86 PEMEC 100MW'!$C$4:$F$4,0))/100</f>
        <v>0.1366066606660668</v>
      </c>
      <c r="M106" s="107"/>
      <c r="N106" s="107"/>
      <c r="O106" s="107"/>
      <c r="P106" s="257"/>
      <c r="Q106" s="257"/>
      <c r="R106" s="107"/>
      <c r="S106" s="107"/>
      <c r="T106" s="107"/>
      <c r="U106" s="1006"/>
    </row>
    <row r="107" spans="2:21">
      <c r="B107" s="1232" t="s">
        <v>1753</v>
      </c>
      <c r="C107" s="1232" t="s">
        <v>1748</v>
      </c>
      <c r="D107" s="1006" t="s">
        <v>71</v>
      </c>
      <c r="E107" s="1006" t="s">
        <v>1314</v>
      </c>
      <c r="F107" s="1006"/>
      <c r="G107" s="1006">
        <v>2020</v>
      </c>
      <c r="H107" s="1066" t="s">
        <v>70</v>
      </c>
      <c r="I107" s="1006">
        <v>2020</v>
      </c>
      <c r="J107" s="1067">
        <f>INDEX('86 SOEC 1MW'!$C$6:$F$39,MATCH(SUP_H2_Production!J$10,'86 SOEC 1MW'!$B$6:$B$39,0),MATCH(SUP_H2_Production!$G107,'86 SOEC 1MW'!$C$4:$F$4,0))/100</f>
        <v>0.77500000000000002</v>
      </c>
      <c r="K107" s="1067"/>
      <c r="L107" s="1067"/>
      <c r="M107" s="1067">
        <f>(100-INDEX('86 SOEC 1MW'!$C$6:$F$39,MATCH(SUP_H2_Production!M$10,'86 SOEC 1MW'!$B$6:$B$39,0),MATCH(SUP_H2_Production!$G107,'86 SOEC 1MW'!$C$4:$F$4,0)))/100</f>
        <v>0.98599999999999999</v>
      </c>
      <c r="N107" s="1069">
        <f>INDEX('86 SOEC 1MW'!$C$6:$F$39,MATCH(SUP_H2_Production!N$10,'86 SOEC 1MW'!$B$6:$B$39,0),MATCH(SUP_H2_Production!$G107,'86 SOEC 1MW'!$C$4:$F$4,0))</f>
        <v>10</v>
      </c>
      <c r="O107" s="1070">
        <v>3.1536000000000002E-2</v>
      </c>
      <c r="P107" s="1067">
        <f>INDEX('86 SOEC 1MW'!$C$6:$F$39,MATCH(SUP_H2_Production!P$10,'86 SOEC 1MW'!$B$6:$B$39,0),MATCH(SUP_H2_Production!$G107,'86 SOEC 1MW'!$C$4:$F$4,0))/$J107/1000*7.45</f>
        <v>43.167376749847833</v>
      </c>
      <c r="Q107" s="1067">
        <f>INDEX('86 SOEC 1MW'!$C$6:$F$39,MATCH(SUP_H2_Production!Q$10,'86 SOEC 1MW'!$B$6:$B$39,0),MATCH(SUP_H2_Production!$G107,'86 SOEC 1MW'!$C$4:$F$4,0))/$J107/1000*7.45</f>
        <v>0.11535483870967742</v>
      </c>
      <c r="R107" s="1067"/>
      <c r="S107" s="1006">
        <v>0.5</v>
      </c>
      <c r="T107" s="1006" t="s">
        <v>1734</v>
      </c>
      <c r="U107" s="1006"/>
    </row>
    <row r="108" spans="2:21">
      <c r="B108" s="1232"/>
      <c r="C108" s="1232"/>
      <c r="D108" s="1232"/>
      <c r="E108" s="1232"/>
      <c r="F108" s="1232" t="s">
        <v>216</v>
      </c>
      <c r="G108" s="1232"/>
      <c r="H108" s="241"/>
      <c r="I108" s="1232"/>
      <c r="J108" s="1240" t="s">
        <v>124</v>
      </c>
      <c r="K108" s="1067">
        <f>INDEX('86 SOEC 1MW'!$C$6:$F$39,MATCH(SUP_H2_Production!K$10,'86 SOEC 1MW'!$B$6:$B$39,0),MATCH(SUP_H2_Production!$G107,'86 SOEC 1MW'!$C$4:$F$4,0))/100</f>
        <v>0.20499999999999999</v>
      </c>
      <c r="L108" s="1067"/>
      <c r="M108" s="1232"/>
      <c r="N108" s="281"/>
      <c r="O108" s="103"/>
      <c r="P108" s="141"/>
      <c r="Q108" s="141"/>
      <c r="R108" s="1232"/>
      <c r="S108" s="1232"/>
      <c r="T108" s="1232"/>
    </row>
    <row r="109" spans="2:21">
      <c r="B109" s="1232"/>
      <c r="C109" s="1232"/>
      <c r="D109" s="1006" t="s">
        <v>71</v>
      </c>
      <c r="E109" s="1006" t="s">
        <v>1314</v>
      </c>
      <c r="F109" s="1006"/>
      <c r="G109" s="1006">
        <v>2030</v>
      </c>
      <c r="H109" s="1066" t="s">
        <v>70</v>
      </c>
      <c r="I109" s="1006"/>
      <c r="J109" s="1067">
        <f>INDEX('86 SOEC 1MW'!$C$6:$F$39,MATCH(SUP_H2_Production!J$10,'86 SOEC 1MW'!$B$6:$B$39,0),MATCH(SUP_H2_Production!$G109,'86 SOEC 1MW'!$C$4:$F$4,0))/100</f>
        <v>0.80500000000000005</v>
      </c>
      <c r="K109" s="1067"/>
      <c r="L109" s="1067"/>
      <c r="M109" s="1067">
        <f>(100-INDEX('86 SOEC 1MW'!$C$6:$F$39,MATCH(SUP_H2_Production!M$10,'86 SOEC 1MW'!$B$6:$B$39,0),MATCH(SUP_H2_Production!$G109,'86 SOEC 1MW'!$C$4:$F$4,0)))/100</f>
        <v>0.98599999999999999</v>
      </c>
      <c r="N109" s="1069">
        <f>INDEX('86 SOEC 1MW'!$C$6:$F$39,MATCH(SUP_H2_Production!N$10,'86 SOEC 1MW'!$B$6:$B$39,0),MATCH(SUP_H2_Production!$G109,'86 SOEC 1MW'!$C$4:$F$4,0))</f>
        <v>20</v>
      </c>
      <c r="O109" s="1070">
        <v>3.1536000000000002E-2</v>
      </c>
      <c r="P109" s="1067">
        <f>INDEX('86 SOEC 1MW'!$C$6:$F$39,MATCH(SUP_H2_Production!P$10,'86 SOEC 1MW'!$B$6:$B$39,0),MATCH(SUP_H2_Production!$G109,'86 SOEC 1MW'!$C$4:$F$4,0))/$J109/1000*7.45</f>
        <v>17.589599166698815</v>
      </c>
      <c r="Q109" s="1067">
        <f>INDEX('86 SOEC 1MW'!$C$6:$F$39,MATCH(SUP_H2_Production!Q$10,'86 SOEC 1MW'!$B$6:$B$39,0),MATCH(SUP_H2_Production!$G109,'86 SOEC 1MW'!$C$4:$F$4,0))/$J109/1000*7.45</f>
        <v>0.11105590062111802</v>
      </c>
      <c r="R109" s="1067"/>
      <c r="S109" s="1006"/>
      <c r="T109" s="1006"/>
      <c r="U109" s="1006"/>
    </row>
    <row r="110" spans="2:21">
      <c r="B110" s="1232"/>
      <c r="C110" s="1232"/>
      <c r="D110" s="1006"/>
      <c r="E110" s="1006"/>
      <c r="F110" s="1006" t="s">
        <v>216</v>
      </c>
      <c r="G110" s="1006"/>
      <c r="H110" s="1066"/>
      <c r="I110" s="1006"/>
      <c r="J110" s="1067"/>
      <c r="K110" s="1067">
        <f>INDEX('86 SOEC 1MW'!$C$6:$F$39,MATCH(SUP_H2_Production!K$10,'86 SOEC 1MW'!$B$6:$B$39,0),MATCH(SUP_H2_Production!$G109,'86 SOEC 1MW'!$C$4:$F$4,0))/100</f>
        <v>0.19500000000000001</v>
      </c>
      <c r="L110" s="1067"/>
      <c r="M110" s="1006"/>
      <c r="N110" s="1069"/>
      <c r="O110" s="1070"/>
      <c r="P110" s="1067"/>
      <c r="Q110" s="1067"/>
      <c r="R110" s="1006"/>
      <c r="S110" s="1006"/>
      <c r="T110" s="1006"/>
      <c r="U110" s="1006"/>
    </row>
    <row r="111" spans="2:21">
      <c r="B111" s="1232"/>
      <c r="C111" s="1232"/>
      <c r="D111" s="1006" t="s">
        <v>71</v>
      </c>
      <c r="E111" s="1006" t="s">
        <v>1314</v>
      </c>
      <c r="F111" s="1006"/>
      <c r="G111" s="1006">
        <v>2040</v>
      </c>
      <c r="H111" s="1066" t="s">
        <v>70</v>
      </c>
      <c r="I111" s="1006"/>
      <c r="J111" s="1067">
        <f>INDEX('86 SOEC 1MW'!$C$6:$F$39,MATCH(SUP_H2_Production!J$10,'86 SOEC 1MW'!$B$6:$B$39,0),MATCH(SUP_H2_Production!$G111,'86 SOEC 1MW'!$C$4:$F$4,0))/100</f>
        <v>0.82</v>
      </c>
      <c r="K111" s="1067"/>
      <c r="L111" s="1067"/>
      <c r="M111" s="1067">
        <f>(100-INDEX('86 SOEC 1MW'!$C$6:$F$39,MATCH(SUP_H2_Production!M$10,'86 SOEC 1MW'!$B$6:$B$39,0),MATCH(SUP_H2_Production!$G111,'86 SOEC 1MW'!$C$4:$F$4,0)))/100</f>
        <v>0.98599999999999999</v>
      </c>
      <c r="N111" s="1069">
        <f>INDEX('86 SOEC 1MW'!$C$6:$F$39,MATCH(SUP_H2_Production!N$10,'86 SOEC 1MW'!$B$6:$B$39,0),MATCH(SUP_H2_Production!$G111,'86 SOEC 1MW'!$C$4:$F$4,0))</f>
        <v>20</v>
      </c>
      <c r="O111" s="1070">
        <v>3.1536000000000002E-2</v>
      </c>
      <c r="P111" s="1067">
        <f>INDEX('86 SOEC 1MW'!$C$6:$F$39,MATCH(SUP_H2_Production!P$10,'86 SOEC 1MW'!$B$6:$B$39,0),MATCH(SUP_H2_Production!$G111,'86 SOEC 1MW'!$C$4:$F$4,0))/$J111/1000*7.45</f>
        <v>12.191609970308276</v>
      </c>
      <c r="Q111" s="1067">
        <f>INDEX('86 SOEC 1MW'!$C$6:$F$39,MATCH(SUP_H2_Production!Q$10,'86 SOEC 1MW'!$B$6:$B$39,0),MATCH(SUP_H2_Production!$G111,'86 SOEC 1MW'!$C$4:$F$4,0))/$J111/1000*7.45</f>
        <v>0.10902439024390245</v>
      </c>
      <c r="R111" s="1067"/>
      <c r="S111" s="1006"/>
      <c r="T111" s="1006"/>
      <c r="U111" s="1006"/>
    </row>
    <row r="112" spans="2:21">
      <c r="B112" s="1232"/>
      <c r="C112" s="1232"/>
      <c r="D112" s="1006"/>
      <c r="E112" s="1006"/>
      <c r="F112" s="1006" t="s">
        <v>216</v>
      </c>
      <c r="G112" s="1006"/>
      <c r="H112" s="1066"/>
      <c r="I112" s="1006"/>
      <c r="J112" s="1067"/>
      <c r="K112" s="1067">
        <f>INDEX('86 SOEC 1MW'!$C$6:$F$39,MATCH(SUP_H2_Production!K$10,'86 SOEC 1MW'!$B$6:$B$39,0),MATCH(SUP_H2_Production!$G111,'86 SOEC 1MW'!$C$4:$F$4,0))/100</f>
        <v>0.18599999999999994</v>
      </c>
      <c r="L112" s="1067"/>
      <c r="M112" s="1006"/>
      <c r="N112" s="1069"/>
      <c r="O112" s="1070"/>
      <c r="P112" s="1067"/>
      <c r="Q112" s="1067"/>
      <c r="R112" s="1006"/>
      <c r="S112" s="1006"/>
      <c r="T112" s="1006"/>
      <c r="U112" s="1006"/>
    </row>
    <row r="113" spans="2:21">
      <c r="B113" s="1232"/>
      <c r="C113" s="1232"/>
      <c r="D113" s="1006" t="s">
        <v>71</v>
      </c>
      <c r="E113" s="1006" t="s">
        <v>1314</v>
      </c>
      <c r="F113" s="1006"/>
      <c r="G113" s="1006">
        <v>2050</v>
      </c>
      <c r="H113" s="1066" t="s">
        <v>70</v>
      </c>
      <c r="I113" s="1006"/>
      <c r="J113" s="1067">
        <f>INDEX('86 SOEC 1MW'!$C$6:$F$39,MATCH(SUP_H2_Production!J$10,'86 SOEC 1MW'!$B$6:$B$39,0),MATCH(SUP_H2_Production!$G113,'86 SOEC 1MW'!$C$4:$F$4,0))/100</f>
        <v>0.83499999999999996</v>
      </c>
      <c r="K113" s="1067"/>
      <c r="L113" s="1067"/>
      <c r="M113" s="1067">
        <f>(100-INDEX('86 SOEC 1MW'!$C$6:$F$39,MATCH(SUP_H2_Production!M$10,'86 SOEC 1MW'!$B$6:$B$39,0),MATCH(SUP_H2_Production!$G113,'86 SOEC 1MW'!$C$4:$F$4,0)))/100</f>
        <v>0.98599999999999999</v>
      </c>
      <c r="N113" s="1069">
        <f>INDEX('86 SOEC 1MW'!$C$6:$F$39,MATCH(SUP_H2_Production!N$10,'86 SOEC 1MW'!$B$6:$B$39,0),MATCH(SUP_H2_Production!$G113,'86 SOEC 1MW'!$C$4:$F$4,0))</f>
        <v>20</v>
      </c>
      <c r="O113" s="1070">
        <v>3.1536000000000002E-2</v>
      </c>
      <c r="P113" s="1067">
        <f>INDEX('86 SOEC 1MW'!$C$6:$F$39,MATCH(SUP_H2_Production!P$10,'86 SOEC 1MW'!$B$6:$B$39,0),MATCH(SUP_H2_Production!$G113,'86 SOEC 1MW'!$C$4:$F$4,0))/$J113/1000*7.45</f>
        <v>6.987560505524578</v>
      </c>
      <c r="Q113" s="1067">
        <f>INDEX('86 SOEC 1MW'!$C$6:$F$39,MATCH(SUP_H2_Production!Q$10,'86 SOEC 1MW'!$B$6:$B$39,0),MATCH(SUP_H2_Production!$G113,'86 SOEC 1MW'!$C$4:$F$4,0))/$J113/1000*7.45</f>
        <v>0.10706586826347307</v>
      </c>
      <c r="R113" s="1067"/>
      <c r="S113" s="1006"/>
      <c r="T113" s="1006"/>
      <c r="U113" s="1006"/>
    </row>
    <row r="114" spans="2:21" ht="13.8" thickBot="1">
      <c r="B114" s="107"/>
      <c r="C114" s="107"/>
      <c r="D114" s="107"/>
      <c r="E114" s="107"/>
      <c r="F114" s="107" t="s">
        <v>216</v>
      </c>
      <c r="G114" s="107"/>
      <c r="H114" s="256"/>
      <c r="I114" s="107"/>
      <c r="J114" s="151"/>
      <c r="K114" s="151">
        <f>INDEX('86 SOEC 1MW'!$C$6:$F$39,MATCH(SUP_H2_Production!K$10,'86 SOEC 1MW'!$B$6:$B$39,0),MATCH(SUP_H2_Production!$G113,'86 SOEC 1MW'!$C$4:$F$4,0))/100</f>
        <v>0.18599999999999994</v>
      </c>
      <c r="L114" s="151"/>
      <c r="M114" s="107"/>
      <c r="N114" s="107"/>
      <c r="O114" s="107"/>
      <c r="P114" s="257"/>
      <c r="Q114" s="257"/>
      <c r="R114" s="107"/>
      <c r="S114" s="107"/>
      <c r="T114" s="107"/>
      <c r="U114" s="1006"/>
    </row>
    <row r="115" spans="2:21">
      <c r="B115" s="1232" t="s">
        <v>1752</v>
      </c>
      <c r="C115" s="1232" t="s">
        <v>1749</v>
      </c>
      <c r="D115" s="1006" t="s">
        <v>71</v>
      </c>
      <c r="E115" s="1006" t="s">
        <v>348</v>
      </c>
      <c r="F115" s="1006"/>
      <c r="G115" s="1006">
        <v>2020</v>
      </c>
      <c r="H115" s="1066" t="s">
        <v>70</v>
      </c>
      <c r="I115" s="1006">
        <v>2020</v>
      </c>
      <c r="J115" s="1067">
        <f>INDEX('86 SOEC 1MW'!$C$6:$F$39,MATCH(SUP_H2_Production!J$10,'86 SOEC 1MW'!$B$6:$B$39,0),MATCH(SUP_H2_Production!$G115,'86 SOEC 1MW'!$C$4:$F$4,0))/100</f>
        <v>0.77500000000000002</v>
      </c>
      <c r="K115" s="1067"/>
      <c r="L115" s="1067"/>
      <c r="M115" s="1067">
        <f>(100-INDEX('86 SOEC 1MW'!$C$6:$F$39,MATCH(SUP_H2_Production!M$10,'86 SOEC 1MW'!$B$6:$B$39,0),MATCH(SUP_H2_Production!$G115,'86 SOEC 1MW'!$C$4:$F$4,0)))/100</f>
        <v>0.98599999999999999</v>
      </c>
      <c r="N115" s="1069">
        <f>INDEX('86 SOEC 1MW'!$C$6:$F$39,MATCH(SUP_H2_Production!N$10,'86 SOEC 1MW'!$B$6:$B$39,0),MATCH(SUP_H2_Production!$G115,'86 SOEC 1MW'!$C$4:$F$4,0))</f>
        <v>10</v>
      </c>
      <c r="O115" s="1070">
        <v>3.1536000000000002E-2</v>
      </c>
      <c r="P115" s="1067">
        <f>INDEX('86 SOEC 1MW'!$C$6:$F$39,MATCH(SUP_H2_Production!P$10,'86 SOEC 1MW'!$B$6:$B$39,0),MATCH(SUP_H2_Production!$G115,'86 SOEC 1MW'!$C$4:$F$4,0))/$J115/1000*7.45</f>
        <v>43.167376749847833</v>
      </c>
      <c r="Q115" s="1067">
        <f>INDEX('86 SOEC 1MW'!$C$6:$F$39,MATCH(SUP_H2_Production!Q$10,'86 SOEC 1MW'!$B$6:$B$39,0),MATCH(SUP_H2_Production!$G115,'86 SOEC 1MW'!$C$4:$F$4,0))/$J115/1000*7.45</f>
        <v>0.11535483870967742</v>
      </c>
      <c r="R115" s="1067"/>
      <c r="S115" s="1006">
        <v>0.5</v>
      </c>
      <c r="T115" s="1006" t="s">
        <v>1734</v>
      </c>
      <c r="U115" s="1006"/>
    </row>
    <row r="116" spans="2:21">
      <c r="B116" s="1232"/>
      <c r="C116" s="1232"/>
      <c r="D116" s="1232"/>
      <c r="E116" s="1232"/>
      <c r="F116" s="1232" t="s">
        <v>259</v>
      </c>
      <c r="G116" s="1232"/>
      <c r="H116" s="241"/>
      <c r="I116" s="1232"/>
      <c r="J116" s="1240" t="s">
        <v>124</v>
      </c>
      <c r="K116" s="1067">
        <f>INDEX('86 SOEC 1MW'!$C$6:$F$39,MATCH(SUP_H2_Production!K$10,'86 SOEC 1MW'!$B$6:$B$39,0),MATCH(SUP_H2_Production!$G115,'86 SOEC 1MW'!$C$4:$F$4,0))/100</f>
        <v>0.20499999999999999</v>
      </c>
      <c r="L116" s="1067"/>
      <c r="M116" s="1232"/>
      <c r="N116" s="281"/>
      <c r="O116" s="103"/>
      <c r="P116" s="141"/>
      <c r="Q116" s="141"/>
      <c r="R116" s="1232"/>
      <c r="S116" s="1232"/>
      <c r="T116" s="1232"/>
    </row>
    <row r="117" spans="2:21">
      <c r="B117" s="1232"/>
      <c r="C117" s="1232"/>
      <c r="D117" s="1006" t="s">
        <v>71</v>
      </c>
      <c r="E117" s="1006" t="s">
        <v>348</v>
      </c>
      <c r="F117" s="1006"/>
      <c r="G117" s="1006">
        <v>2030</v>
      </c>
      <c r="H117" s="1066" t="s">
        <v>70</v>
      </c>
      <c r="I117" s="1006"/>
      <c r="J117" s="1067">
        <f>INDEX('86 SOEC 1MW'!$C$6:$F$39,MATCH(SUP_H2_Production!J$10,'86 SOEC 1MW'!$B$6:$B$39,0),MATCH(SUP_H2_Production!$G117,'86 SOEC 1MW'!$C$4:$F$4,0))/100</f>
        <v>0.80500000000000005</v>
      </c>
      <c r="K117" s="1067"/>
      <c r="L117" s="1067"/>
      <c r="M117" s="1067">
        <f>(100-INDEX('86 SOEC 1MW'!$C$6:$F$39,MATCH(SUP_H2_Production!M$10,'86 SOEC 1MW'!$B$6:$B$39,0),MATCH(SUP_H2_Production!$G117,'86 SOEC 1MW'!$C$4:$F$4,0)))/100</f>
        <v>0.98599999999999999</v>
      </c>
      <c r="N117" s="1069">
        <f>INDEX('86 SOEC 1MW'!$C$6:$F$39,MATCH(SUP_H2_Production!N$10,'86 SOEC 1MW'!$B$6:$B$39,0),MATCH(SUP_H2_Production!$G117,'86 SOEC 1MW'!$C$4:$F$4,0))</f>
        <v>20</v>
      </c>
      <c r="O117" s="1070">
        <v>3.1536000000000002E-2</v>
      </c>
      <c r="P117" s="1067">
        <f>INDEX('86 SOEC 1MW'!$C$6:$F$39,MATCH(SUP_H2_Production!P$10,'86 SOEC 1MW'!$B$6:$B$39,0),MATCH(SUP_H2_Production!$G117,'86 SOEC 1MW'!$C$4:$F$4,0))/$J117/1000*7.45</f>
        <v>17.589599166698815</v>
      </c>
      <c r="Q117" s="1067">
        <f>INDEX('86 SOEC 1MW'!$C$6:$F$39,MATCH(SUP_H2_Production!Q$10,'86 SOEC 1MW'!$B$6:$B$39,0),MATCH(SUP_H2_Production!$G117,'86 SOEC 1MW'!$C$4:$F$4,0))/$J117/1000*7.45</f>
        <v>0.11105590062111802</v>
      </c>
      <c r="R117" s="1067"/>
      <c r="S117" s="1006"/>
      <c r="T117" s="1006"/>
      <c r="U117" s="1006"/>
    </row>
    <row r="118" spans="2:21">
      <c r="B118" s="1232"/>
      <c r="C118" s="1232"/>
      <c r="D118" s="1006"/>
      <c r="E118" s="1006"/>
      <c r="F118" s="1232" t="s">
        <v>259</v>
      </c>
      <c r="G118" s="1006"/>
      <c r="H118" s="1066"/>
      <c r="I118" s="1006"/>
      <c r="J118" s="1067"/>
      <c r="K118" s="1067">
        <f>INDEX('86 SOEC 1MW'!$C$6:$F$39,MATCH(SUP_H2_Production!K$10,'86 SOEC 1MW'!$B$6:$B$39,0),MATCH(SUP_H2_Production!$G117,'86 SOEC 1MW'!$C$4:$F$4,0))/100</f>
        <v>0.19500000000000001</v>
      </c>
      <c r="L118" s="1067"/>
      <c r="M118" s="1006"/>
      <c r="N118" s="1069"/>
      <c r="O118" s="1070"/>
      <c r="P118" s="1067"/>
      <c r="Q118" s="1067"/>
      <c r="R118" s="1006"/>
      <c r="S118" s="1006"/>
      <c r="T118" s="1006"/>
      <c r="U118" s="1006"/>
    </row>
    <row r="119" spans="2:21">
      <c r="B119" s="1232"/>
      <c r="C119" s="1232"/>
      <c r="D119" s="1006" t="s">
        <v>71</v>
      </c>
      <c r="E119" s="1006" t="s">
        <v>348</v>
      </c>
      <c r="F119" s="1006"/>
      <c r="G119" s="1006">
        <v>2040</v>
      </c>
      <c r="H119" s="1066" t="s">
        <v>70</v>
      </c>
      <c r="I119" s="1006"/>
      <c r="J119" s="1067">
        <f>INDEX('86 SOEC 1MW'!$C$6:$F$39,MATCH(SUP_H2_Production!J$10,'86 SOEC 1MW'!$B$6:$B$39,0),MATCH(SUP_H2_Production!$G119,'86 SOEC 1MW'!$C$4:$F$4,0))/100</f>
        <v>0.82</v>
      </c>
      <c r="K119" s="1067"/>
      <c r="L119" s="1067"/>
      <c r="M119" s="1067">
        <f>(100-INDEX('86 SOEC 1MW'!$C$6:$F$39,MATCH(SUP_H2_Production!M$10,'86 SOEC 1MW'!$B$6:$B$39,0),MATCH(SUP_H2_Production!$G119,'86 SOEC 1MW'!$C$4:$F$4,0)))/100</f>
        <v>0.98599999999999999</v>
      </c>
      <c r="N119" s="1069">
        <f>INDEX('86 SOEC 1MW'!$C$6:$F$39,MATCH(SUP_H2_Production!N$10,'86 SOEC 1MW'!$B$6:$B$39,0),MATCH(SUP_H2_Production!$G119,'86 SOEC 1MW'!$C$4:$F$4,0))</f>
        <v>20</v>
      </c>
      <c r="O119" s="1070">
        <v>3.1536000000000002E-2</v>
      </c>
      <c r="P119" s="1067">
        <f>INDEX('86 SOEC 1MW'!$C$6:$F$39,MATCH(SUP_H2_Production!P$10,'86 SOEC 1MW'!$B$6:$B$39,0),MATCH(SUP_H2_Production!$G119,'86 SOEC 1MW'!$C$4:$F$4,0))/$J119/1000*7.45</f>
        <v>12.191609970308276</v>
      </c>
      <c r="Q119" s="1067">
        <f>INDEX('86 SOEC 1MW'!$C$6:$F$39,MATCH(SUP_H2_Production!Q$10,'86 SOEC 1MW'!$B$6:$B$39,0),MATCH(SUP_H2_Production!$G119,'86 SOEC 1MW'!$C$4:$F$4,0))/$J119/1000*7.45</f>
        <v>0.10902439024390245</v>
      </c>
      <c r="R119" s="1067"/>
      <c r="S119" s="1006"/>
      <c r="T119" s="1006"/>
      <c r="U119" s="1006"/>
    </row>
    <row r="120" spans="2:21">
      <c r="B120" s="1232"/>
      <c r="C120" s="1232"/>
      <c r="D120" s="1006"/>
      <c r="E120" s="1006"/>
      <c r="F120" s="1232" t="s">
        <v>259</v>
      </c>
      <c r="G120" s="1006"/>
      <c r="H120" s="1066"/>
      <c r="I120" s="1006"/>
      <c r="J120" s="1067"/>
      <c r="K120" s="1067">
        <f>INDEX('86 SOEC 1MW'!$C$6:$F$39,MATCH(SUP_H2_Production!K$10,'86 SOEC 1MW'!$B$6:$B$39,0),MATCH(SUP_H2_Production!$G119,'86 SOEC 1MW'!$C$4:$F$4,0))/100</f>
        <v>0.18599999999999994</v>
      </c>
      <c r="L120" s="1067"/>
      <c r="M120" s="1006"/>
      <c r="N120" s="1069"/>
      <c r="O120" s="1070"/>
      <c r="P120" s="1067"/>
      <c r="Q120" s="1067"/>
      <c r="R120" s="1006"/>
      <c r="S120" s="1006"/>
      <c r="T120" s="1006"/>
      <c r="U120" s="1006"/>
    </row>
    <row r="121" spans="2:21">
      <c r="B121" s="1232"/>
      <c r="C121" s="1232"/>
      <c r="D121" s="1006" t="s">
        <v>71</v>
      </c>
      <c r="E121" s="1006" t="s">
        <v>348</v>
      </c>
      <c r="F121" s="1006"/>
      <c r="G121" s="1006">
        <v>2050</v>
      </c>
      <c r="H121" s="1066" t="s">
        <v>70</v>
      </c>
      <c r="I121" s="1006"/>
      <c r="J121" s="1067">
        <f>INDEX('86 SOEC 1MW'!$C$6:$F$39,MATCH(SUP_H2_Production!J$10,'86 SOEC 1MW'!$B$6:$B$39,0),MATCH(SUP_H2_Production!$G121,'86 SOEC 1MW'!$C$4:$F$4,0))/100</f>
        <v>0.83499999999999996</v>
      </c>
      <c r="K121" s="1067"/>
      <c r="L121" s="1067"/>
      <c r="M121" s="1067">
        <f>(100-INDEX('86 SOEC 1MW'!$C$6:$F$39,MATCH(SUP_H2_Production!M$10,'86 SOEC 1MW'!$B$6:$B$39,0),MATCH(SUP_H2_Production!$G121,'86 SOEC 1MW'!$C$4:$F$4,0)))/100</f>
        <v>0.98599999999999999</v>
      </c>
      <c r="N121" s="1069">
        <f>INDEX('86 SOEC 1MW'!$C$6:$F$39,MATCH(SUP_H2_Production!N$10,'86 SOEC 1MW'!$B$6:$B$39,0),MATCH(SUP_H2_Production!$G121,'86 SOEC 1MW'!$C$4:$F$4,0))</f>
        <v>20</v>
      </c>
      <c r="O121" s="1070">
        <v>3.1536000000000002E-2</v>
      </c>
      <c r="P121" s="1067">
        <f>INDEX('86 SOEC 1MW'!$C$6:$F$39,MATCH(SUP_H2_Production!P$10,'86 SOEC 1MW'!$B$6:$B$39,0),MATCH(SUP_H2_Production!$G121,'86 SOEC 1MW'!$C$4:$F$4,0))/$J121/1000*7.45</f>
        <v>6.987560505524578</v>
      </c>
      <c r="Q121" s="1067">
        <f>INDEX('86 SOEC 1MW'!$C$6:$F$39,MATCH(SUP_H2_Production!Q$10,'86 SOEC 1MW'!$B$6:$B$39,0),MATCH(SUP_H2_Production!$G121,'86 SOEC 1MW'!$C$4:$F$4,0))/$J121/1000*7.45</f>
        <v>0.10706586826347307</v>
      </c>
      <c r="R121" s="1067"/>
      <c r="S121" s="1006"/>
      <c r="T121" s="1006"/>
      <c r="U121" s="1006"/>
    </row>
    <row r="122" spans="2:21" ht="13.8" thickBot="1">
      <c r="B122" s="107"/>
      <c r="C122" s="107"/>
      <c r="D122" s="107"/>
      <c r="E122" s="107"/>
      <c r="F122" s="107" t="s">
        <v>259</v>
      </c>
      <c r="G122" s="107"/>
      <c r="H122" s="256"/>
      <c r="I122" s="107"/>
      <c r="J122" s="151"/>
      <c r="K122" s="151">
        <f>INDEX('86 SOEC 1MW'!$C$6:$F$39,MATCH(SUP_H2_Production!K$10,'86 SOEC 1MW'!$B$6:$B$39,0),MATCH(SUP_H2_Production!$G121,'86 SOEC 1MW'!$C$4:$F$4,0))/100</f>
        <v>0.18599999999999994</v>
      </c>
      <c r="L122" s="151"/>
      <c r="M122" s="107"/>
      <c r="N122" s="107"/>
      <c r="O122" s="107"/>
      <c r="P122" s="257"/>
      <c r="Q122" s="257"/>
      <c r="R122" s="107"/>
      <c r="S122" s="107"/>
      <c r="T122" s="107"/>
      <c r="U122" s="1006"/>
    </row>
    <row r="123" spans="2:21">
      <c r="B123" s="1232" t="s">
        <v>1751</v>
      </c>
      <c r="C123" s="1232" t="s">
        <v>1750</v>
      </c>
      <c r="D123" s="1006" t="s">
        <v>71</v>
      </c>
      <c r="E123" s="1006" t="s">
        <v>1314</v>
      </c>
      <c r="F123" s="1006"/>
      <c r="G123" s="1006">
        <v>2020</v>
      </c>
      <c r="H123" s="1066" t="s">
        <v>70</v>
      </c>
      <c r="I123" s="1006">
        <v>2020</v>
      </c>
      <c r="J123" s="1067">
        <f>INDEX('86 SOEC 1MW'!$C$6:$F$39,MATCH(SUP_H2_Production!J$10,'86 SOEC 1MW'!$B$6:$B$39,0),MATCH(SUP_H2_Production!$G123,'86 SOEC 1MW'!$C$4:$F$4,0))/100</f>
        <v>0.77500000000000002</v>
      </c>
      <c r="K123" s="1067"/>
      <c r="L123" s="1067"/>
      <c r="M123" s="1067">
        <f>(100-INDEX('86 SOEC 1MW'!$C$6:$F$39,MATCH(SUP_H2_Production!M$10,'86 SOEC 1MW'!$B$6:$B$39,0),MATCH(SUP_H2_Production!$G123,'86 SOEC 1MW'!$C$4:$F$4,0)))/100</f>
        <v>0.98599999999999999</v>
      </c>
      <c r="N123" s="1069">
        <f>INDEX('86 SOEC 1MW'!$C$6:$F$39,MATCH(SUP_H2_Production!N$10,'86 SOEC 1MW'!$B$6:$B$39,0),MATCH(SUP_H2_Production!$G123,'86 SOEC 1MW'!$C$4:$F$4,0))</f>
        <v>10</v>
      </c>
      <c r="O123" s="1070">
        <v>3.1536000000000002E-2</v>
      </c>
      <c r="P123" s="1067">
        <f>INDEX('86 SOEC 1MW'!$C$6:$F$39,MATCH(SUP_H2_Production!P$10,'86 SOEC 1MW'!$B$6:$B$39,0),MATCH(SUP_H2_Production!$G123,'86 SOEC 1MW'!$C$4:$F$4,0))/$J123/1000*7.45</f>
        <v>43.167376749847833</v>
      </c>
      <c r="Q123" s="1067">
        <f>INDEX('86 SOEC 1MW'!$C$6:$F$39,MATCH(SUP_H2_Production!Q$10,'86 SOEC 1MW'!$B$6:$B$39,0),MATCH(SUP_H2_Production!$G123,'86 SOEC 1MW'!$C$4:$F$4,0))/$J123/1000*7.45</f>
        <v>0.11535483870967742</v>
      </c>
      <c r="R123" s="1067"/>
      <c r="S123" s="1006">
        <v>0.5</v>
      </c>
      <c r="T123" s="1006" t="s">
        <v>1734</v>
      </c>
      <c r="U123" s="1006"/>
    </row>
    <row r="124" spans="2:21">
      <c r="B124" s="1232"/>
      <c r="C124" s="1232"/>
      <c r="D124" s="1232"/>
      <c r="E124" s="1232"/>
      <c r="F124" s="1232"/>
      <c r="G124" s="1232"/>
      <c r="H124" s="241"/>
      <c r="I124" s="1232"/>
      <c r="J124" s="1240" t="s">
        <v>124</v>
      </c>
      <c r="K124" s="1067">
        <f>INDEX('86 SOEC 1MW'!$C$6:$F$39,MATCH(SUP_H2_Production!K$10,'86 SOEC 1MW'!$B$6:$B$39,0),MATCH(SUP_H2_Production!$G123,'86 SOEC 1MW'!$C$4:$F$4,0))/100</f>
        <v>0.20499999999999999</v>
      </c>
      <c r="L124" s="1067"/>
      <c r="M124" s="1232"/>
      <c r="N124" s="281"/>
      <c r="O124" s="103"/>
      <c r="P124" s="141"/>
      <c r="Q124" s="141"/>
      <c r="R124" s="1232"/>
      <c r="S124" s="1232"/>
      <c r="T124" s="1232"/>
    </row>
    <row r="125" spans="2:21">
      <c r="B125" s="1232"/>
      <c r="C125" s="1232"/>
      <c r="D125" s="1006" t="s">
        <v>71</v>
      </c>
      <c r="E125" s="1006" t="s">
        <v>1314</v>
      </c>
      <c r="F125" s="1006"/>
      <c r="G125" s="1006">
        <v>2030</v>
      </c>
      <c r="H125" s="1066" t="s">
        <v>70</v>
      </c>
      <c r="I125" s="1006"/>
      <c r="J125" s="1067">
        <f>INDEX('86 SOEC 1MW'!$C$6:$F$39,MATCH(SUP_H2_Production!J$10,'86 SOEC 1MW'!$B$6:$B$39,0),MATCH(SUP_H2_Production!$G125,'86 SOEC 1MW'!$C$4:$F$4,0))/100</f>
        <v>0.80500000000000005</v>
      </c>
      <c r="K125" s="1067"/>
      <c r="L125" s="1067"/>
      <c r="M125" s="1067">
        <f>(100-INDEX('86 SOEC 1MW'!$C$6:$F$39,MATCH(SUP_H2_Production!M$10,'86 SOEC 1MW'!$B$6:$B$39,0),MATCH(SUP_H2_Production!$G125,'86 SOEC 1MW'!$C$4:$F$4,0)))/100</f>
        <v>0.98599999999999999</v>
      </c>
      <c r="N125" s="1069">
        <f>INDEX('86 SOEC 1MW'!$C$6:$F$39,MATCH(SUP_H2_Production!N$10,'86 SOEC 1MW'!$B$6:$B$39,0),MATCH(SUP_H2_Production!$G125,'86 SOEC 1MW'!$C$4:$F$4,0))</f>
        <v>20</v>
      </c>
      <c r="O125" s="1070">
        <v>3.1536000000000002E-2</v>
      </c>
      <c r="P125" s="1067">
        <f>INDEX('86 SOEC 1MW'!$C$6:$F$39,MATCH(SUP_H2_Production!P$10,'86 SOEC 1MW'!$B$6:$B$39,0),MATCH(SUP_H2_Production!$G125,'86 SOEC 1MW'!$C$4:$F$4,0))/$J125/1000*7.45</f>
        <v>17.589599166698815</v>
      </c>
      <c r="Q125" s="1067">
        <f>INDEX('86 SOEC 1MW'!$C$6:$F$39,MATCH(SUP_H2_Production!Q$10,'86 SOEC 1MW'!$B$6:$B$39,0),MATCH(SUP_H2_Production!$G125,'86 SOEC 1MW'!$C$4:$F$4,0))/$J125/1000*7.45</f>
        <v>0.11105590062111802</v>
      </c>
      <c r="R125" s="1067"/>
      <c r="S125" s="1006"/>
      <c r="T125" s="1006"/>
      <c r="U125" s="1006"/>
    </row>
    <row r="126" spans="2:21">
      <c r="B126" s="1232"/>
      <c r="C126" s="1232"/>
      <c r="D126" s="1006"/>
      <c r="E126" s="1006"/>
      <c r="F126" s="1006"/>
      <c r="G126" s="1006"/>
      <c r="H126" s="1066"/>
      <c r="I126" s="1006"/>
      <c r="J126" s="1067"/>
      <c r="K126" s="1067">
        <f>INDEX('86 SOEC 1MW'!$C$6:$F$39,MATCH(SUP_H2_Production!K$10,'86 SOEC 1MW'!$B$6:$B$39,0),MATCH(SUP_H2_Production!$G125,'86 SOEC 1MW'!$C$4:$F$4,0))/100</f>
        <v>0.19500000000000001</v>
      </c>
      <c r="L126" s="1067"/>
      <c r="M126" s="1006"/>
      <c r="N126" s="1069"/>
      <c r="O126" s="1070"/>
      <c r="P126" s="1067"/>
      <c r="Q126" s="1067"/>
      <c r="R126" s="1006"/>
      <c r="S126" s="1006"/>
      <c r="T126" s="1006"/>
      <c r="U126" s="1006"/>
    </row>
    <row r="127" spans="2:21">
      <c r="B127" s="1232"/>
      <c r="C127" s="1232"/>
      <c r="D127" s="1006" t="s">
        <v>71</v>
      </c>
      <c r="E127" s="1006" t="s">
        <v>1314</v>
      </c>
      <c r="F127" s="1006"/>
      <c r="G127" s="1006">
        <v>2040</v>
      </c>
      <c r="H127" s="1066" t="s">
        <v>70</v>
      </c>
      <c r="I127" s="1006"/>
      <c r="J127" s="1067">
        <f>INDEX('86 SOEC 1MW'!$C$6:$F$39,MATCH(SUP_H2_Production!J$10,'86 SOEC 1MW'!$B$6:$B$39,0),MATCH(SUP_H2_Production!$G127,'86 SOEC 1MW'!$C$4:$F$4,0))/100</f>
        <v>0.82</v>
      </c>
      <c r="K127" s="1067"/>
      <c r="L127" s="1067"/>
      <c r="M127" s="1067">
        <f>(100-INDEX('86 SOEC 1MW'!$C$6:$F$39,MATCH(SUP_H2_Production!M$10,'86 SOEC 1MW'!$B$6:$B$39,0),MATCH(SUP_H2_Production!$G127,'86 SOEC 1MW'!$C$4:$F$4,0)))/100</f>
        <v>0.98599999999999999</v>
      </c>
      <c r="N127" s="1069">
        <f>INDEX('86 SOEC 1MW'!$C$6:$F$39,MATCH(SUP_H2_Production!N$10,'86 SOEC 1MW'!$B$6:$B$39,0),MATCH(SUP_H2_Production!$G127,'86 SOEC 1MW'!$C$4:$F$4,0))</f>
        <v>20</v>
      </c>
      <c r="O127" s="1070">
        <v>3.1536000000000002E-2</v>
      </c>
      <c r="P127" s="1067">
        <f>INDEX('86 SOEC 1MW'!$C$6:$F$39,MATCH(SUP_H2_Production!P$10,'86 SOEC 1MW'!$B$6:$B$39,0),MATCH(SUP_H2_Production!$G127,'86 SOEC 1MW'!$C$4:$F$4,0))/$J127/1000*7.45</f>
        <v>12.191609970308276</v>
      </c>
      <c r="Q127" s="1067">
        <f>INDEX('86 SOEC 1MW'!$C$6:$F$39,MATCH(SUP_H2_Production!Q$10,'86 SOEC 1MW'!$B$6:$B$39,0),MATCH(SUP_H2_Production!$G127,'86 SOEC 1MW'!$C$4:$F$4,0))/$J127/1000*7.45</f>
        <v>0.10902439024390245</v>
      </c>
      <c r="R127" s="1067"/>
      <c r="S127" s="1006"/>
      <c r="T127" s="1006"/>
      <c r="U127" s="1006"/>
    </row>
    <row r="128" spans="2:21">
      <c r="B128" s="1232"/>
      <c r="C128" s="1232"/>
      <c r="D128" s="1006"/>
      <c r="E128" s="1006"/>
      <c r="F128" s="1006"/>
      <c r="G128" s="1006"/>
      <c r="H128" s="1066"/>
      <c r="I128" s="1006"/>
      <c r="J128" s="1067"/>
      <c r="K128" s="1067">
        <f>INDEX('86 SOEC 1MW'!$C$6:$F$39,MATCH(SUP_H2_Production!K$10,'86 SOEC 1MW'!$B$6:$B$39,0),MATCH(SUP_H2_Production!$G127,'86 SOEC 1MW'!$C$4:$F$4,0))/100</f>
        <v>0.18599999999999994</v>
      </c>
      <c r="L128" s="1067"/>
      <c r="M128" s="1006"/>
      <c r="N128" s="1069"/>
      <c r="O128" s="1070"/>
      <c r="P128" s="1067"/>
      <c r="Q128" s="1067"/>
      <c r="R128" s="1006"/>
      <c r="S128" s="1006"/>
      <c r="T128" s="1006"/>
      <c r="U128" s="1006"/>
    </row>
    <row r="129" spans="2:22">
      <c r="B129" s="1232"/>
      <c r="C129" s="1232"/>
      <c r="D129" s="1006" t="s">
        <v>71</v>
      </c>
      <c r="E129" s="1006" t="s">
        <v>1314</v>
      </c>
      <c r="F129" s="1006"/>
      <c r="G129" s="1006">
        <v>2050</v>
      </c>
      <c r="H129" s="1066" t="s">
        <v>70</v>
      </c>
      <c r="I129" s="1006"/>
      <c r="J129" s="1067">
        <f>INDEX('86 SOEC 1MW'!$C$6:$F$39,MATCH(SUP_H2_Production!J$10,'86 SOEC 1MW'!$B$6:$B$39,0),MATCH(SUP_H2_Production!$G129,'86 SOEC 1MW'!$C$4:$F$4,0))/100</f>
        <v>0.83499999999999996</v>
      </c>
      <c r="K129" s="1067"/>
      <c r="L129" s="1067"/>
      <c r="M129" s="1067">
        <f>(100-INDEX('86 SOEC 1MW'!$C$6:$F$39,MATCH(SUP_H2_Production!M$10,'86 SOEC 1MW'!$B$6:$B$39,0),MATCH(SUP_H2_Production!$G129,'86 SOEC 1MW'!$C$4:$F$4,0)))/100</f>
        <v>0.98599999999999999</v>
      </c>
      <c r="N129" s="1069">
        <f>INDEX('86 SOEC 1MW'!$C$6:$F$39,MATCH(SUP_H2_Production!N$10,'86 SOEC 1MW'!$B$6:$B$39,0),MATCH(SUP_H2_Production!$G129,'86 SOEC 1MW'!$C$4:$F$4,0))</f>
        <v>20</v>
      </c>
      <c r="O129" s="1070">
        <v>3.1536000000000002E-2</v>
      </c>
      <c r="P129" s="1067">
        <f>INDEX('86 SOEC 1MW'!$C$6:$F$39,MATCH(SUP_H2_Production!P$10,'86 SOEC 1MW'!$B$6:$B$39,0),MATCH(SUP_H2_Production!$G129,'86 SOEC 1MW'!$C$4:$F$4,0))/$J129/1000*7.45</f>
        <v>6.987560505524578</v>
      </c>
      <c r="Q129" s="1067">
        <f>INDEX('86 SOEC 1MW'!$C$6:$F$39,MATCH(SUP_H2_Production!Q$10,'86 SOEC 1MW'!$B$6:$B$39,0),MATCH(SUP_H2_Production!$G129,'86 SOEC 1MW'!$C$4:$F$4,0))/$J129/1000*7.45</f>
        <v>0.10706586826347307</v>
      </c>
      <c r="R129" s="1067"/>
      <c r="S129" s="1006"/>
      <c r="T129" s="1006"/>
      <c r="U129" s="1006"/>
    </row>
    <row r="130" spans="2:22" ht="13.8" thickBot="1">
      <c r="B130" s="107"/>
      <c r="C130" s="107"/>
      <c r="D130" s="107"/>
      <c r="E130" s="107"/>
      <c r="F130" s="107"/>
      <c r="G130" s="107"/>
      <c r="H130" s="256"/>
      <c r="I130" s="107"/>
      <c r="J130" s="151"/>
      <c r="K130" s="151">
        <f>INDEX('86 SOEC 1MW'!$C$6:$F$39,MATCH(SUP_H2_Production!K$10,'86 SOEC 1MW'!$B$6:$B$39,0),MATCH(SUP_H2_Production!$G129,'86 SOEC 1MW'!$C$4:$F$4,0))/100</f>
        <v>0.18599999999999994</v>
      </c>
      <c r="L130" s="151"/>
      <c r="M130" s="107"/>
      <c r="N130" s="107"/>
      <c r="O130" s="107"/>
      <c r="P130" s="257"/>
      <c r="Q130" s="257"/>
      <c r="R130" s="107"/>
      <c r="S130" s="107"/>
      <c r="T130" s="107"/>
      <c r="U130" s="1006"/>
    </row>
    <row r="131" spans="2:22" s="1232" customFormat="1">
      <c r="B131" s="1006"/>
      <c r="C131" s="1006"/>
      <c r="D131" s="1006"/>
      <c r="E131" s="1006"/>
      <c r="F131" s="1006"/>
      <c r="G131" s="1006"/>
      <c r="H131" s="1066"/>
      <c r="I131" s="1006"/>
      <c r="J131" s="1067"/>
      <c r="K131" s="1067"/>
      <c r="L131" s="1067"/>
      <c r="M131" s="1006"/>
      <c r="N131" s="1006"/>
      <c r="O131" s="1006"/>
      <c r="P131" s="1068"/>
      <c r="Q131" s="1068"/>
      <c r="R131" s="1006"/>
      <c r="S131" s="1006"/>
      <c r="T131" s="1006"/>
      <c r="U131" s="1006"/>
    </row>
    <row r="132" spans="2:22" s="1232" customFormat="1" ht="28.2">
      <c r="B132" s="1243" t="s">
        <v>1757</v>
      </c>
      <c r="C132" s="1006"/>
      <c r="D132" s="1006"/>
      <c r="E132" s="1006"/>
      <c r="F132" s="1006"/>
      <c r="G132" s="1006"/>
      <c r="H132" s="1066"/>
      <c r="I132" s="1006"/>
      <c r="J132" s="1067"/>
      <c r="K132" s="1067"/>
      <c r="L132" s="1067"/>
      <c r="M132" s="1006"/>
      <c r="N132" s="1006"/>
      <c r="O132" s="1006"/>
      <c r="P132" s="1068"/>
      <c r="Q132" s="1068"/>
      <c r="R132" s="1006"/>
      <c r="S132" s="1006"/>
      <c r="T132" s="1006"/>
      <c r="U132" s="1006"/>
    </row>
    <row r="133" spans="2:22" s="1232" customFormat="1">
      <c r="B133" s="1006"/>
      <c r="C133" s="1006"/>
      <c r="D133" s="1006"/>
      <c r="E133" s="1006"/>
      <c r="F133" s="1006"/>
      <c r="G133" s="1006"/>
      <c r="H133" s="1066"/>
      <c r="I133" s="1006"/>
      <c r="J133" s="1067"/>
      <c r="K133" s="1067"/>
      <c r="L133" s="1067"/>
      <c r="M133" s="1006"/>
      <c r="N133" s="1006"/>
      <c r="O133" s="1006"/>
      <c r="P133" s="1068"/>
      <c r="Q133" s="1068"/>
      <c r="R133" s="1006"/>
      <c r="S133" s="1006"/>
      <c r="T133" s="1006"/>
      <c r="U133" s="1006"/>
    </row>
    <row r="134" spans="2:22" s="1232" customFormat="1">
      <c r="F134" s="121"/>
      <c r="G134" s="121"/>
      <c r="H134" s="121" t="s">
        <v>1452</v>
      </c>
      <c r="I134" s="121"/>
      <c r="J134" s="121"/>
      <c r="K134" s="121"/>
    </row>
    <row r="135" spans="2:22" s="1232" customFormat="1" ht="26.4">
      <c r="B135" s="120" t="s">
        <v>2</v>
      </c>
      <c r="C135" s="120" t="s">
        <v>11</v>
      </c>
      <c r="D135" s="120" t="s">
        <v>32</v>
      </c>
      <c r="E135" s="120" t="s">
        <v>189</v>
      </c>
      <c r="F135" s="120" t="s">
        <v>3</v>
      </c>
      <c r="G135" s="120" t="s">
        <v>33</v>
      </c>
      <c r="H135" s="120" t="s">
        <v>158</v>
      </c>
      <c r="I135" s="120" t="s">
        <v>34</v>
      </c>
      <c r="J135" s="120" t="s">
        <v>4</v>
      </c>
      <c r="K135" s="120" t="s">
        <v>187</v>
      </c>
      <c r="L135" s="120" t="s">
        <v>188</v>
      </c>
      <c r="M135" s="155" t="s">
        <v>239</v>
      </c>
      <c r="N135" s="155" t="s">
        <v>186</v>
      </c>
      <c r="O135" s="155" t="s">
        <v>185</v>
      </c>
      <c r="P135" s="155" t="s">
        <v>9</v>
      </c>
      <c r="Q135" s="155" t="s">
        <v>6</v>
      </c>
      <c r="R135" s="155" t="s">
        <v>7</v>
      </c>
      <c r="S135" s="155" t="s">
        <v>8</v>
      </c>
      <c r="T135" s="117" t="s">
        <v>327</v>
      </c>
      <c r="U135" s="117" t="s">
        <v>1756</v>
      </c>
      <c r="V135" s="116" t="s">
        <v>41</v>
      </c>
    </row>
    <row r="136" spans="2:22" s="1232" customFormat="1" ht="39.6">
      <c r="B136" s="251" t="s">
        <v>184</v>
      </c>
      <c r="C136" s="251" t="s">
        <v>19</v>
      </c>
      <c r="D136" s="251" t="s">
        <v>183</v>
      </c>
      <c r="E136" s="251" t="s">
        <v>182</v>
      </c>
      <c r="F136" s="251" t="s">
        <v>181</v>
      </c>
      <c r="G136" s="251" t="s">
        <v>234</v>
      </c>
      <c r="H136" s="251"/>
      <c r="I136" s="251"/>
      <c r="J136" s="251"/>
      <c r="K136" s="251" t="s">
        <v>233</v>
      </c>
      <c r="L136" s="251" t="s">
        <v>180</v>
      </c>
      <c r="M136" s="251" t="s">
        <v>232</v>
      </c>
      <c r="N136" s="251" t="s">
        <v>178</v>
      </c>
      <c r="O136" s="251" t="s">
        <v>177</v>
      </c>
      <c r="P136" s="251" t="s">
        <v>176</v>
      </c>
      <c r="Q136" s="251" t="s">
        <v>175</v>
      </c>
      <c r="R136" s="251" t="s">
        <v>174</v>
      </c>
      <c r="S136" s="251" t="s">
        <v>173</v>
      </c>
      <c r="T136" s="252" t="s">
        <v>364</v>
      </c>
      <c r="U136" s="252"/>
      <c r="V136" s="113"/>
    </row>
    <row r="137" spans="2:22" s="1232" customFormat="1" ht="27" thickBot="1">
      <c r="B137" s="112" t="s">
        <v>172</v>
      </c>
      <c r="C137" s="111"/>
      <c r="D137" s="111"/>
      <c r="E137" s="111"/>
      <c r="F137" s="111"/>
      <c r="G137" s="111"/>
      <c r="H137" s="111"/>
      <c r="I137" s="111"/>
      <c r="J137" s="111"/>
      <c r="K137" s="111" t="s">
        <v>338</v>
      </c>
      <c r="L137" s="111" t="s">
        <v>339</v>
      </c>
      <c r="M137" s="111" t="s">
        <v>339</v>
      </c>
      <c r="N137" s="111"/>
      <c r="O137" s="111" t="s">
        <v>62</v>
      </c>
      <c r="P137" s="111" t="s">
        <v>228</v>
      </c>
      <c r="Q137" s="110" t="s">
        <v>365</v>
      </c>
      <c r="R137" s="110" t="s">
        <v>366</v>
      </c>
      <c r="S137" s="110" t="s">
        <v>367</v>
      </c>
      <c r="T137" s="110" t="s">
        <v>165</v>
      </c>
      <c r="U137" s="110"/>
      <c r="V137" s="109"/>
    </row>
    <row r="138" spans="2:22" s="1232" customFormat="1" ht="13.8" thickBot="1">
      <c r="B138" s="112" t="s">
        <v>1730</v>
      </c>
      <c r="C138" s="1237"/>
      <c r="D138" s="1237"/>
      <c r="E138" s="1237"/>
      <c r="F138" s="1237"/>
      <c r="G138" s="1237"/>
      <c r="H138" s="1237"/>
      <c r="I138" s="1237"/>
      <c r="J138" s="1237"/>
      <c r="K138" s="1237" t="str">
        <f>'104 Methane pyrolysis, MBR'!B15</f>
        <v>Hydrogen Gas (% total input (MWh/MWh))</v>
      </c>
      <c r="L138" s="1237" t="str">
        <f>'104 Methane pyrolysis, MBR'!B12</f>
        <v>Electricity (% total input(MWh/MWh))</v>
      </c>
      <c r="M138" s="1237" t="str">
        <f>'104 Methane pyrolysis, MBR'!B18</f>
        <v>Recovered Heat (% total input (MWh/MWh))</v>
      </c>
      <c r="N138" s="1237" t="str">
        <f>'104 Methane pyrolysis, MBR'!B21</f>
        <v>Forced outage (%)</v>
      </c>
      <c r="O138" s="1237" t="str">
        <f>'104 Methane pyrolysis, MBR'!B23</f>
        <v>Technical lifetime (years)</v>
      </c>
      <c r="P138" s="1237"/>
      <c r="Q138" s="1238" t="str">
        <f>'104 Methane pyrolysis, MBR'!B27</f>
        <v>Specific investment (M€/MW of total H2 output)</v>
      </c>
      <c r="R138" s="1238" t="str">
        <f>'104 Methane pyrolysis, MBR'!B30</f>
        <v>Fixed O&amp;M (€ / MW of total H2 output)</v>
      </c>
      <c r="S138" s="1238" t="str">
        <f>'104 Methane pyrolysis, MBR'!B31</f>
        <v>Variable O&amp;M (€ / MWh of total H2 output)</v>
      </c>
      <c r="T138" s="1238"/>
      <c r="U138" s="1238"/>
      <c r="V138" s="1239"/>
    </row>
    <row r="139" spans="2:22" s="1232" customFormat="1" ht="13.8" thickBot="1">
      <c r="B139" s="112" t="s">
        <v>1730</v>
      </c>
      <c r="C139" s="1237"/>
      <c r="D139" s="1237"/>
      <c r="E139" s="1237"/>
      <c r="F139" s="1237"/>
      <c r="G139" s="1237"/>
      <c r="H139" s="1237"/>
      <c r="I139" s="1237"/>
      <c r="J139" s="1237"/>
      <c r="K139" s="1237"/>
      <c r="L139" s="1237"/>
      <c r="M139" s="1237" t="str">
        <f>'104 Methane pyrolysis, MBR'!B17</f>
        <v>Methane (% total input (MWh/MWh))</v>
      </c>
      <c r="N139" s="1237"/>
      <c r="O139" s="1237"/>
      <c r="P139" s="1237"/>
      <c r="Q139" s="1238"/>
      <c r="R139" s="1238"/>
      <c r="S139" s="1238"/>
      <c r="T139" s="1238"/>
      <c r="U139" s="1238"/>
      <c r="V139" s="1239"/>
    </row>
    <row r="140" spans="2:22" s="1232" customFormat="1" ht="13.8" thickBot="1">
      <c r="B140" s="112" t="s">
        <v>1730</v>
      </c>
      <c r="C140" s="1237"/>
      <c r="D140" s="1237"/>
      <c r="E140" s="1237"/>
      <c r="F140" s="1237"/>
      <c r="G140" s="1237"/>
      <c r="H140" s="1237"/>
      <c r="I140" s="1237"/>
      <c r="J140" s="1237"/>
      <c r="K140" s="1237"/>
      <c r="L140" s="1237"/>
      <c r="M140" s="1237" t="str">
        <f>'104 Methane pyrolysis, MBR'!B16</f>
        <v>Carbon Black (% total input (MWh/MWh))</v>
      </c>
      <c r="N140" s="1237"/>
      <c r="O140" s="1237"/>
      <c r="P140" s="1237"/>
      <c r="Q140" s="1238"/>
      <c r="R140" s="1238"/>
      <c r="S140" s="1238"/>
      <c r="T140" s="1238"/>
      <c r="U140" s="1238"/>
      <c r="V140" s="1239"/>
    </row>
    <row r="141" spans="2:22">
      <c r="B141" s="106"/>
      <c r="C141" s="1232"/>
      <c r="D141" s="1006" t="s">
        <v>352</v>
      </c>
      <c r="E141" s="1006"/>
      <c r="F141" s="1006" t="s">
        <v>1314</v>
      </c>
      <c r="G141" s="1006"/>
      <c r="H141" s="1006">
        <v>2030</v>
      </c>
      <c r="I141" s="1066" t="s">
        <v>70</v>
      </c>
      <c r="J141" s="1006">
        <v>2020</v>
      </c>
      <c r="K141" s="1067">
        <f>INDEX('104 Methane pyrolysis, MBR'!$C$6:$F$39,MATCH(SUP_H2_Production!K$138,'104 Methane pyrolysis, MBR'!$B$6:$B$39,0),MATCH(SUP_H2_Production!$H141,'104 Methane pyrolysis, MBR'!$C$4:$F$4,0))/100</f>
        <v>0.41</v>
      </c>
      <c r="L141" s="1067"/>
      <c r="M141" s="1067"/>
      <c r="N141" s="1067">
        <f>(100-INDEX('104 Methane pyrolysis, MBR'!$C$6:$F$39,MATCH(SUP_H2_Production!N$138,'104 Methane pyrolysis, MBR'!$B$6:$B$39,0),MATCH(SUP_H2_Production!$H141,'104 Methane pyrolysis, MBR'!$C$4:$F$4,0)))/100</f>
        <v>0.8</v>
      </c>
      <c r="O141" s="1069">
        <f>INDEX('104 Methane pyrolysis, MBR'!$C$6:$F$39,MATCH(SUP_H2_Production!O$138,'104 Methane pyrolysis, MBR'!$B$6:$B$39,0),MATCH(SUP_H2_Production!$H141,'104 Methane pyrolysis, MBR'!$C$4:$F$4,0))</f>
        <v>20</v>
      </c>
      <c r="P141" s="1070">
        <v>3.1536000000000002E-2</v>
      </c>
      <c r="Q141" s="1067">
        <f>INDEX('104 Methane pyrolysis, MBR'!$C$6:$F$39,MATCH(SUP_H2_Production!Q$138,'104 Methane pyrolysis, MBR'!$B$6:$B$39,0),MATCH(SUP_H2_Production!$H141,'104 Methane pyrolysis, MBR'!$C$4:$F$4,0))*7.45</f>
        <v>4.47</v>
      </c>
      <c r="R141" s="1067">
        <f>INDEX('104 Methane pyrolysis, MBR'!$C$6:$F$39,MATCH(SUP_H2_Production!R$138,'104 Methane pyrolysis, MBR'!$B$6:$B$39,0),MATCH(SUP_H2_Production!$H141,'104 Methane pyrolysis, MBR'!$C$4:$F$4,0))/1000000*7.45</f>
        <v>8.9400000000000007E-2</v>
      </c>
      <c r="S141" s="1067">
        <f>INDEX('104 Methane pyrolysis, MBR'!$C$6:$F$39,MATCH(SUP_H2_Production!S$138,'104 Methane pyrolysis, MBR'!$B$6:$B$39,0),MATCH(SUP_H2_Production!$H141,'104 Methane pyrolysis, MBR'!$C$4:$F$4,0))*7.45/3.6</f>
        <v>8.2777777777777786</v>
      </c>
      <c r="T141" s="1006">
        <v>2</v>
      </c>
      <c r="U141" s="1006"/>
      <c r="V141" s="1006" t="s">
        <v>1734</v>
      </c>
    </row>
    <row r="142" spans="2:22">
      <c r="B142" s="106"/>
      <c r="C142" s="1232"/>
      <c r="D142" s="1232"/>
      <c r="E142" s="1232" t="s">
        <v>71</v>
      </c>
      <c r="F142" s="1232"/>
      <c r="G142" s="1232" t="s">
        <v>216</v>
      </c>
      <c r="H142" s="1232"/>
      <c r="I142" s="241"/>
      <c r="J142" s="1232"/>
      <c r="K142" s="1240" t="s">
        <v>124</v>
      </c>
      <c r="L142" s="1067">
        <f>INDEX('104 Methane pyrolysis, MBR'!$C$6:$F$39,MATCH(SUP_H2_Production!L$138,'104 Methane pyrolysis, MBR'!$B$6:$B$39,0),MATCH(SUP_H2_Production!$H141,'104 Methane pyrolysis, MBR'!$C$4:$F$4,0))/100</f>
        <v>0.22</v>
      </c>
      <c r="M142" s="1067">
        <f>INDEX('104 Methane pyrolysis, MBR'!$C$6:$F$39,MATCH(SUP_H2_Production!M$138,'104 Methane pyrolysis, MBR'!$B$6:$B$39,0),MATCH(SUP_H2_Production!$H141,'104 Methane pyrolysis, MBR'!$C$4:$F$4,0))/100</f>
        <v>0.16</v>
      </c>
      <c r="N142" s="1232"/>
      <c r="O142" s="281"/>
      <c r="P142" s="103"/>
      <c r="Q142" s="141"/>
      <c r="R142" s="141"/>
      <c r="S142" s="1232"/>
      <c r="T142" s="1232"/>
      <c r="V142" s="1232"/>
    </row>
    <row r="143" spans="2:22" s="1232" customFormat="1">
      <c r="B143" s="106"/>
      <c r="G143" s="1232" t="s">
        <v>1755</v>
      </c>
      <c r="I143" s="241"/>
      <c r="K143" s="1240"/>
      <c r="L143" s="1067"/>
      <c r="M143" s="1067">
        <f>INDEX('104 Methane pyrolysis, MBR'!$C$6:$F$39,MATCH(SUP_H2_Production!M$139,'104 Methane pyrolysis, MBR'!$B$6:$B$39,0),MATCH(SUP_H2_Production!$H141,'104 Methane pyrolysis, MBR'!$C$4:$F$4,0))/100</f>
        <v>0.09</v>
      </c>
      <c r="O143" s="281"/>
      <c r="P143" s="103"/>
      <c r="Q143" s="141"/>
      <c r="R143" s="141"/>
    </row>
    <row r="144" spans="2:22">
      <c r="B144" s="106"/>
      <c r="C144" s="1232"/>
      <c r="D144" s="1006" t="s">
        <v>71</v>
      </c>
      <c r="E144" s="1006"/>
      <c r="F144" s="1006" t="s">
        <v>1314</v>
      </c>
      <c r="G144" s="1006"/>
      <c r="H144" s="1006">
        <v>2030</v>
      </c>
      <c r="I144" s="1066" t="s">
        <v>70</v>
      </c>
      <c r="J144" s="1006"/>
      <c r="K144" s="1067" t="e">
        <f>INDEX('104 Methane pyrolysis, MBR'!$C$6:$F$39,MATCH(SUP_H2_Production!J$10,'104 Methane pyrolysis, MBR'!$B$6:$B$39,0),MATCH(SUP_H2_Production!$H144,'104 Methane pyrolysis, MBR'!$C$4:$F$4,0))/100</f>
        <v>#N/A</v>
      </c>
      <c r="L144" s="1067"/>
      <c r="N144" s="1067">
        <f>(100-INDEX('104 Methane pyrolysis, MBR'!$C$6:$F$39,MATCH(SUP_H2_Production!M$10,'104 Methane pyrolysis, MBR'!$B$6:$B$39,0),MATCH(SUP_H2_Production!$H144,'104 Methane pyrolysis, MBR'!$C$4:$F$4,0)))/100</f>
        <v>0.8</v>
      </c>
      <c r="O144" s="1069">
        <f>INDEX('104 Methane pyrolysis, MBR'!$C$6:$F$39,MATCH(SUP_H2_Production!N$10,'104 Methane pyrolysis, MBR'!$B$6:$B$39,0),MATCH(SUP_H2_Production!$H144,'104 Methane pyrolysis, MBR'!$C$4:$F$4,0))</f>
        <v>20</v>
      </c>
      <c r="P144" s="1070">
        <v>3.1536000000000002E-2</v>
      </c>
      <c r="Q144" s="1067" t="e">
        <f>INDEX('104 Methane pyrolysis, MBR'!$C$6:$F$39,MATCH(SUP_H2_Production!P$10,'104 Methane pyrolysis, MBR'!$B$6:$B$39,0),MATCH(SUP_H2_Production!$H144,'104 Methane pyrolysis, MBR'!$C$4:$F$4,0))/$K144/1000*7.45</f>
        <v>#N/A</v>
      </c>
      <c r="R144" s="1067" t="e">
        <f>INDEX('104 Methane pyrolysis, MBR'!$C$6:$F$39,MATCH(SUP_H2_Production!Q$10,'104 Methane pyrolysis, MBR'!$B$6:$B$39,0),MATCH(SUP_H2_Production!$H144,'104 Methane pyrolysis, MBR'!$C$4:$F$4,0))/$K144/1000*7.45</f>
        <v>#N/A</v>
      </c>
      <c r="S144" s="1067"/>
      <c r="T144" s="1006"/>
      <c r="U144" s="1006"/>
      <c r="V144" s="1006"/>
    </row>
    <row r="145" spans="2:22">
      <c r="B145" s="106"/>
      <c r="C145" s="1232"/>
      <c r="D145" s="1006"/>
      <c r="E145" s="1006"/>
      <c r="F145" s="1006"/>
      <c r="G145" s="1006" t="s">
        <v>216</v>
      </c>
      <c r="H145" s="1006"/>
      <c r="I145" s="1066"/>
      <c r="J145" s="1006"/>
      <c r="K145" s="1067"/>
      <c r="L145" s="1067" t="e">
        <f>INDEX('104 Methane pyrolysis, MBR'!$C$6:$F$39,MATCH(SUP_H2_Production!K$10,'104 Methane pyrolysis, MBR'!$B$6:$B$39,0),MATCH(SUP_H2_Production!$H144,'104 Methane pyrolysis, MBR'!$C$4:$F$4,0))/100</f>
        <v>#N/A</v>
      </c>
      <c r="M145" s="1067"/>
      <c r="N145" s="1006"/>
      <c r="O145" s="1069"/>
      <c r="P145" s="1070"/>
      <c r="Q145" s="1067"/>
      <c r="R145" s="1067"/>
      <c r="S145" s="1006"/>
      <c r="T145" s="1006"/>
      <c r="U145" s="1006"/>
      <c r="V145" s="1006"/>
    </row>
    <row r="146" spans="2:22">
      <c r="B146" s="106"/>
      <c r="C146" s="1232"/>
      <c r="D146" s="1006" t="s">
        <v>71</v>
      </c>
      <c r="E146" s="1006"/>
      <c r="F146" s="1006" t="s">
        <v>1314</v>
      </c>
      <c r="G146" s="1006"/>
      <c r="H146" s="1006">
        <v>2040</v>
      </c>
      <c r="I146" s="1066" t="s">
        <v>70</v>
      </c>
      <c r="J146" s="1006"/>
      <c r="K146" s="1067" t="e">
        <f>INDEX('104 Methane pyrolysis, MBR'!$C$6:$F$39,MATCH(SUP_H2_Production!J$10,'104 Methane pyrolysis, MBR'!$B$6:$B$39,0),MATCH(SUP_H2_Production!$H146,'104 Methane pyrolysis, MBR'!$C$4:$F$4,0))/100</f>
        <v>#N/A</v>
      </c>
      <c r="L146" s="1067"/>
      <c r="M146" s="1067"/>
      <c r="N146" s="1067">
        <f>(100-INDEX('104 Methane pyrolysis, MBR'!$C$6:$F$39,MATCH(SUP_H2_Production!M$10,'104 Methane pyrolysis, MBR'!$B$6:$B$39,0),MATCH(SUP_H2_Production!$H146,'104 Methane pyrolysis, MBR'!$C$4:$F$4,0)))/100</f>
        <v>0.9</v>
      </c>
      <c r="O146" s="1069">
        <f>INDEX('104 Methane pyrolysis, MBR'!$C$6:$F$39,MATCH(SUP_H2_Production!N$10,'104 Methane pyrolysis, MBR'!$B$6:$B$39,0),MATCH(SUP_H2_Production!$H146,'104 Methane pyrolysis, MBR'!$C$4:$F$4,0))</f>
        <v>25</v>
      </c>
      <c r="P146" s="1070">
        <v>3.1536000000000002E-2</v>
      </c>
      <c r="Q146" s="1067" t="e">
        <f>INDEX('104 Methane pyrolysis, MBR'!$C$6:$F$39,MATCH(SUP_H2_Production!P$10,'104 Methane pyrolysis, MBR'!$B$6:$B$39,0),MATCH(SUP_H2_Production!$H146,'104 Methane pyrolysis, MBR'!$C$4:$F$4,0))/$K146/1000*7.45</f>
        <v>#N/A</v>
      </c>
      <c r="R146" s="1067" t="e">
        <f>INDEX('104 Methane pyrolysis, MBR'!$C$6:$F$39,MATCH(SUP_H2_Production!Q$10,'104 Methane pyrolysis, MBR'!$B$6:$B$39,0),MATCH(SUP_H2_Production!$H146,'104 Methane pyrolysis, MBR'!$C$4:$F$4,0))/$K146/1000*7.45</f>
        <v>#N/A</v>
      </c>
      <c r="S146" s="1067"/>
      <c r="T146" s="1006"/>
      <c r="U146" s="1006"/>
      <c r="V146" s="1006"/>
    </row>
    <row r="147" spans="2:22">
      <c r="B147" s="106"/>
      <c r="C147" s="1232"/>
      <c r="D147" s="1006"/>
      <c r="E147" s="1006"/>
      <c r="F147" s="1006"/>
      <c r="G147" s="1006" t="s">
        <v>216</v>
      </c>
      <c r="H147" s="1006"/>
      <c r="I147" s="1066"/>
      <c r="J147" s="1006"/>
      <c r="K147" s="1067"/>
      <c r="L147" s="1067" t="e">
        <f>INDEX('104 Methane pyrolysis, MBR'!$C$6:$F$39,MATCH(SUP_H2_Production!K$10,'104 Methane pyrolysis, MBR'!$B$6:$B$39,0),MATCH(SUP_H2_Production!$H146,'104 Methane pyrolysis, MBR'!$C$4:$F$4,0))/100</f>
        <v>#N/A</v>
      </c>
      <c r="M147" s="1067"/>
      <c r="N147" s="1006"/>
      <c r="O147" s="1069"/>
      <c r="P147" s="1070"/>
      <c r="Q147" s="1067"/>
      <c r="R147" s="1067"/>
      <c r="S147" s="1006"/>
      <c r="T147" s="1006"/>
      <c r="U147" s="1006"/>
      <c r="V147" s="1006"/>
    </row>
    <row r="148" spans="2:22">
      <c r="B148" s="106"/>
      <c r="C148" s="1232"/>
      <c r="D148" s="1006" t="s">
        <v>71</v>
      </c>
      <c r="E148" s="1006"/>
      <c r="F148" s="1006" t="s">
        <v>1314</v>
      </c>
      <c r="G148" s="1006"/>
      <c r="H148" s="1006">
        <v>2050</v>
      </c>
      <c r="I148" s="1066" t="s">
        <v>70</v>
      </c>
      <c r="J148" s="1006"/>
      <c r="K148" s="1067" t="e">
        <f>INDEX('104 Methane pyrolysis, MBR'!$C$6:$F$39,MATCH(SUP_H2_Production!J$10,'104 Methane pyrolysis, MBR'!$B$6:$B$39,0),MATCH(SUP_H2_Production!$H148,'104 Methane pyrolysis, MBR'!$C$4:$F$4,0))/100</f>
        <v>#N/A</v>
      </c>
      <c r="L148" s="1067"/>
      <c r="M148" s="1067"/>
      <c r="N148" s="1067">
        <f>(100-INDEX('104 Methane pyrolysis, MBR'!$C$6:$F$39,MATCH(SUP_H2_Production!M$10,'104 Methane pyrolysis, MBR'!$B$6:$B$39,0),MATCH(SUP_H2_Production!$H148,'104 Methane pyrolysis, MBR'!$C$4:$F$4,0)))/100</f>
        <v>0.99</v>
      </c>
      <c r="O148" s="1069">
        <f>INDEX('104 Methane pyrolysis, MBR'!$C$6:$F$39,MATCH(SUP_H2_Production!N$10,'104 Methane pyrolysis, MBR'!$B$6:$B$39,0),MATCH(SUP_H2_Production!$H148,'104 Methane pyrolysis, MBR'!$C$4:$F$4,0))</f>
        <v>25</v>
      </c>
      <c r="P148" s="1070">
        <v>3.1536000000000002E-2</v>
      </c>
      <c r="Q148" s="1067" t="e">
        <f>INDEX('104 Methane pyrolysis, MBR'!$C$6:$F$39,MATCH(SUP_H2_Production!P$10,'104 Methane pyrolysis, MBR'!$B$6:$B$39,0),MATCH(SUP_H2_Production!$H148,'104 Methane pyrolysis, MBR'!$C$4:$F$4,0))/$K148/1000*7.45</f>
        <v>#N/A</v>
      </c>
      <c r="R148" s="1067" t="e">
        <f>INDEX('104 Methane pyrolysis, MBR'!$C$6:$F$39,MATCH(SUP_H2_Production!Q$10,'104 Methane pyrolysis, MBR'!$B$6:$B$39,0),MATCH(SUP_H2_Production!$H148,'104 Methane pyrolysis, MBR'!$C$4:$F$4,0))/$K148/1000*7.45</f>
        <v>#N/A</v>
      </c>
      <c r="S148" s="1067"/>
      <c r="T148" s="1006"/>
      <c r="U148" s="1006"/>
      <c r="V148" s="1006"/>
    </row>
    <row r="149" spans="2:22" ht="13.8" thickBot="1">
      <c r="B149" s="108"/>
      <c r="C149" s="107"/>
      <c r="D149" s="107"/>
      <c r="E149" s="107"/>
      <c r="F149" s="107"/>
      <c r="G149" s="107" t="s">
        <v>216</v>
      </c>
      <c r="H149" s="107"/>
      <c r="I149" s="256"/>
      <c r="J149" s="107"/>
      <c r="K149" s="151"/>
      <c r="L149" s="151" t="e">
        <f>INDEX('104 Methane pyrolysis, MBR'!$C$6:$F$39,MATCH(SUP_H2_Production!K$10,'104 Methane pyrolysis, MBR'!$B$6:$B$39,0),MATCH(SUP_H2_Production!$H148,'104 Methane pyrolysis, MBR'!$C$4:$F$4,0))/100</f>
        <v>#N/A</v>
      </c>
      <c r="M149" s="151"/>
      <c r="N149" s="107"/>
      <c r="O149" s="107"/>
      <c r="P149" s="107"/>
      <c r="Q149" s="257"/>
      <c r="R149" s="257"/>
      <c r="S149" s="107"/>
      <c r="T149" s="107"/>
      <c r="U149" s="107"/>
      <c r="V149" s="107"/>
    </row>
    <row r="150" spans="2:22">
      <c r="B150" s="106"/>
      <c r="C150" s="1232"/>
      <c r="D150" s="1006" t="s">
        <v>71</v>
      </c>
      <c r="E150" s="1006"/>
      <c r="F150" s="1006" t="s">
        <v>348</v>
      </c>
      <c r="G150" s="1006"/>
      <c r="H150" s="1006">
        <v>2020</v>
      </c>
      <c r="I150" s="1066" t="s">
        <v>70</v>
      </c>
      <c r="J150" s="1006">
        <v>2020</v>
      </c>
      <c r="K150" s="1067" t="e">
        <f>INDEX('104 Methane pyrolysis, MBR'!$C$6:$F$39,MATCH(SUP_H2_Production!J$10,'104 Methane pyrolysis, MBR'!$B$6:$B$39,0),MATCH(SUP_H2_Production!$H150,'104 Methane pyrolysis, MBR'!$C$4:$F$4,0))/100</f>
        <v>#N/A</v>
      </c>
      <c r="L150" s="1067"/>
      <c r="M150" s="1067"/>
      <c r="N150" s="1067" t="e">
        <f>(100-INDEX('104 Methane pyrolysis, MBR'!$C$6:$F$39,MATCH(SUP_H2_Production!M$10,'104 Methane pyrolysis, MBR'!$B$6:$B$39,0),MATCH(SUP_H2_Production!$H150,'104 Methane pyrolysis, MBR'!$C$4:$F$4,0)))/100</f>
        <v>#VALUE!</v>
      </c>
      <c r="O150" s="1069" t="str">
        <f>INDEX('104 Methane pyrolysis, MBR'!$C$6:$F$39,MATCH(SUP_H2_Production!N$10,'104 Methane pyrolysis, MBR'!$B$6:$B$39,0),MATCH(SUP_H2_Production!$H150,'104 Methane pyrolysis, MBR'!$C$4:$F$4,0))</f>
        <v>N/A</v>
      </c>
      <c r="P150" s="1070">
        <v>3.1536000000000002E-2</v>
      </c>
      <c r="Q150" s="1067" t="e">
        <f>INDEX('104 Methane pyrolysis, MBR'!$C$6:$F$39,MATCH(SUP_H2_Production!P$10,'104 Methane pyrolysis, MBR'!$B$6:$B$39,0),MATCH(SUP_H2_Production!$H150,'104 Methane pyrolysis, MBR'!$C$4:$F$4,0))/$K150/1000*7.45</f>
        <v>#N/A</v>
      </c>
      <c r="R150" s="1067" t="e">
        <f>INDEX('104 Methane pyrolysis, MBR'!$C$6:$F$39,MATCH(SUP_H2_Production!Q$10,'104 Methane pyrolysis, MBR'!$B$6:$B$39,0),MATCH(SUP_H2_Production!$H150,'104 Methane pyrolysis, MBR'!$C$4:$F$4,0))/$K150/1000*7.45</f>
        <v>#N/A</v>
      </c>
      <c r="S150" s="1067"/>
      <c r="T150" s="1006">
        <v>2</v>
      </c>
      <c r="U150" s="1006"/>
      <c r="V150" s="1006" t="s">
        <v>1734</v>
      </c>
    </row>
    <row r="151" spans="2:22">
      <c r="B151" s="106"/>
      <c r="C151" s="1232"/>
      <c r="D151" s="1232"/>
      <c r="E151" s="1232"/>
      <c r="F151" s="1232"/>
      <c r="G151" s="1232" t="s">
        <v>259</v>
      </c>
      <c r="H151" s="1232"/>
      <c r="I151" s="241"/>
      <c r="J151" s="1232"/>
      <c r="K151" s="1240" t="s">
        <v>124</v>
      </c>
      <c r="L151" s="1067" t="e">
        <f>INDEX('104 Methane pyrolysis, MBR'!$C$6:$F$39,MATCH(SUP_H2_Production!K$10,'104 Methane pyrolysis, MBR'!$B$6:$B$39,0),MATCH(SUP_H2_Production!$H150,'104 Methane pyrolysis, MBR'!$C$4:$F$4,0))/100</f>
        <v>#N/A</v>
      </c>
      <c r="M151" s="1067"/>
      <c r="N151" s="1232"/>
      <c r="O151" s="281"/>
      <c r="P151" s="103"/>
      <c r="Q151" s="141"/>
      <c r="R151" s="141"/>
      <c r="S151" s="1232"/>
      <c r="T151" s="1232"/>
      <c r="V151" s="1232"/>
    </row>
    <row r="152" spans="2:22">
      <c r="B152" s="106"/>
      <c r="C152" s="1232"/>
      <c r="D152" s="1006" t="s">
        <v>71</v>
      </c>
      <c r="E152" s="1006"/>
      <c r="F152" s="1006" t="s">
        <v>348</v>
      </c>
      <c r="G152" s="1006"/>
      <c r="H152" s="1006">
        <v>2030</v>
      </c>
      <c r="I152" s="1066" t="s">
        <v>70</v>
      </c>
      <c r="J152" s="1006"/>
      <c r="K152" s="1067" t="e">
        <f>INDEX('104 Methane pyrolysis, MBR'!$C$6:$F$39,MATCH(SUP_H2_Production!J$10,'104 Methane pyrolysis, MBR'!$B$6:$B$39,0),MATCH(SUP_H2_Production!$H152,'104 Methane pyrolysis, MBR'!$C$4:$F$4,0))/100</f>
        <v>#N/A</v>
      </c>
      <c r="L152" s="1067"/>
      <c r="M152" s="1067"/>
      <c r="N152" s="1067">
        <f>(100-INDEX('104 Methane pyrolysis, MBR'!$C$6:$F$39,MATCH(SUP_H2_Production!M$10,'104 Methane pyrolysis, MBR'!$B$6:$B$39,0),MATCH(SUP_H2_Production!$H152,'104 Methane pyrolysis, MBR'!$C$4:$F$4,0)))/100</f>
        <v>0.8</v>
      </c>
      <c r="O152" s="1069">
        <f>INDEX('104 Methane pyrolysis, MBR'!$C$6:$F$39,MATCH(SUP_H2_Production!N$10,'104 Methane pyrolysis, MBR'!$B$6:$B$39,0),MATCH(SUP_H2_Production!$H152,'104 Methane pyrolysis, MBR'!$C$4:$F$4,0))</f>
        <v>20</v>
      </c>
      <c r="P152" s="1070">
        <v>3.1536000000000002E-2</v>
      </c>
      <c r="Q152" s="1067" t="e">
        <f>INDEX('104 Methane pyrolysis, MBR'!$C$6:$F$39,MATCH(SUP_H2_Production!P$10,'104 Methane pyrolysis, MBR'!$B$6:$B$39,0),MATCH(SUP_H2_Production!$H152,'104 Methane pyrolysis, MBR'!$C$4:$F$4,0))/$K152/1000*7.45</f>
        <v>#N/A</v>
      </c>
      <c r="R152" s="1067" t="e">
        <f>INDEX('104 Methane pyrolysis, MBR'!$C$6:$F$39,MATCH(SUP_H2_Production!Q$10,'104 Methane pyrolysis, MBR'!$B$6:$B$39,0),MATCH(SUP_H2_Production!$H152,'104 Methane pyrolysis, MBR'!$C$4:$F$4,0))/$K152/1000*7.45</f>
        <v>#N/A</v>
      </c>
      <c r="S152" s="1067"/>
      <c r="T152" s="1006"/>
      <c r="U152" s="1006"/>
      <c r="V152" s="1006"/>
    </row>
    <row r="153" spans="2:22">
      <c r="B153" s="106"/>
      <c r="C153" s="1232"/>
      <c r="D153" s="1006"/>
      <c r="E153" s="1006"/>
      <c r="F153" s="1006"/>
      <c r="G153" s="1232" t="s">
        <v>259</v>
      </c>
      <c r="H153" s="1006"/>
      <c r="I153" s="1066"/>
      <c r="J153" s="1006"/>
      <c r="K153" s="1067"/>
      <c r="L153" s="1067" t="e">
        <f>INDEX('104 Methane pyrolysis, MBR'!$C$6:$F$39,MATCH(SUP_H2_Production!K$10,'104 Methane pyrolysis, MBR'!$B$6:$B$39,0),MATCH(SUP_H2_Production!$H152,'104 Methane pyrolysis, MBR'!$C$4:$F$4,0))/100</f>
        <v>#N/A</v>
      </c>
      <c r="M153" s="1067"/>
      <c r="N153" s="1006"/>
      <c r="O153" s="1069"/>
      <c r="P153" s="1070"/>
      <c r="Q153" s="1067"/>
      <c r="R153" s="1067"/>
      <c r="S153" s="1006"/>
      <c r="T153" s="1006"/>
      <c r="U153" s="1006"/>
      <c r="V153" s="1006"/>
    </row>
    <row r="154" spans="2:22">
      <c r="B154" s="106"/>
      <c r="C154" s="1232"/>
      <c r="D154" s="1006" t="s">
        <v>71</v>
      </c>
      <c r="E154" s="1006"/>
      <c r="F154" s="1006" t="s">
        <v>348</v>
      </c>
      <c r="G154" s="1006"/>
      <c r="H154" s="1006">
        <v>2040</v>
      </c>
      <c r="I154" s="1066" t="s">
        <v>70</v>
      </c>
      <c r="J154" s="1006"/>
      <c r="K154" s="1067" t="e">
        <f>INDEX('104 Methane pyrolysis, MBR'!$C$6:$F$39,MATCH(SUP_H2_Production!J$10,'104 Methane pyrolysis, MBR'!$B$6:$B$39,0),MATCH(SUP_H2_Production!$H154,'104 Methane pyrolysis, MBR'!$C$4:$F$4,0))/100</f>
        <v>#N/A</v>
      </c>
      <c r="L154" s="1067"/>
      <c r="M154" s="1067"/>
      <c r="N154" s="1067">
        <f>(100-INDEX('104 Methane pyrolysis, MBR'!$C$6:$F$39,MATCH(SUP_H2_Production!M$10,'104 Methane pyrolysis, MBR'!$B$6:$B$39,0),MATCH(SUP_H2_Production!$H154,'104 Methane pyrolysis, MBR'!$C$4:$F$4,0)))/100</f>
        <v>0.9</v>
      </c>
      <c r="O154" s="1069">
        <f>INDEX('104 Methane pyrolysis, MBR'!$C$6:$F$39,MATCH(SUP_H2_Production!N$10,'104 Methane pyrolysis, MBR'!$B$6:$B$39,0),MATCH(SUP_H2_Production!$H154,'104 Methane pyrolysis, MBR'!$C$4:$F$4,0))</f>
        <v>25</v>
      </c>
      <c r="P154" s="1070">
        <v>3.1536000000000002E-2</v>
      </c>
      <c r="Q154" s="1067" t="e">
        <f>INDEX('104 Methane pyrolysis, MBR'!$C$6:$F$39,MATCH(SUP_H2_Production!P$10,'104 Methane pyrolysis, MBR'!$B$6:$B$39,0),MATCH(SUP_H2_Production!$H154,'104 Methane pyrolysis, MBR'!$C$4:$F$4,0))/$K154/1000*7.45</f>
        <v>#N/A</v>
      </c>
      <c r="R154" s="1067" t="e">
        <f>INDEX('104 Methane pyrolysis, MBR'!$C$6:$F$39,MATCH(SUP_H2_Production!Q$10,'104 Methane pyrolysis, MBR'!$B$6:$B$39,0),MATCH(SUP_H2_Production!$H154,'104 Methane pyrolysis, MBR'!$C$4:$F$4,0))/$K154/1000*7.45</f>
        <v>#N/A</v>
      </c>
      <c r="S154" s="1067"/>
      <c r="T154" s="1006"/>
      <c r="U154" s="1006"/>
      <c r="V154" s="1006"/>
    </row>
    <row r="155" spans="2:22">
      <c r="B155" s="106"/>
      <c r="C155" s="1232"/>
      <c r="D155" s="1006"/>
      <c r="E155" s="1006"/>
      <c r="F155" s="1006"/>
      <c r="G155" s="1232" t="s">
        <v>259</v>
      </c>
      <c r="H155" s="1006"/>
      <c r="I155" s="1066"/>
      <c r="J155" s="1006"/>
      <c r="K155" s="1067"/>
      <c r="L155" s="1067" t="e">
        <f>INDEX('104 Methane pyrolysis, MBR'!$C$6:$F$39,MATCH(SUP_H2_Production!K$10,'104 Methane pyrolysis, MBR'!$B$6:$B$39,0),MATCH(SUP_H2_Production!$H154,'104 Methane pyrolysis, MBR'!$C$4:$F$4,0))/100</f>
        <v>#N/A</v>
      </c>
      <c r="M155" s="1067"/>
      <c r="N155" s="1006"/>
      <c r="O155" s="1069"/>
      <c r="P155" s="1070"/>
      <c r="Q155" s="1067"/>
      <c r="R155" s="1067"/>
      <c r="S155" s="1006"/>
      <c r="T155" s="1006"/>
      <c r="U155" s="1006"/>
      <c r="V155" s="1006"/>
    </row>
    <row r="156" spans="2:22">
      <c r="B156" s="106"/>
      <c r="C156" s="1232"/>
      <c r="D156" s="1006" t="s">
        <v>71</v>
      </c>
      <c r="E156" s="1006"/>
      <c r="F156" s="1006" t="s">
        <v>348</v>
      </c>
      <c r="G156" s="1006"/>
      <c r="H156" s="1006">
        <v>2050</v>
      </c>
      <c r="I156" s="1066" t="s">
        <v>70</v>
      </c>
      <c r="J156" s="1006"/>
      <c r="K156" s="1067" t="e">
        <f>INDEX('104 Methane pyrolysis, MBR'!$C$6:$F$39,MATCH(SUP_H2_Production!J$10,'104 Methane pyrolysis, MBR'!$B$6:$B$39,0),MATCH(SUP_H2_Production!$H156,'104 Methane pyrolysis, MBR'!$C$4:$F$4,0))/100</f>
        <v>#N/A</v>
      </c>
      <c r="L156" s="1067"/>
      <c r="M156" s="1067"/>
      <c r="N156" s="1067">
        <f>(100-INDEX('104 Methane pyrolysis, MBR'!$C$6:$F$39,MATCH(SUP_H2_Production!M$10,'104 Methane pyrolysis, MBR'!$B$6:$B$39,0),MATCH(SUP_H2_Production!$H156,'104 Methane pyrolysis, MBR'!$C$4:$F$4,0)))/100</f>
        <v>0.99</v>
      </c>
      <c r="O156" s="1069">
        <f>INDEX('104 Methane pyrolysis, MBR'!$C$6:$F$39,MATCH(SUP_H2_Production!N$10,'104 Methane pyrolysis, MBR'!$B$6:$B$39,0),MATCH(SUP_H2_Production!$H156,'104 Methane pyrolysis, MBR'!$C$4:$F$4,0))</f>
        <v>25</v>
      </c>
      <c r="P156" s="1070">
        <v>3.1536000000000002E-2</v>
      </c>
      <c r="Q156" s="1067" t="e">
        <f>INDEX('104 Methane pyrolysis, MBR'!$C$6:$F$39,MATCH(SUP_H2_Production!P$10,'104 Methane pyrolysis, MBR'!$B$6:$B$39,0),MATCH(SUP_H2_Production!$H156,'104 Methane pyrolysis, MBR'!$C$4:$F$4,0))/$K156/1000*7.45</f>
        <v>#N/A</v>
      </c>
      <c r="R156" s="1067" t="e">
        <f>INDEX('104 Methane pyrolysis, MBR'!$C$6:$F$39,MATCH(SUP_H2_Production!Q$10,'104 Methane pyrolysis, MBR'!$B$6:$B$39,0),MATCH(SUP_H2_Production!$H156,'104 Methane pyrolysis, MBR'!$C$4:$F$4,0))/$K156/1000*7.45</f>
        <v>#N/A</v>
      </c>
      <c r="S156" s="1067"/>
      <c r="T156" s="1006"/>
      <c r="U156" s="1006"/>
      <c r="V156" s="1006"/>
    </row>
    <row r="157" spans="2:22" ht="13.8" thickBot="1">
      <c r="B157" s="108"/>
      <c r="C157" s="107"/>
      <c r="D157" s="107"/>
      <c r="E157" s="107"/>
      <c r="F157" s="107"/>
      <c r="G157" s="107" t="s">
        <v>259</v>
      </c>
      <c r="H157" s="107"/>
      <c r="I157" s="256"/>
      <c r="J157" s="107"/>
      <c r="K157" s="151"/>
      <c r="L157" s="151" t="e">
        <f>INDEX('104 Methane pyrolysis, MBR'!$C$6:$F$39,MATCH(SUP_H2_Production!K$10,'104 Methane pyrolysis, MBR'!$B$6:$B$39,0),MATCH(SUP_H2_Production!$H156,'104 Methane pyrolysis, MBR'!$C$4:$F$4,0))/100</f>
        <v>#N/A</v>
      </c>
      <c r="M157" s="151"/>
      <c r="N157" s="107"/>
      <c r="O157" s="107"/>
      <c r="P157" s="107"/>
      <c r="Q157" s="257"/>
      <c r="R157" s="257"/>
      <c r="S157" s="107"/>
      <c r="T157" s="107"/>
      <c r="U157" s="107"/>
      <c r="V157" s="107"/>
    </row>
    <row r="158" spans="2:22">
      <c r="B158" s="106"/>
      <c r="C158" s="1232"/>
      <c r="D158" s="1006" t="s">
        <v>71</v>
      </c>
      <c r="E158" s="1006"/>
      <c r="F158" s="1006" t="s">
        <v>1314</v>
      </c>
      <c r="G158" s="1006"/>
      <c r="H158" s="1006">
        <v>2020</v>
      </c>
      <c r="I158" s="1066" t="s">
        <v>70</v>
      </c>
      <c r="J158" s="1006">
        <v>2020</v>
      </c>
      <c r="K158" s="1067" t="e">
        <f>INDEX('104 Methane pyrolysis, MBR'!$C$6:$F$39,MATCH(SUP_H2_Production!J$10,'104 Methane pyrolysis, MBR'!$B$6:$B$39,0),MATCH(SUP_H2_Production!$H158,'104 Methane pyrolysis, MBR'!$C$4:$F$4,0))/100</f>
        <v>#N/A</v>
      </c>
      <c r="L158" s="1067"/>
      <c r="M158" s="1067"/>
      <c r="N158" s="1067" t="e">
        <f>(100-INDEX('104 Methane pyrolysis, MBR'!$C$6:$F$39,MATCH(SUP_H2_Production!M$10,'104 Methane pyrolysis, MBR'!$B$6:$B$39,0),MATCH(SUP_H2_Production!$H158,'104 Methane pyrolysis, MBR'!$C$4:$F$4,0)))/100</f>
        <v>#VALUE!</v>
      </c>
      <c r="O158" s="1069" t="str">
        <f>INDEX('104 Methane pyrolysis, MBR'!$C$6:$F$39,MATCH(SUP_H2_Production!N$10,'104 Methane pyrolysis, MBR'!$B$6:$B$39,0),MATCH(SUP_H2_Production!$H158,'104 Methane pyrolysis, MBR'!$C$4:$F$4,0))</f>
        <v>N/A</v>
      </c>
      <c r="P158" s="1070">
        <v>3.1536000000000002E-2</v>
      </c>
      <c r="Q158" s="1067" t="e">
        <f>INDEX('104 Methane pyrolysis, MBR'!$C$6:$F$39,MATCH(SUP_H2_Production!P$10,'104 Methane pyrolysis, MBR'!$B$6:$B$39,0),MATCH(SUP_H2_Production!$H158,'104 Methane pyrolysis, MBR'!$C$4:$F$4,0))/$K158/1000*7.45</f>
        <v>#N/A</v>
      </c>
      <c r="R158" s="1067" t="e">
        <f>INDEX('104 Methane pyrolysis, MBR'!$C$6:$F$39,MATCH(SUP_H2_Production!Q$10,'104 Methane pyrolysis, MBR'!$B$6:$B$39,0),MATCH(SUP_H2_Production!$H158,'104 Methane pyrolysis, MBR'!$C$4:$F$4,0))/$K158/1000*7.45</f>
        <v>#N/A</v>
      </c>
      <c r="S158" s="1067"/>
      <c r="T158" s="1006">
        <v>2</v>
      </c>
      <c r="U158" s="1006"/>
      <c r="V158" s="1006" t="s">
        <v>1734</v>
      </c>
    </row>
    <row r="159" spans="2:22">
      <c r="B159" s="106"/>
      <c r="C159" s="1232"/>
      <c r="D159" s="1232"/>
      <c r="E159" s="1232"/>
      <c r="F159" s="1232"/>
      <c r="G159" s="1232"/>
      <c r="H159" s="1232"/>
      <c r="I159" s="241"/>
      <c r="J159" s="1232"/>
      <c r="K159" s="1240" t="s">
        <v>124</v>
      </c>
      <c r="L159" s="1067" t="e">
        <f>INDEX('104 Methane pyrolysis, MBR'!$C$6:$F$39,MATCH(SUP_H2_Production!K$10,'104 Methane pyrolysis, MBR'!$B$6:$B$39,0),MATCH(SUP_H2_Production!$H158,'104 Methane pyrolysis, MBR'!$C$4:$F$4,0))/100</f>
        <v>#N/A</v>
      </c>
      <c r="M159" s="1067"/>
      <c r="N159" s="1232"/>
      <c r="O159" s="281"/>
      <c r="P159" s="103"/>
      <c r="Q159" s="141"/>
      <c r="R159" s="141"/>
      <c r="S159" s="1232"/>
      <c r="T159" s="1232"/>
      <c r="V159" s="1232"/>
    </row>
    <row r="160" spans="2:22">
      <c r="B160" s="106"/>
      <c r="C160" s="1232"/>
      <c r="D160" s="1006" t="s">
        <v>71</v>
      </c>
      <c r="E160" s="1006"/>
      <c r="F160" s="1006" t="s">
        <v>1314</v>
      </c>
      <c r="G160" s="1006"/>
      <c r="H160" s="1006">
        <v>2030</v>
      </c>
      <c r="I160" s="1066" t="s">
        <v>70</v>
      </c>
      <c r="J160" s="1006"/>
      <c r="K160" s="1067" t="e">
        <f>INDEX('104 Methane pyrolysis, MBR'!$C$6:$F$39,MATCH(SUP_H2_Production!J$10,'104 Methane pyrolysis, MBR'!$B$6:$B$39,0),MATCH(SUP_H2_Production!$H160,'104 Methane pyrolysis, MBR'!$C$4:$F$4,0))/100</f>
        <v>#N/A</v>
      </c>
      <c r="L160" s="1067"/>
      <c r="M160" s="1067"/>
      <c r="N160" s="1067">
        <f>(100-INDEX('104 Methane pyrolysis, MBR'!$C$6:$F$39,MATCH(SUP_H2_Production!M$10,'104 Methane pyrolysis, MBR'!$B$6:$B$39,0),MATCH(SUP_H2_Production!$H160,'104 Methane pyrolysis, MBR'!$C$4:$F$4,0)))/100</f>
        <v>0.8</v>
      </c>
      <c r="O160" s="1069">
        <f>INDEX('104 Methane pyrolysis, MBR'!$C$6:$F$39,MATCH(SUP_H2_Production!N$10,'104 Methane pyrolysis, MBR'!$B$6:$B$39,0),MATCH(SUP_H2_Production!$H160,'104 Methane pyrolysis, MBR'!$C$4:$F$4,0))</f>
        <v>20</v>
      </c>
      <c r="P160" s="1070">
        <v>3.1536000000000002E-2</v>
      </c>
      <c r="Q160" s="1067" t="e">
        <f>INDEX('104 Methane pyrolysis, MBR'!$C$6:$F$39,MATCH(SUP_H2_Production!P$10,'104 Methane pyrolysis, MBR'!$B$6:$B$39,0),MATCH(SUP_H2_Production!$H160,'104 Methane pyrolysis, MBR'!$C$4:$F$4,0))/$K160/1000*7.45</f>
        <v>#N/A</v>
      </c>
      <c r="R160" s="1067" t="e">
        <f>INDEX('104 Methane pyrolysis, MBR'!$C$6:$F$39,MATCH(SUP_H2_Production!Q$10,'104 Methane pyrolysis, MBR'!$B$6:$B$39,0),MATCH(SUP_H2_Production!$H160,'104 Methane pyrolysis, MBR'!$C$4:$F$4,0))/$K160/1000*7.45</f>
        <v>#N/A</v>
      </c>
      <c r="S160" s="1067"/>
      <c r="T160" s="1006"/>
      <c r="U160" s="1006"/>
      <c r="V160" s="1006"/>
    </row>
    <row r="161" spans="2:22">
      <c r="B161" s="106"/>
      <c r="C161" s="1232"/>
      <c r="D161" s="1006"/>
      <c r="E161" s="1006"/>
      <c r="F161" s="1006"/>
      <c r="G161" s="1006"/>
      <c r="H161" s="1006"/>
      <c r="I161" s="1066"/>
      <c r="J161" s="1006"/>
      <c r="K161" s="1067"/>
      <c r="L161" s="1067" t="e">
        <f>INDEX('104 Methane pyrolysis, MBR'!$C$6:$F$39,MATCH(SUP_H2_Production!K$10,'104 Methane pyrolysis, MBR'!$B$6:$B$39,0),MATCH(SUP_H2_Production!$H160,'104 Methane pyrolysis, MBR'!$C$4:$F$4,0))/100</f>
        <v>#N/A</v>
      </c>
      <c r="M161" s="1067"/>
      <c r="N161" s="1006"/>
      <c r="O161" s="1069"/>
      <c r="P161" s="1070"/>
      <c r="Q161" s="1067"/>
      <c r="R161" s="1067"/>
      <c r="S161" s="1006"/>
      <c r="T161" s="1006"/>
      <c r="U161" s="1006"/>
      <c r="V161" s="1006"/>
    </row>
    <row r="162" spans="2:22">
      <c r="B162" s="106"/>
      <c r="C162" s="1232"/>
      <c r="D162" s="1006" t="s">
        <v>71</v>
      </c>
      <c r="E162" s="1006"/>
      <c r="F162" s="1006" t="s">
        <v>1314</v>
      </c>
      <c r="G162" s="1006"/>
      <c r="H162" s="1006">
        <v>2040</v>
      </c>
      <c r="I162" s="1066" t="s">
        <v>70</v>
      </c>
      <c r="J162" s="1006"/>
      <c r="K162" s="1067" t="e">
        <f>INDEX('104 Methane pyrolysis, MBR'!$C$6:$F$39,MATCH(SUP_H2_Production!J$10,'104 Methane pyrolysis, MBR'!$B$6:$B$39,0),MATCH(SUP_H2_Production!$H162,'104 Methane pyrolysis, MBR'!$C$4:$F$4,0))/100</f>
        <v>#N/A</v>
      </c>
      <c r="L162" s="1067"/>
      <c r="M162" s="1067"/>
      <c r="N162" s="1067">
        <f>(100-INDEX('104 Methane pyrolysis, MBR'!$C$6:$F$39,MATCH(SUP_H2_Production!M$10,'104 Methane pyrolysis, MBR'!$B$6:$B$39,0),MATCH(SUP_H2_Production!$H162,'104 Methane pyrolysis, MBR'!$C$4:$F$4,0)))/100</f>
        <v>0.9</v>
      </c>
      <c r="O162" s="1069">
        <f>INDEX('104 Methane pyrolysis, MBR'!$C$6:$F$39,MATCH(SUP_H2_Production!N$10,'104 Methane pyrolysis, MBR'!$B$6:$B$39,0),MATCH(SUP_H2_Production!$H162,'104 Methane pyrolysis, MBR'!$C$4:$F$4,0))</f>
        <v>25</v>
      </c>
      <c r="P162" s="1070">
        <v>3.1536000000000002E-2</v>
      </c>
      <c r="Q162" s="1067" t="e">
        <f>INDEX('104 Methane pyrolysis, MBR'!$C$6:$F$39,MATCH(SUP_H2_Production!P$10,'104 Methane pyrolysis, MBR'!$B$6:$B$39,0),MATCH(SUP_H2_Production!$H162,'104 Methane pyrolysis, MBR'!$C$4:$F$4,0))/$K162/1000*7.45</f>
        <v>#N/A</v>
      </c>
      <c r="R162" s="1067" t="e">
        <f>INDEX('104 Methane pyrolysis, MBR'!$C$6:$F$39,MATCH(SUP_H2_Production!Q$10,'104 Methane pyrolysis, MBR'!$B$6:$B$39,0),MATCH(SUP_H2_Production!$H162,'104 Methane pyrolysis, MBR'!$C$4:$F$4,0))/$K162/1000*7.45</f>
        <v>#N/A</v>
      </c>
      <c r="S162" s="1067"/>
      <c r="T162" s="1006"/>
      <c r="U162" s="1006"/>
      <c r="V162" s="1006"/>
    </row>
    <row r="163" spans="2:22">
      <c r="B163" s="106"/>
      <c r="C163" s="1232"/>
      <c r="D163" s="1006"/>
      <c r="E163" s="1006"/>
      <c r="F163" s="1006"/>
      <c r="G163" s="1006"/>
      <c r="H163" s="1006"/>
      <c r="I163" s="1066"/>
      <c r="J163" s="1006"/>
      <c r="K163" s="1067"/>
      <c r="L163" s="1067" t="e">
        <f>INDEX('104 Methane pyrolysis, MBR'!$C$6:$F$39,MATCH(SUP_H2_Production!K$10,'104 Methane pyrolysis, MBR'!$B$6:$B$39,0),MATCH(SUP_H2_Production!$H162,'104 Methane pyrolysis, MBR'!$C$4:$F$4,0))/100</f>
        <v>#N/A</v>
      </c>
      <c r="M163" s="1067"/>
      <c r="N163" s="1006"/>
      <c r="O163" s="1069"/>
      <c r="P163" s="1070"/>
      <c r="Q163" s="1067"/>
      <c r="R163" s="1067"/>
      <c r="S163" s="1006"/>
      <c r="T163" s="1006"/>
      <c r="U163" s="1006"/>
      <c r="V163" s="1006"/>
    </row>
    <row r="164" spans="2:22">
      <c r="B164" s="106"/>
      <c r="C164" s="1232"/>
      <c r="D164" s="1006" t="s">
        <v>71</v>
      </c>
      <c r="E164" s="1006"/>
      <c r="F164" s="1006" t="s">
        <v>1314</v>
      </c>
      <c r="G164" s="1006"/>
      <c r="H164" s="1006">
        <v>2050</v>
      </c>
      <c r="I164" s="1066" t="s">
        <v>70</v>
      </c>
      <c r="J164" s="1006"/>
      <c r="K164" s="1067" t="e">
        <f>INDEX('104 Methane pyrolysis, MBR'!$C$6:$F$39,MATCH(SUP_H2_Production!J$10,'104 Methane pyrolysis, MBR'!$B$6:$B$39,0),MATCH(SUP_H2_Production!$H164,'104 Methane pyrolysis, MBR'!$C$4:$F$4,0))/100</f>
        <v>#N/A</v>
      </c>
      <c r="L164" s="1067"/>
      <c r="M164" s="1067"/>
      <c r="N164" s="1067">
        <f>(100-INDEX('104 Methane pyrolysis, MBR'!$C$6:$F$39,MATCH(SUP_H2_Production!M$10,'104 Methane pyrolysis, MBR'!$B$6:$B$39,0),MATCH(SUP_H2_Production!$H164,'104 Methane pyrolysis, MBR'!$C$4:$F$4,0)))/100</f>
        <v>0.99</v>
      </c>
      <c r="O164" s="1069">
        <f>INDEX('104 Methane pyrolysis, MBR'!$C$6:$F$39,MATCH(SUP_H2_Production!N$10,'104 Methane pyrolysis, MBR'!$B$6:$B$39,0),MATCH(SUP_H2_Production!$H164,'104 Methane pyrolysis, MBR'!$C$4:$F$4,0))</f>
        <v>25</v>
      </c>
      <c r="P164" s="1070">
        <v>3.1536000000000002E-2</v>
      </c>
      <c r="Q164" s="1067" t="e">
        <f>INDEX('104 Methane pyrolysis, MBR'!$C$6:$F$39,MATCH(SUP_H2_Production!P$10,'104 Methane pyrolysis, MBR'!$B$6:$B$39,0),MATCH(SUP_H2_Production!$H164,'104 Methane pyrolysis, MBR'!$C$4:$F$4,0))/$K164/1000*7.45</f>
        <v>#N/A</v>
      </c>
      <c r="R164" s="1067" t="e">
        <f>INDEX('104 Methane pyrolysis, MBR'!$C$6:$F$39,MATCH(SUP_H2_Production!Q$10,'104 Methane pyrolysis, MBR'!$B$6:$B$39,0),MATCH(SUP_H2_Production!$H164,'104 Methane pyrolysis, MBR'!$C$4:$F$4,0))/$K164/1000*7.45</f>
        <v>#N/A</v>
      </c>
      <c r="S164" s="1067"/>
      <c r="T164" s="1006"/>
      <c r="U164" s="1006"/>
      <c r="V164" s="1006"/>
    </row>
    <row r="165" spans="2:22" ht="13.8" thickBot="1">
      <c r="B165" s="107"/>
      <c r="C165" s="107"/>
      <c r="D165" s="107"/>
      <c r="E165" s="107"/>
      <c r="F165" s="107"/>
      <c r="G165" s="107"/>
      <c r="H165" s="107"/>
      <c r="I165" s="256"/>
      <c r="J165" s="107"/>
      <c r="K165" s="151"/>
      <c r="L165" s="151" t="e">
        <f>INDEX('104 Methane pyrolysis, MBR'!$C$6:$F$39,MATCH(SUP_H2_Production!K$10,'104 Methane pyrolysis, MBR'!$B$6:$B$39,0),MATCH(SUP_H2_Production!$H164,'104 Methane pyrolysis, MBR'!$C$4:$F$4,0))/100</f>
        <v>#N/A</v>
      </c>
      <c r="M165" s="151"/>
      <c r="N165" s="107"/>
      <c r="O165" s="107"/>
      <c r="P165" s="107"/>
      <c r="Q165" s="257"/>
      <c r="R165" s="257"/>
      <c r="S165" s="107"/>
      <c r="T165" s="107"/>
      <c r="U165" s="107"/>
      <c r="V165" s="107"/>
    </row>
    <row r="170" spans="2:22" s="1232" customFormat="1">
      <c r="M170" s="244" t="s">
        <v>190</v>
      </c>
      <c r="N170" s="245">
        <v>7.45</v>
      </c>
    </row>
    <row r="171" spans="2:22" s="1232" customFormat="1" ht="15.6">
      <c r="B171" s="246"/>
    </row>
    <row r="172" spans="2:22" s="1232" customFormat="1"/>
    <row r="173" spans="2:22" s="1232" customFormat="1"/>
    <row r="174" spans="2:22" s="1232" customFormat="1"/>
    <row r="175" spans="2:22" s="1232" customFormat="1" ht="30">
      <c r="B175" s="1086" t="s">
        <v>1444</v>
      </c>
    </row>
    <row r="176" spans="2:22" s="1232" customFormat="1" ht="13.8" thickBot="1"/>
    <row r="177" spans="2:33" s="1232" customFormat="1">
      <c r="AA177" s="1104"/>
      <c r="AB177" s="1105"/>
      <c r="AC177" s="1105"/>
      <c r="AD177" s="1106" t="s">
        <v>1454</v>
      </c>
      <c r="AE177" s="1105" t="s">
        <v>1455</v>
      </c>
      <c r="AF177" s="1105" t="s">
        <v>1456</v>
      </c>
      <c r="AG177" s="1107" t="s">
        <v>1457</v>
      </c>
    </row>
    <row r="178" spans="2:33" s="1232" customFormat="1">
      <c r="F178" s="121"/>
      <c r="G178" s="121"/>
      <c r="H178" s="121" t="s">
        <v>0</v>
      </c>
      <c r="I178" s="121"/>
      <c r="J178" s="121"/>
      <c r="K178" s="121"/>
      <c r="AA178" s="1288" t="s">
        <v>188</v>
      </c>
      <c r="AB178" s="142" t="s">
        <v>1458</v>
      </c>
      <c r="AC178" s="142" t="s">
        <v>1465</v>
      </c>
      <c r="AD178" s="1095">
        <v>26321</v>
      </c>
      <c r="AE178" s="288">
        <v>26262</v>
      </c>
      <c r="AF178" s="288">
        <v>26231</v>
      </c>
      <c r="AG178" s="1108">
        <v>26231</v>
      </c>
    </row>
    <row r="179" spans="2:33" s="1232" customFormat="1">
      <c r="B179" s="120" t="s">
        <v>2</v>
      </c>
      <c r="C179" s="120" t="s">
        <v>11</v>
      </c>
      <c r="D179" s="120" t="s">
        <v>189</v>
      </c>
      <c r="E179" s="120" t="s">
        <v>32</v>
      </c>
      <c r="F179" s="120" t="s">
        <v>33</v>
      </c>
      <c r="G179" s="120" t="s">
        <v>3</v>
      </c>
      <c r="H179" s="120" t="s">
        <v>34</v>
      </c>
      <c r="I179" s="120" t="s">
        <v>1441</v>
      </c>
      <c r="J179" s="120" t="s">
        <v>187</v>
      </c>
      <c r="K179" s="120" t="s">
        <v>188</v>
      </c>
      <c r="L179" s="155" t="s">
        <v>239</v>
      </c>
      <c r="M179" s="155" t="s">
        <v>186</v>
      </c>
      <c r="N179" s="155" t="s">
        <v>185</v>
      </c>
      <c r="O179" s="155" t="s">
        <v>9</v>
      </c>
      <c r="P179" s="155" t="s">
        <v>6</v>
      </c>
      <c r="Q179" s="155" t="s">
        <v>7</v>
      </c>
      <c r="R179" s="155" t="s">
        <v>8</v>
      </c>
      <c r="S179" s="155" t="s">
        <v>334</v>
      </c>
      <c r="T179" s="155" t="s">
        <v>335</v>
      </c>
      <c r="U179" s="155" t="s">
        <v>39</v>
      </c>
      <c r="V179" s="155"/>
      <c r="W179" s="116" t="s">
        <v>41</v>
      </c>
      <c r="X179" s="116" t="s">
        <v>1445</v>
      </c>
      <c r="AA179" s="1289"/>
      <c r="AB179" s="1232" t="s">
        <v>1459</v>
      </c>
      <c r="AC179" s="1232" t="s">
        <v>1465</v>
      </c>
      <c r="AD179" s="1093">
        <v>4332</v>
      </c>
      <c r="AE179" s="281">
        <v>5300</v>
      </c>
      <c r="AF179" s="281">
        <v>5597</v>
      </c>
      <c r="AG179" s="1087">
        <v>7347</v>
      </c>
    </row>
    <row r="180" spans="2:33" s="1232" customFormat="1" ht="39.6">
      <c r="B180" s="115" t="s">
        <v>184</v>
      </c>
      <c r="C180" s="115" t="s">
        <v>19</v>
      </c>
      <c r="D180" s="115" t="s">
        <v>182</v>
      </c>
      <c r="E180" s="115" t="s">
        <v>183</v>
      </c>
      <c r="F180" s="115" t="s">
        <v>234</v>
      </c>
      <c r="G180" s="115" t="s">
        <v>181</v>
      </c>
      <c r="H180" s="115"/>
      <c r="I180" s="115"/>
      <c r="J180" s="115" t="s">
        <v>233</v>
      </c>
      <c r="K180" s="115" t="s">
        <v>180</v>
      </c>
      <c r="L180" s="115" t="s">
        <v>232</v>
      </c>
      <c r="M180" s="115" t="s">
        <v>178</v>
      </c>
      <c r="N180" s="115" t="s">
        <v>177</v>
      </c>
      <c r="O180" s="115" t="s">
        <v>176</v>
      </c>
      <c r="P180" s="115" t="s">
        <v>175</v>
      </c>
      <c r="Q180" s="115" t="s">
        <v>174</v>
      </c>
      <c r="R180" s="115" t="s">
        <v>173</v>
      </c>
      <c r="S180" s="115" t="s">
        <v>336</v>
      </c>
      <c r="T180" s="115" t="s">
        <v>337</v>
      </c>
      <c r="U180" s="114" t="s">
        <v>67</v>
      </c>
      <c r="V180" s="114"/>
      <c r="W180" s="113"/>
      <c r="X180" s="113"/>
      <c r="AA180" s="1289"/>
      <c r="AB180" s="1232" t="s">
        <v>424</v>
      </c>
      <c r="AC180" s="1232" t="s">
        <v>1461</v>
      </c>
      <c r="AD180" s="1093">
        <v>46.5</v>
      </c>
      <c r="AE180" s="281">
        <v>46.5</v>
      </c>
      <c r="AF180" s="281">
        <v>46.5</v>
      </c>
      <c r="AG180" s="1087">
        <v>46.5</v>
      </c>
    </row>
    <row r="181" spans="2:33" s="1232" customFormat="1" ht="27" thickBot="1">
      <c r="B181" s="112" t="s">
        <v>172</v>
      </c>
      <c r="C181" s="111"/>
      <c r="D181" s="111"/>
      <c r="E181" s="111"/>
      <c r="F181" s="111"/>
      <c r="G181" s="111"/>
      <c r="H181" s="111"/>
      <c r="I181" s="111"/>
      <c r="J181" s="111" t="s">
        <v>338</v>
      </c>
      <c r="K181" s="111" t="s">
        <v>339</v>
      </c>
      <c r="L181" s="111" t="s">
        <v>1486</v>
      </c>
      <c r="M181" s="111"/>
      <c r="N181" s="111" t="s">
        <v>62</v>
      </c>
      <c r="O181" s="111"/>
      <c r="P181" s="110" t="s">
        <v>340</v>
      </c>
      <c r="Q181" s="110" t="s">
        <v>340</v>
      </c>
      <c r="R181" s="110" t="s">
        <v>340</v>
      </c>
      <c r="S181" s="111"/>
      <c r="T181" s="111"/>
      <c r="U181" s="111" t="s">
        <v>158</v>
      </c>
      <c r="V181" s="111"/>
      <c r="W181" s="109"/>
      <c r="X181" s="109"/>
      <c r="AA181" s="1290"/>
      <c r="AB181" s="70" t="s">
        <v>1460</v>
      </c>
      <c r="AC181" s="70" t="s">
        <v>123</v>
      </c>
      <c r="AD181" s="1096">
        <f>SUM(AD178:AD179)*AD180/3.6/1000</f>
        <v>395.93458333333331</v>
      </c>
      <c r="AE181" s="1097">
        <f>SUM(AE178:AE179)*AE180/3.6/1000</f>
        <v>407.67583333333329</v>
      </c>
      <c r="AF181" s="1097">
        <f>SUM(AF178:AF179)*AF180/3.6/1000</f>
        <v>411.11166666666662</v>
      </c>
      <c r="AG181" s="1109">
        <f>SUM(AG178:AG179)*AG180/3.6/1000</f>
        <v>433.71583333333331</v>
      </c>
    </row>
    <row r="182" spans="2:33" s="1232" customFormat="1" ht="14.4">
      <c r="B182" s="1232" t="s">
        <v>1309</v>
      </c>
      <c r="C182" s="1232" t="s">
        <v>353</v>
      </c>
      <c r="E182" s="1232" t="str">
        <f>E227</f>
        <v>SUPNGA</v>
      </c>
      <c r="G182" s="1232" t="str">
        <f>G227</f>
        <v>H2GC</v>
      </c>
      <c r="H182" s="1232" t="str">
        <f>H227</f>
        <v>MKr12</v>
      </c>
      <c r="I182" s="1232">
        <v>2025</v>
      </c>
      <c r="J182" s="141">
        <f>$AD$18</f>
        <v>0</v>
      </c>
      <c r="M182" s="1232">
        <v>0.9</v>
      </c>
      <c r="N182" s="1232">
        <v>20</v>
      </c>
      <c r="O182" s="1232">
        <f>3.6*8760/1000000</f>
        <v>3.1536000000000002E-2</v>
      </c>
      <c r="P182" s="1232">
        <f>$AD$34</f>
        <v>0</v>
      </c>
      <c r="Q182" s="1232">
        <f>$AD$35</f>
        <v>0</v>
      </c>
      <c r="R182" s="1232">
        <f>$AD$36</f>
        <v>0</v>
      </c>
      <c r="U182" s="1232">
        <v>3</v>
      </c>
      <c r="W182" t="s">
        <v>1447</v>
      </c>
      <c r="X182" t="s">
        <v>1446</v>
      </c>
      <c r="AA182" s="1288" t="s">
        <v>239</v>
      </c>
      <c r="AB182" s="142" t="s">
        <v>1385</v>
      </c>
      <c r="AC182" s="142" t="s">
        <v>1465</v>
      </c>
      <c r="AD182" s="1095">
        <v>8994</v>
      </c>
      <c r="AE182" s="288">
        <v>8994</v>
      </c>
      <c r="AF182" s="288">
        <v>8994</v>
      </c>
      <c r="AG182" s="1108">
        <v>8994</v>
      </c>
    </row>
    <row r="183" spans="2:33" s="1232" customFormat="1" ht="14.4">
      <c r="D183" s="1232" t="s">
        <v>1485</v>
      </c>
      <c r="F183" s="1232" t="s">
        <v>84</v>
      </c>
      <c r="H183" s="1232" t="str">
        <f>H227</f>
        <v>MKr12</v>
      </c>
      <c r="J183" s="141"/>
      <c r="K183" s="141">
        <f>$AD$19</f>
        <v>0</v>
      </c>
      <c r="L183" s="242">
        <f>$AD$20</f>
        <v>0</v>
      </c>
      <c r="W183"/>
      <c r="X183"/>
      <c r="AA183" s="1289"/>
      <c r="AC183" s="1232" t="s">
        <v>1469</v>
      </c>
      <c r="AD183" s="315">
        <v>100000</v>
      </c>
      <c r="AE183" s="1232">
        <v>100000</v>
      </c>
      <c r="AF183" s="1232">
        <v>100000</v>
      </c>
      <c r="AG183" s="316">
        <v>100000</v>
      </c>
    </row>
    <row r="184" spans="2:33" s="1232" customFormat="1" ht="16.8" customHeight="1">
      <c r="B184" s="247"/>
      <c r="F184" s="1232" t="s">
        <v>161</v>
      </c>
      <c r="H184" s="1232" t="str">
        <f>H228</f>
        <v>MKr12</v>
      </c>
      <c r="L184" s="1232">
        <f>$AD$28</f>
        <v>0</v>
      </c>
      <c r="AA184" s="1289"/>
      <c r="AB184" s="1232" t="s">
        <v>424</v>
      </c>
      <c r="AC184" s="1232" t="s">
        <v>1461</v>
      </c>
      <c r="AD184" s="1093">
        <v>120.087</v>
      </c>
      <c r="AE184" s="281">
        <v>120.087</v>
      </c>
      <c r="AF184" s="281">
        <v>120.087</v>
      </c>
      <c r="AG184" s="1087">
        <v>120.087</v>
      </c>
    </row>
    <row r="185" spans="2:33" s="1232" customFormat="1" ht="14.4">
      <c r="B185" s="1232" t="s">
        <v>1484</v>
      </c>
      <c r="C185" s="1232" t="s">
        <v>1493</v>
      </c>
      <c r="E185" s="1232" t="s">
        <v>352</v>
      </c>
      <c r="G185" s="1232" t="s">
        <v>1314</v>
      </c>
      <c r="H185" s="1232" t="str">
        <f>H182</f>
        <v>MKr12</v>
      </c>
      <c r="I185" s="1232">
        <v>2025</v>
      </c>
      <c r="J185" s="141">
        <f>$AE$18</f>
        <v>0</v>
      </c>
      <c r="M185" s="1232">
        <v>0.9</v>
      </c>
      <c r="N185" s="1232">
        <f>N182</f>
        <v>20</v>
      </c>
      <c r="O185" s="1232">
        <f>3.6*8760/1000000</f>
        <v>3.1536000000000002E-2</v>
      </c>
      <c r="P185" s="1232">
        <f>$AE$34</f>
        <v>0</v>
      </c>
      <c r="Q185" s="1232">
        <f>$AE$35</f>
        <v>0</v>
      </c>
      <c r="R185" s="1232">
        <f>$AE$36</f>
        <v>0</v>
      </c>
      <c r="U185" s="1232">
        <v>3</v>
      </c>
      <c r="W185" t="s">
        <v>1447</v>
      </c>
      <c r="X185" s="1232" t="s">
        <v>1446</v>
      </c>
      <c r="AA185" s="1289"/>
      <c r="AB185" s="1232" t="s">
        <v>1462</v>
      </c>
      <c r="AC185" s="1232" t="s">
        <v>123</v>
      </c>
      <c r="AD185" s="1093">
        <f>AD182*AD184/3.6/1000</f>
        <v>300.01735500000007</v>
      </c>
      <c r="AE185" s="281">
        <f>AE182*AE184/3.6/1000</f>
        <v>300.01735500000007</v>
      </c>
      <c r="AF185" s="281">
        <f>AF182*AF184/3.6/1000</f>
        <v>300.01735500000007</v>
      </c>
      <c r="AG185" s="1087">
        <f>AG182*AG184/3.6/1000</f>
        <v>300.01735500000007</v>
      </c>
    </row>
    <row r="186" spans="2:33" s="1232" customFormat="1" ht="14.4">
      <c r="D186" s="1232" t="s">
        <v>1485</v>
      </c>
      <c r="F186" s="1232" t="s">
        <v>84</v>
      </c>
      <c r="H186" s="1232" t="str">
        <f>H183</f>
        <v>MKr12</v>
      </c>
      <c r="J186" s="141"/>
      <c r="K186" s="141">
        <f>$AE$19</f>
        <v>0</v>
      </c>
      <c r="L186" s="242">
        <f>$AE$20</f>
        <v>0</v>
      </c>
      <c r="W186"/>
      <c r="AA186" s="1288" t="s">
        <v>233</v>
      </c>
      <c r="AB186" s="142" t="s">
        <v>1481</v>
      </c>
      <c r="AC186" s="142" t="s">
        <v>580</v>
      </c>
      <c r="AD186" s="254">
        <f>(AD182*AD184)/(AD178*AD180)</f>
        <v>0.88245697597037087</v>
      </c>
      <c r="AE186" s="254">
        <f>(AE182*AE184)/(AE178*AE180)</f>
        <v>0.88443949678303757</v>
      </c>
      <c r="AF186" s="254">
        <f>(AF182*AF184)/(AF178*AF180)</f>
        <v>0.88548473426541618</v>
      </c>
      <c r="AG186" s="1113">
        <f>(AG182*AG184)/(AG178*AG180)</f>
        <v>0.88548473426541618</v>
      </c>
    </row>
    <row r="187" spans="2:33" s="1232" customFormat="1" ht="16.8" customHeight="1">
      <c r="B187" s="247"/>
      <c r="F187" s="1232" t="s">
        <v>161</v>
      </c>
      <c r="H187" s="1232" t="str">
        <f>H184</f>
        <v>MKr12</v>
      </c>
      <c r="L187" s="141">
        <f>$AE$28</f>
        <v>0</v>
      </c>
      <c r="AA187" s="1289"/>
      <c r="AB187" s="1232" t="s">
        <v>1482</v>
      </c>
      <c r="AC187" s="1232" t="s">
        <v>1483</v>
      </c>
      <c r="AD187" s="141">
        <f>AD179*AD180/(AD182*AD184)</f>
        <v>0.18650587730166474</v>
      </c>
      <c r="AE187" s="141">
        <f>AE179*AE180/(AE182*AE184)</f>
        <v>0.2281812441594698</v>
      </c>
      <c r="AF187" s="141">
        <f>AF179*AF180/(AF182*AF184)</f>
        <v>0.24096800444538724</v>
      </c>
      <c r="AG187" s="1088">
        <f>AG179*AG180/(AG182*AG184)</f>
        <v>0.31631086808294806</v>
      </c>
    </row>
    <row r="188" spans="2:33" s="1232" customFormat="1">
      <c r="B188" s="1232" t="s">
        <v>1490</v>
      </c>
      <c r="C188" s="1232" t="s">
        <v>1492</v>
      </c>
      <c r="E188" s="1232" t="s">
        <v>352</v>
      </c>
      <c r="G188" s="1232" t="s">
        <v>1314</v>
      </c>
      <c r="H188" s="1232" t="str">
        <f t="shared" ref="H188:H193" si="0">H233</f>
        <v>MKr12</v>
      </c>
      <c r="I188" s="1232">
        <v>2025</v>
      </c>
      <c r="J188" s="141">
        <f>$AF$18</f>
        <v>0</v>
      </c>
      <c r="M188" s="1232">
        <v>0.9</v>
      </c>
      <c r="N188" s="1232">
        <f>N185</f>
        <v>20</v>
      </c>
      <c r="O188" s="1232">
        <f>3.6*8760/1000000</f>
        <v>3.1536000000000002E-2</v>
      </c>
      <c r="P188" s="1232">
        <f>$AF$34</f>
        <v>0</v>
      </c>
      <c r="Q188" s="1232">
        <f>$AF$35</f>
        <v>0</v>
      </c>
      <c r="R188" s="1232">
        <f>$AF$36</f>
        <v>0</v>
      </c>
      <c r="U188" s="1232">
        <v>3</v>
      </c>
      <c r="AA188" s="1290"/>
      <c r="AB188" s="70" t="s">
        <v>1489</v>
      </c>
      <c r="AC188" s="70" t="s">
        <v>1483</v>
      </c>
      <c r="AD188" s="253">
        <f>AD190/AD185</f>
        <v>3.3058087589632933E-2</v>
      </c>
      <c r="AE188" s="253">
        <f t="shared" ref="AE188:AG188" si="1">AE190/AE185</f>
        <v>4.9730456426429056E-3</v>
      </c>
      <c r="AF188" s="253">
        <f t="shared" si="1"/>
        <v>-3.5664603469355957E-3</v>
      </c>
      <c r="AG188" s="1116">
        <f t="shared" si="1"/>
        <v>1.4199178577519287E-3</v>
      </c>
    </row>
    <row r="189" spans="2:33" s="1232" customFormat="1">
      <c r="D189" s="1232" t="s">
        <v>1485</v>
      </c>
      <c r="H189" s="1232" t="str">
        <f t="shared" si="0"/>
        <v>MKr12</v>
      </c>
      <c r="J189" s="141"/>
      <c r="K189" s="141">
        <f>$AF$19</f>
        <v>0</v>
      </c>
      <c r="AA189" s="1289" t="s">
        <v>1466</v>
      </c>
      <c r="AB189" s="1232" t="s">
        <v>1463</v>
      </c>
      <c r="AC189" s="1232" t="s">
        <v>333</v>
      </c>
      <c r="AD189" s="315">
        <v>11.5</v>
      </c>
      <c r="AE189" s="1232">
        <v>6.7</v>
      </c>
      <c r="AF189" s="1232">
        <v>6.9</v>
      </c>
      <c r="AG189" s="316">
        <v>11.7</v>
      </c>
    </row>
    <row r="190" spans="2:33" s="1232" customFormat="1">
      <c r="D190" s="1232" t="s">
        <v>71</v>
      </c>
      <c r="F190" s="1232" t="s">
        <v>161</v>
      </c>
      <c r="H190" s="1232" t="str">
        <f t="shared" si="0"/>
        <v>MKr12</v>
      </c>
      <c r="K190" s="242">
        <f>$AF$20</f>
        <v>0</v>
      </c>
      <c r="L190" s="141">
        <f>$AF$28</f>
        <v>0</v>
      </c>
      <c r="AA190" s="1290"/>
      <c r="AB190" s="70" t="s">
        <v>1464</v>
      </c>
      <c r="AC190" s="70" t="s">
        <v>333</v>
      </c>
      <c r="AD190" s="1098">
        <v>9.9179999999999993</v>
      </c>
      <c r="AE190" s="150">
        <v>1.492</v>
      </c>
      <c r="AF190" s="150">
        <v>-1.07</v>
      </c>
      <c r="AG190" s="1110">
        <v>0.42599999999999999</v>
      </c>
    </row>
    <row r="191" spans="2:33" s="1232" customFormat="1">
      <c r="B191" s="1232" t="s">
        <v>1491</v>
      </c>
      <c r="C191" s="1232" t="s">
        <v>1494</v>
      </c>
      <c r="E191" s="1232" t="s">
        <v>352</v>
      </c>
      <c r="G191" s="1232" t="s">
        <v>1314</v>
      </c>
      <c r="H191" s="1232" t="str">
        <f t="shared" si="0"/>
        <v>MKr12</v>
      </c>
      <c r="I191" s="1232">
        <v>2025</v>
      </c>
      <c r="J191" s="141">
        <f>$AG$18</f>
        <v>0</v>
      </c>
      <c r="M191" s="1232">
        <v>0.9</v>
      </c>
      <c r="N191" s="1232">
        <f>N188</f>
        <v>20</v>
      </c>
      <c r="O191" s="1232">
        <f>3.6*8760/1000000</f>
        <v>3.1536000000000002E-2</v>
      </c>
      <c r="P191" s="1232">
        <f>$AG$34</f>
        <v>0</v>
      </c>
      <c r="Q191" s="1232">
        <f>$AG$35</f>
        <v>0</v>
      </c>
      <c r="R191" s="1232">
        <f>$AG$36</f>
        <v>0</v>
      </c>
      <c r="U191" s="1232">
        <v>3</v>
      </c>
      <c r="AA191" s="1288" t="s">
        <v>1467</v>
      </c>
      <c r="AB191" s="142" t="s">
        <v>1458</v>
      </c>
      <c r="AC191" s="142" t="s">
        <v>1468</v>
      </c>
      <c r="AD191" s="1099" t="e">
        <f t="shared" ref="AD191:AG192" si="2">AD178*$AD$12/$AD$15</f>
        <v>#DIV/0!</v>
      </c>
      <c r="AE191" s="1100" t="e">
        <f t="shared" si="2"/>
        <v>#DIV/0!</v>
      </c>
      <c r="AF191" s="1100" t="e">
        <f t="shared" si="2"/>
        <v>#DIV/0!</v>
      </c>
      <c r="AG191" s="1111" t="e">
        <f t="shared" si="2"/>
        <v>#DIV/0!</v>
      </c>
    </row>
    <row r="192" spans="2:33" s="1232" customFormat="1">
      <c r="D192" s="1232" t="s">
        <v>1485</v>
      </c>
      <c r="F192" s="1232" t="s">
        <v>84</v>
      </c>
      <c r="H192" s="1232" t="str">
        <f t="shared" si="0"/>
        <v>MKr12</v>
      </c>
      <c r="J192" s="141"/>
      <c r="K192" s="141">
        <f>$AG$19</f>
        <v>0</v>
      </c>
      <c r="L192" s="242">
        <f>$AG$20</f>
        <v>0</v>
      </c>
      <c r="AA192" s="1289"/>
      <c r="AB192" s="1232" t="s">
        <v>1470</v>
      </c>
      <c r="AC192" s="1232" t="s">
        <v>1468</v>
      </c>
      <c r="AD192" s="1094" t="e">
        <f t="shared" si="2"/>
        <v>#DIV/0!</v>
      </c>
      <c r="AE192" s="1241" t="e">
        <f t="shared" si="2"/>
        <v>#DIV/0!</v>
      </c>
      <c r="AF192" s="1241" t="e">
        <f t="shared" si="2"/>
        <v>#DIV/0!</v>
      </c>
      <c r="AG192" s="1089" t="e">
        <f t="shared" si="2"/>
        <v>#DIV/0!</v>
      </c>
    </row>
    <row r="193" spans="6:33" s="1232" customFormat="1">
      <c r="F193" s="1232" t="s">
        <v>161</v>
      </c>
      <c r="H193" s="1232" t="str">
        <f t="shared" si="0"/>
        <v>MKr12</v>
      </c>
      <c r="L193" s="141">
        <f>$AG$28</f>
        <v>0</v>
      </c>
      <c r="AA193" s="1290"/>
      <c r="AB193" s="70" t="s">
        <v>1471</v>
      </c>
      <c r="AC193" s="70" t="s">
        <v>1468</v>
      </c>
      <c r="AD193" s="1101" t="e">
        <f>SUM(AD178:AD179)*$AD$12/$AD$15</f>
        <v>#DIV/0!</v>
      </c>
      <c r="AE193" s="1102" t="e">
        <f>SUM(AE178:AE179)*$AD$12/$AD$15</f>
        <v>#DIV/0!</v>
      </c>
      <c r="AF193" s="1102" t="e">
        <f>SUM(AF178:AF179)*$AD$12/$AD$15</f>
        <v>#DIV/0!</v>
      </c>
      <c r="AG193" s="1112" t="e">
        <f>SUM(AG178:AG179)*$AD$12/$AD$15</f>
        <v>#DIV/0!</v>
      </c>
    </row>
    <row r="194" spans="6:33" s="1232" customFormat="1">
      <c r="AA194" s="1288" t="s">
        <v>1472</v>
      </c>
      <c r="AB194" s="142" t="s">
        <v>1473</v>
      </c>
      <c r="AC194" s="142" t="s">
        <v>1474</v>
      </c>
      <c r="AD194" s="310">
        <v>0.80910000000000004</v>
      </c>
      <c r="AE194" s="254">
        <v>0.37040000000000001</v>
      </c>
      <c r="AF194" s="254">
        <v>0.38700000000000001</v>
      </c>
      <c r="AG194" s="1113">
        <v>8.8800000000000004E-2</v>
      </c>
    </row>
    <row r="195" spans="6:33" s="1232" customFormat="1">
      <c r="AA195" s="1289"/>
      <c r="AB195" s="1232" t="s">
        <v>1475</v>
      </c>
      <c r="AC195" s="1232" t="s">
        <v>1474</v>
      </c>
      <c r="AD195" s="315"/>
      <c r="AE195" s="141">
        <v>0.46600000000000003</v>
      </c>
      <c r="AF195" s="141">
        <v>0.4556</v>
      </c>
      <c r="AG195" s="1088">
        <v>0.8004</v>
      </c>
    </row>
    <row r="196" spans="6:33" s="1232" customFormat="1">
      <c r="AA196" s="1289"/>
      <c r="AB196" s="1232" t="s">
        <v>1488</v>
      </c>
      <c r="AC196" s="1232" t="s">
        <v>1487</v>
      </c>
      <c r="AD196" s="315">
        <v>0</v>
      </c>
      <c r="AE196" s="1232">
        <f>AE195*(AE183/AE182)/AE184*1000</f>
        <v>43.145652172169989</v>
      </c>
      <c r="AF196" s="1232">
        <f>AF195*(AF183/AF182)/AF184*1000</f>
        <v>42.182744913391943</v>
      </c>
      <c r="AG196" s="316">
        <f>AG195*(AG183/AG182)/AG184*1000</f>
        <v>74.106824031340906</v>
      </c>
    </row>
    <row r="197" spans="6:33" s="1232" customFormat="1">
      <c r="AA197" s="1289"/>
      <c r="AB197" s="1232" t="s">
        <v>1476</v>
      </c>
      <c r="AC197" s="1232" t="s">
        <v>1474</v>
      </c>
      <c r="AD197" s="315"/>
      <c r="AE197" s="578">
        <f>AE195/SUM(AE194:AE195)</f>
        <v>0.55714968914395024</v>
      </c>
      <c r="AF197" s="578">
        <f>AF195/SUM(AF194:AF195)</f>
        <v>0.54070733444101593</v>
      </c>
      <c r="AG197" s="1090">
        <f>AG195/SUM(AG194:AG195)</f>
        <v>0.90013495276653177</v>
      </c>
    </row>
    <row r="198" spans="6:33" s="1232" customFormat="1">
      <c r="AA198" s="1290"/>
      <c r="AB198" s="70" t="s">
        <v>1477</v>
      </c>
      <c r="AC198" s="70" t="s">
        <v>1474</v>
      </c>
      <c r="AD198" s="317"/>
      <c r="AE198" s="1103" t="e">
        <f>1-AE194/$AD$26</f>
        <v>#DIV/0!</v>
      </c>
      <c r="AF198" s="1103" t="e">
        <f>1-AF194/$AD$26</f>
        <v>#DIV/0!</v>
      </c>
      <c r="AG198" s="1114" t="e">
        <f>1-AG194/$AD$26</f>
        <v>#DIV/0!</v>
      </c>
    </row>
    <row r="199" spans="6:33" s="1232" customFormat="1">
      <c r="AA199" s="1289" t="s">
        <v>1478</v>
      </c>
      <c r="AB199" s="1232" t="s">
        <v>1394</v>
      </c>
      <c r="AC199" s="1232" t="s">
        <v>331</v>
      </c>
      <c r="AD199" s="315">
        <v>170.95</v>
      </c>
      <c r="AE199" s="1232">
        <v>201.8</v>
      </c>
      <c r="AF199" s="1232">
        <v>226.07</v>
      </c>
      <c r="AG199" s="316">
        <v>305.33</v>
      </c>
    </row>
    <row r="200" spans="6:33" s="1232" customFormat="1">
      <c r="AA200" s="1289"/>
      <c r="AB200" s="1232" t="s">
        <v>299</v>
      </c>
      <c r="AC200" s="1232" t="s">
        <v>1479</v>
      </c>
      <c r="AD200" s="315">
        <f>(2.28+0.9917+2.5643)</f>
        <v>5.8360000000000003</v>
      </c>
      <c r="AE200" s="1232">
        <f>(2.58+1.1372+3.0271)</f>
        <v>6.7443</v>
      </c>
      <c r="AF200" s="1232">
        <f>(2.58+1.1809+3.391)</f>
        <v>7.1519000000000004</v>
      </c>
      <c r="AG200" s="316">
        <f>(2.58+1.3236+4.5799)</f>
        <v>8.4834999999999994</v>
      </c>
    </row>
    <row r="201" spans="6:33" s="1232" customFormat="1">
      <c r="AA201" s="1289"/>
      <c r="AB201" s="1232" t="s">
        <v>298</v>
      </c>
      <c r="AC201" s="1232" t="s">
        <v>1479</v>
      </c>
      <c r="AD201" s="315">
        <f>(99400+420000)/1000000</f>
        <v>0.51939999999999997</v>
      </c>
      <c r="AE201" s="1232">
        <f>(101900+420000)/1000000</f>
        <v>0.52190000000000003</v>
      </c>
      <c r="AF201" s="1232">
        <f>(101900+420000)/1000000</f>
        <v>0.52190000000000003</v>
      </c>
      <c r="AG201" s="316">
        <f>(70100+420000)/1000000</f>
        <v>0.49009999999999998</v>
      </c>
    </row>
    <row r="202" spans="6:33" s="1232" customFormat="1">
      <c r="AA202" s="1289"/>
      <c r="AB202" s="1232" t="s">
        <v>175</v>
      </c>
      <c r="AC202" s="1232" t="s">
        <v>1443</v>
      </c>
      <c r="AD202" s="315">
        <f>AD199/AD185</f>
        <v>0.56980037038190656</v>
      </c>
      <c r="AE202" s="1232">
        <f>AE199/AE185</f>
        <v>0.67262775515103101</v>
      </c>
      <c r="AF202" s="1232">
        <f>AF199/AF185</f>
        <v>0.75352307535675711</v>
      </c>
      <c r="AG202" s="316">
        <f>AG199/AG185</f>
        <v>1.0177077922708835</v>
      </c>
    </row>
    <row r="203" spans="6:33" s="1232" customFormat="1">
      <c r="AA203" s="1289"/>
      <c r="AB203" s="1232" t="s">
        <v>299</v>
      </c>
      <c r="AC203" s="1232" t="s">
        <v>1443</v>
      </c>
      <c r="AD203" s="315">
        <f>AD200/AD185</f>
        <v>1.9452208023099195E-2</v>
      </c>
      <c r="AE203" s="1232">
        <f>AE200/AE185</f>
        <v>2.2479699549381064E-2</v>
      </c>
      <c r="AF203" s="1232">
        <f>AF200/AF185</f>
        <v>2.3838287621727745E-2</v>
      </c>
      <c r="AG203" s="316">
        <f>AG200/AG185</f>
        <v>2.8276697526381425E-2</v>
      </c>
    </row>
    <row r="204" spans="6:33" s="1232" customFormat="1">
      <c r="AA204" s="1289"/>
      <c r="AB204" s="1232" t="s">
        <v>298</v>
      </c>
      <c r="AC204" s="1232" t="s">
        <v>332</v>
      </c>
      <c r="AD204" s="315">
        <f>AD200/(AD185*8760*AD205/1000000*3.6)</f>
        <v>0.64928996846041265</v>
      </c>
      <c r="AE204" s="1232">
        <f>AE200/(AE185*8760*AE205/1000000*3.6)</f>
        <v>0.75034378586147377</v>
      </c>
      <c r="AF204" s="1232">
        <f>AF200/(AF185*8760*AF205/1000000*3.6)</f>
        <v>0.79569172814119693</v>
      </c>
      <c r="AG204" s="316">
        <f>AG200/(AG185*8760*AG205/1000000*3.6)</f>
        <v>0.94384020689409009</v>
      </c>
    </row>
    <row r="205" spans="6:33" s="1232" customFormat="1" ht="13.8" thickBot="1">
      <c r="AA205" s="325" t="s">
        <v>679</v>
      </c>
      <c r="AB205" s="107" t="s">
        <v>1480</v>
      </c>
      <c r="AC205" s="107" t="s">
        <v>580</v>
      </c>
      <c r="AD205" s="1115">
        <v>0.95</v>
      </c>
      <c r="AE205" s="1091">
        <v>0.95</v>
      </c>
      <c r="AF205" s="1091">
        <v>0.95</v>
      </c>
      <c r="AG205" s="1092">
        <v>0.95</v>
      </c>
    </row>
    <row r="206" spans="6:33" s="1232" customFormat="1"/>
    <row r="207" spans="6:33" s="1232" customFormat="1"/>
    <row r="208" spans="6:33" s="1232" customFormat="1"/>
    <row r="209" spans="2:20" s="1232" customFormat="1"/>
    <row r="210" spans="2:20" s="1232" customFormat="1"/>
    <row r="211" spans="2:20" s="1232" customFormat="1" ht="21">
      <c r="B211" s="247" t="s">
        <v>1453</v>
      </c>
    </row>
    <row r="212" spans="2:20" s="1232" customFormat="1">
      <c r="F212" s="248"/>
      <c r="G212" s="248"/>
      <c r="H212" s="121"/>
      <c r="I212" s="121"/>
      <c r="J212" s="121"/>
    </row>
    <row r="213" spans="2:20" s="1232" customFormat="1">
      <c r="F213" s="121"/>
      <c r="G213" s="121"/>
      <c r="H213" s="121" t="s">
        <v>1452</v>
      </c>
      <c r="I213" s="121"/>
      <c r="J213" s="121"/>
    </row>
    <row r="214" spans="2:20" s="1232" customFormat="1">
      <c r="B214" s="120" t="s">
        <v>2</v>
      </c>
      <c r="C214" s="120" t="s">
        <v>11</v>
      </c>
      <c r="D214" s="120" t="s">
        <v>189</v>
      </c>
      <c r="E214" s="120" t="s">
        <v>32</v>
      </c>
      <c r="F214" s="120" t="s">
        <v>33</v>
      </c>
      <c r="G214" s="120" t="s">
        <v>3</v>
      </c>
      <c r="H214" s="120" t="s">
        <v>34</v>
      </c>
      <c r="I214" s="120" t="s">
        <v>187</v>
      </c>
      <c r="J214" s="120" t="s">
        <v>188</v>
      </c>
      <c r="K214" s="155" t="s">
        <v>239</v>
      </c>
      <c r="L214" s="155" t="s">
        <v>186</v>
      </c>
      <c r="M214" s="155" t="s">
        <v>185</v>
      </c>
      <c r="N214" s="155" t="s">
        <v>9</v>
      </c>
      <c r="O214" s="155" t="s">
        <v>6</v>
      </c>
      <c r="P214" s="155" t="s">
        <v>7</v>
      </c>
      <c r="Q214" s="155" t="s">
        <v>8</v>
      </c>
      <c r="R214" s="155" t="s">
        <v>334</v>
      </c>
      <c r="S214" s="155" t="s">
        <v>335</v>
      </c>
      <c r="T214" s="116" t="s">
        <v>41</v>
      </c>
    </row>
    <row r="215" spans="2:20" s="1232" customFormat="1" ht="52.8">
      <c r="B215" s="115" t="s">
        <v>184</v>
      </c>
      <c r="C215" s="115" t="s">
        <v>19</v>
      </c>
      <c r="D215" s="115" t="s">
        <v>182</v>
      </c>
      <c r="E215" s="115" t="s">
        <v>183</v>
      </c>
      <c r="F215" s="115" t="s">
        <v>234</v>
      </c>
      <c r="G215" s="115" t="s">
        <v>181</v>
      </c>
      <c r="H215" s="115"/>
      <c r="I215" s="115" t="s">
        <v>233</v>
      </c>
      <c r="J215" s="115" t="s">
        <v>180</v>
      </c>
      <c r="K215" s="115" t="s">
        <v>232</v>
      </c>
      <c r="L215" s="115" t="s">
        <v>178</v>
      </c>
      <c r="M215" s="115" t="s">
        <v>177</v>
      </c>
      <c r="N215" s="115" t="s">
        <v>176</v>
      </c>
      <c r="O215" s="115" t="s">
        <v>175</v>
      </c>
      <c r="P215" s="115" t="s">
        <v>174</v>
      </c>
      <c r="Q215" s="115" t="s">
        <v>173</v>
      </c>
      <c r="R215" s="115" t="s">
        <v>336</v>
      </c>
      <c r="S215" s="115" t="s">
        <v>337</v>
      </c>
      <c r="T215" s="113"/>
    </row>
    <row r="216" spans="2:20" s="1232" customFormat="1" ht="27" thickBot="1">
      <c r="B216" s="112" t="s">
        <v>172</v>
      </c>
      <c r="C216" s="111"/>
      <c r="D216" s="111"/>
      <c r="E216" s="111"/>
      <c r="F216" s="111"/>
      <c r="G216" s="111"/>
      <c r="H216" s="111"/>
      <c r="I216" s="111" t="s">
        <v>338</v>
      </c>
      <c r="J216" s="111" t="s">
        <v>339</v>
      </c>
      <c r="K216" s="111" t="s">
        <v>339</v>
      </c>
      <c r="L216" s="111"/>
      <c r="M216" s="111" t="s">
        <v>62</v>
      </c>
      <c r="N216" s="111"/>
      <c r="O216" s="110" t="s">
        <v>340</v>
      </c>
      <c r="P216" s="110" t="s">
        <v>340</v>
      </c>
      <c r="Q216" s="110" t="s">
        <v>340</v>
      </c>
      <c r="R216" s="111"/>
      <c r="S216" s="111"/>
      <c r="T216" s="109"/>
    </row>
    <row r="217" spans="2:20" s="1232" customFormat="1">
      <c r="B217" s="104" t="str">
        <f>"SUP"&amp;RIGHT(E217,3)&amp;LEFT(G217,3)&amp;"1N"</f>
        <v>SUPCOAH2G1N</v>
      </c>
      <c r="C217" s="104" t="s">
        <v>341</v>
      </c>
      <c r="D217" s="104"/>
      <c r="E217" s="104" t="s">
        <v>342</v>
      </c>
      <c r="F217" s="104"/>
      <c r="G217" s="104" t="s">
        <v>1314</v>
      </c>
      <c r="H217" s="104" t="s">
        <v>343</v>
      </c>
      <c r="I217" s="104">
        <f>1/1.77</f>
        <v>0.56497175141242939</v>
      </c>
      <c r="J217" s="104"/>
      <c r="K217" s="104"/>
      <c r="L217" s="104">
        <v>0.9</v>
      </c>
      <c r="M217" s="104">
        <v>20</v>
      </c>
      <c r="N217" s="104">
        <v>1</v>
      </c>
      <c r="O217" s="104">
        <f>16.92*N170</f>
        <v>126.05400000000002</v>
      </c>
      <c r="P217" s="104">
        <f>1.01*N170</f>
        <v>7.5245000000000006</v>
      </c>
      <c r="Q217" s="104">
        <f>0.17*N170</f>
        <v>1.2665000000000002</v>
      </c>
      <c r="R217" s="104"/>
      <c r="S217" s="104"/>
      <c r="T217" s="104" t="s">
        <v>344</v>
      </c>
    </row>
    <row r="218" spans="2:20" s="1232" customFormat="1" ht="13.8" thickBot="1">
      <c r="B218" s="70"/>
      <c r="C218" s="70"/>
      <c r="D218" s="70" t="s">
        <v>71</v>
      </c>
      <c r="E218" s="70"/>
      <c r="F218" s="70"/>
      <c r="G218" s="70"/>
      <c r="H218" s="70" t="s">
        <v>343</v>
      </c>
      <c r="I218" s="70"/>
      <c r="J218" s="70">
        <f>0.07</f>
        <v>7.0000000000000007E-2</v>
      </c>
      <c r="K218" s="70"/>
      <c r="L218" s="70"/>
      <c r="M218" s="70"/>
      <c r="N218" s="70"/>
      <c r="O218" s="70"/>
      <c r="P218" s="70"/>
      <c r="Q218" s="70"/>
      <c r="R218" s="70"/>
      <c r="S218" s="70"/>
      <c r="T218" s="70"/>
    </row>
    <row r="219" spans="2:20" s="1232" customFormat="1">
      <c r="B219" s="104" t="str">
        <f>"SUP"&amp;RIGHT(E219,3)&amp;LEFT(G219,3)&amp;"2N"</f>
        <v>SUPCOAH2G2N</v>
      </c>
      <c r="C219" s="104" t="s">
        <v>345</v>
      </c>
      <c r="E219" s="1232" t="s">
        <v>342</v>
      </c>
      <c r="G219" s="104" t="s">
        <v>1314</v>
      </c>
      <c r="H219" s="1232" t="s">
        <v>343</v>
      </c>
      <c r="I219" s="1232">
        <f>1/1.75</f>
        <v>0.5714285714285714</v>
      </c>
      <c r="L219" s="1232">
        <v>0.8</v>
      </c>
      <c r="M219" s="1232">
        <v>20</v>
      </c>
      <c r="N219" s="104">
        <v>1</v>
      </c>
      <c r="O219" s="1232">
        <f>23.6*N170</f>
        <v>175.82000000000002</v>
      </c>
      <c r="P219" s="1232">
        <f>0.59*N170</f>
        <v>4.3955000000000002</v>
      </c>
      <c r="Q219" s="1232">
        <f>0.23*N170</f>
        <v>1.7135</v>
      </c>
      <c r="T219" s="1232" t="s">
        <v>344</v>
      </c>
    </row>
    <row r="220" spans="2:20" s="1232" customFormat="1" ht="13.8" thickBot="1">
      <c r="B220" s="70"/>
      <c r="C220" s="70"/>
      <c r="D220" s="70"/>
      <c r="E220" s="70"/>
      <c r="F220" s="70" t="s">
        <v>84</v>
      </c>
      <c r="G220" s="70"/>
      <c r="H220" s="70" t="s">
        <v>343</v>
      </c>
      <c r="I220" s="70"/>
      <c r="J220" s="70"/>
      <c r="K220" s="70">
        <v>0.08</v>
      </c>
      <c r="L220" s="70"/>
      <c r="M220" s="70"/>
      <c r="N220" s="70"/>
      <c r="O220" s="70"/>
      <c r="P220" s="70"/>
      <c r="Q220" s="70"/>
      <c r="R220" s="70"/>
      <c r="S220" s="70"/>
      <c r="T220" s="70"/>
    </row>
    <row r="221" spans="2:20" s="1232" customFormat="1">
      <c r="B221" s="104" t="str">
        <f>"SUP"&amp;RIGHT(E221,3)&amp;LEFT(G221,3)&amp;"3N"</f>
        <v>SUPSTRH2G3N</v>
      </c>
      <c r="C221" s="104" t="s">
        <v>346</v>
      </c>
      <c r="D221" s="142"/>
      <c r="E221" s="142" t="s">
        <v>347</v>
      </c>
      <c r="F221" s="142"/>
      <c r="G221" s="104" t="s">
        <v>348</v>
      </c>
      <c r="H221" s="142" t="s">
        <v>343</v>
      </c>
      <c r="I221" s="142">
        <f>1/3</f>
        <v>0.33333333333333331</v>
      </c>
      <c r="J221" s="142"/>
      <c r="K221" s="142"/>
      <c r="L221" s="142">
        <v>0.71</v>
      </c>
      <c r="M221" s="142">
        <v>20</v>
      </c>
      <c r="N221" s="104">
        <v>1</v>
      </c>
      <c r="O221" s="142">
        <f>190.2*N170</f>
        <v>1416.99</v>
      </c>
      <c r="P221" s="142">
        <f>3.8*N170</f>
        <v>28.31</v>
      </c>
      <c r="Q221" s="142">
        <f>1.9*N170</f>
        <v>14.154999999999999</v>
      </c>
      <c r="R221" s="142"/>
      <c r="S221" s="142"/>
      <c r="T221" s="1232" t="s">
        <v>344</v>
      </c>
    </row>
    <row r="222" spans="2:20" s="1232" customFormat="1" ht="13.8" thickBot="1">
      <c r="B222" s="70"/>
      <c r="C222" s="70"/>
      <c r="D222" s="70" t="s">
        <v>71</v>
      </c>
      <c r="E222" s="70"/>
      <c r="F222" s="70"/>
      <c r="G222" s="70"/>
      <c r="H222" s="70" t="s">
        <v>343</v>
      </c>
      <c r="I222" s="70"/>
      <c r="J222" s="70">
        <f>0.2</f>
        <v>0.2</v>
      </c>
      <c r="K222" s="70"/>
      <c r="L222" s="70"/>
      <c r="M222" s="70"/>
      <c r="N222" s="70"/>
      <c r="O222" s="70"/>
      <c r="P222" s="70"/>
      <c r="Q222" s="70"/>
      <c r="R222" s="70"/>
      <c r="S222" s="70"/>
      <c r="T222" s="70"/>
    </row>
    <row r="223" spans="2:20" s="1232" customFormat="1">
      <c r="B223" s="104" t="str">
        <f>"SUP"&amp;RIGHT(E223,3)&amp;LEFT(G223,3)&amp;"2N"</f>
        <v>SUPSTRH2G2N</v>
      </c>
      <c r="C223" s="104" t="s">
        <v>349</v>
      </c>
      <c r="D223" s="142"/>
      <c r="E223" s="142" t="s">
        <v>347</v>
      </c>
      <c r="F223" s="142"/>
      <c r="G223" s="104" t="s">
        <v>1314</v>
      </c>
      <c r="H223" s="142" t="s">
        <v>343</v>
      </c>
      <c r="I223" s="142">
        <f>1/2.78</f>
        <v>0.35971223021582738</v>
      </c>
      <c r="J223" s="142"/>
      <c r="K223" s="142"/>
      <c r="L223" s="142">
        <v>0.9</v>
      </c>
      <c r="M223" s="142">
        <v>20</v>
      </c>
      <c r="N223" s="104">
        <v>1</v>
      </c>
      <c r="O223" s="142">
        <f>96.5*N170</f>
        <v>718.92500000000007</v>
      </c>
      <c r="P223" s="142">
        <f>4.82*N170</f>
        <v>35.909000000000006</v>
      </c>
      <c r="Q223" s="142">
        <f>0.97*N170</f>
        <v>7.2264999999999997</v>
      </c>
      <c r="R223" s="142"/>
      <c r="S223" s="142"/>
      <c r="T223" s="1232" t="s">
        <v>344</v>
      </c>
    </row>
    <row r="224" spans="2:20" s="1232" customFormat="1" ht="13.8" thickBot="1">
      <c r="B224" s="70"/>
      <c r="C224" s="70"/>
      <c r="D224" s="70" t="s">
        <v>71</v>
      </c>
      <c r="E224" s="70"/>
      <c r="F224" s="70"/>
      <c r="G224" s="70"/>
      <c r="H224" s="70" t="s">
        <v>343</v>
      </c>
      <c r="I224" s="70"/>
      <c r="J224" s="70">
        <v>0.2</v>
      </c>
      <c r="K224" s="70"/>
      <c r="L224" s="70"/>
      <c r="M224" s="70"/>
      <c r="N224" s="70"/>
      <c r="O224" s="70"/>
      <c r="P224" s="70"/>
      <c r="Q224" s="70"/>
      <c r="R224" s="70"/>
      <c r="S224" s="70"/>
      <c r="T224" s="70"/>
    </row>
    <row r="225" spans="2:20" s="1232" customFormat="1">
      <c r="B225" s="104" t="s">
        <v>350</v>
      </c>
      <c r="C225" s="104" t="s">
        <v>351</v>
      </c>
      <c r="D225" s="142"/>
      <c r="E225" s="142" t="s">
        <v>352</v>
      </c>
      <c r="F225" s="142"/>
      <c r="G225" s="104" t="s">
        <v>1314</v>
      </c>
      <c r="H225" s="142" t="s">
        <v>343</v>
      </c>
      <c r="I225" s="142">
        <f>1/1.75</f>
        <v>0.5714285714285714</v>
      </c>
      <c r="J225" s="142"/>
      <c r="K225" s="142"/>
      <c r="L225" s="142">
        <v>0.9</v>
      </c>
      <c r="M225" s="142">
        <v>20</v>
      </c>
      <c r="N225" s="104">
        <v>1</v>
      </c>
      <c r="O225" s="142">
        <f>72.93*N170</f>
        <v>543.32850000000008</v>
      </c>
      <c r="P225" s="142">
        <f>2.92*N170</f>
        <v>21.754000000000001</v>
      </c>
      <c r="Q225" s="142">
        <f>0.73*N170</f>
        <v>5.4385000000000003</v>
      </c>
      <c r="R225" s="142"/>
      <c r="S225" s="142"/>
      <c r="T225" s="1232" t="s">
        <v>344</v>
      </c>
    </row>
    <row r="226" spans="2:20" s="1232" customFormat="1" ht="13.8" thickBot="1">
      <c r="B226" s="70"/>
      <c r="C226" s="70"/>
      <c r="D226" s="70" t="s">
        <v>71</v>
      </c>
      <c r="E226" s="70"/>
      <c r="F226" s="70"/>
      <c r="G226" s="70"/>
      <c r="H226" s="70" t="s">
        <v>343</v>
      </c>
      <c r="I226" s="70"/>
      <c r="J226" s="70">
        <v>0.35</v>
      </c>
      <c r="K226" s="70"/>
      <c r="L226" s="70"/>
      <c r="M226" s="70"/>
      <c r="N226" s="70"/>
      <c r="O226" s="70"/>
      <c r="P226" s="70"/>
      <c r="Q226" s="70"/>
      <c r="R226" s="70"/>
      <c r="S226" s="70"/>
      <c r="T226" s="70"/>
    </row>
    <row r="227" spans="2:20" s="1232" customFormat="1">
      <c r="B227" s="104" t="str">
        <f>"SUP"&amp;RIGHT(E227,3)&amp;LEFT(G227,3)&amp;"1N"</f>
        <v>SUPNGAH2G1N</v>
      </c>
      <c r="C227" s="104" t="s">
        <v>353</v>
      </c>
      <c r="D227" s="142"/>
      <c r="E227" s="142" t="s">
        <v>352</v>
      </c>
      <c r="F227" s="142"/>
      <c r="G227" s="104" t="s">
        <v>1314</v>
      </c>
      <c r="H227" s="142" t="s">
        <v>343</v>
      </c>
      <c r="I227" s="142">
        <f>1/1.32</f>
        <v>0.75757575757575757</v>
      </c>
      <c r="J227" s="142"/>
      <c r="K227" s="142"/>
      <c r="L227" s="142">
        <v>0.9</v>
      </c>
      <c r="M227" s="142">
        <v>20</v>
      </c>
      <c r="N227" s="104">
        <v>1</v>
      </c>
      <c r="O227" s="142">
        <f>7.36*N170</f>
        <v>54.832000000000001</v>
      </c>
      <c r="P227" s="142">
        <f>0.36*N170</f>
        <v>2.6819999999999999</v>
      </c>
      <c r="Q227" s="249">
        <f>0.08*N170</f>
        <v>0.59599999999999997</v>
      </c>
      <c r="R227" s="142"/>
      <c r="S227" s="142"/>
      <c r="T227" s="1232" t="s">
        <v>344</v>
      </c>
    </row>
    <row r="228" spans="2:20" s="1232" customFormat="1" ht="13.8" thickBot="1">
      <c r="B228" s="70"/>
      <c r="C228" s="70"/>
      <c r="D228" s="70" t="s">
        <v>71</v>
      </c>
      <c r="E228" s="70"/>
      <c r="F228" s="70"/>
      <c r="G228" s="70"/>
      <c r="H228" s="70" t="s">
        <v>343</v>
      </c>
      <c r="I228" s="70"/>
      <c r="J228" s="70">
        <v>0.02</v>
      </c>
      <c r="K228" s="70"/>
      <c r="L228" s="70"/>
      <c r="M228" s="70"/>
      <c r="N228" s="70"/>
      <c r="O228" s="70"/>
      <c r="P228" s="70"/>
      <c r="Q228" s="70"/>
      <c r="R228" s="70"/>
      <c r="S228" s="70"/>
      <c r="T228" s="70"/>
    </row>
    <row r="229" spans="2:20" s="1232" customFormat="1">
      <c r="B229" s="104" t="str">
        <f>"SUP"&amp;RIGHT(E229,3)&amp;LEFT(G229,3)&amp;"3N"</f>
        <v>SUPNGAH2G3N</v>
      </c>
      <c r="C229" s="104" t="s">
        <v>354</v>
      </c>
      <c r="D229" s="142"/>
      <c r="E229" s="142" t="s">
        <v>352</v>
      </c>
      <c r="F229" s="142"/>
      <c r="G229" s="104" t="s">
        <v>348</v>
      </c>
      <c r="H229" s="142" t="s">
        <v>343</v>
      </c>
      <c r="I229" s="142">
        <f>1/1.58</f>
        <v>0.63291139240506322</v>
      </c>
      <c r="J229" s="142"/>
      <c r="K229" s="142"/>
      <c r="L229" s="142">
        <v>0.9</v>
      </c>
      <c r="M229" s="142">
        <v>20</v>
      </c>
      <c r="N229" s="104">
        <v>1</v>
      </c>
      <c r="O229" s="142">
        <f>15.8*N170</f>
        <v>117.71000000000001</v>
      </c>
      <c r="P229" s="142">
        <f>0.6*N170</f>
        <v>4.47</v>
      </c>
      <c r="Q229" s="142">
        <f>0.15*N170</f>
        <v>1.1174999999999999</v>
      </c>
      <c r="R229" s="142"/>
      <c r="S229" s="142"/>
      <c r="T229" s="142" t="s">
        <v>344</v>
      </c>
    </row>
    <row r="230" spans="2:20" s="1232" customFormat="1" ht="13.8" thickBot="1">
      <c r="B230" s="70"/>
      <c r="C230" s="70"/>
      <c r="D230" s="70" t="s">
        <v>71</v>
      </c>
      <c r="E230" s="70"/>
      <c r="F230" s="70"/>
      <c r="G230" s="70"/>
      <c r="H230" s="70" t="s">
        <v>343</v>
      </c>
      <c r="I230" s="70"/>
      <c r="J230" s="70">
        <v>0.03</v>
      </c>
      <c r="K230" s="70"/>
      <c r="L230" s="70"/>
      <c r="M230" s="70"/>
      <c r="N230" s="70"/>
      <c r="O230" s="70"/>
      <c r="P230" s="70"/>
      <c r="Q230" s="70"/>
      <c r="R230" s="70"/>
      <c r="S230" s="70"/>
      <c r="T230" s="70"/>
    </row>
    <row r="231" spans="2:20" s="1232" customFormat="1">
      <c r="B231" s="104" t="str">
        <f>"SUP"&amp;RIGHT(E231,3)&amp;LEFT(G231,3)&amp;"2N"</f>
        <v>SUPNGAH2G2N</v>
      </c>
      <c r="C231" s="104" t="s">
        <v>355</v>
      </c>
      <c r="D231" s="142"/>
      <c r="E231" s="142" t="s">
        <v>352</v>
      </c>
      <c r="F231" s="142"/>
      <c r="G231" s="104" t="s">
        <v>1314</v>
      </c>
      <c r="H231" s="142" t="s">
        <v>343</v>
      </c>
      <c r="I231" s="142">
        <f>1/1.36</f>
        <v>0.73529411764705876</v>
      </c>
      <c r="J231" s="142"/>
      <c r="K231" s="142"/>
      <c r="L231" s="142">
        <v>0.86</v>
      </c>
      <c r="M231" s="142">
        <v>20</v>
      </c>
      <c r="N231" s="104">
        <v>1</v>
      </c>
      <c r="O231" s="142">
        <f>18.6*N170</f>
        <v>138.57000000000002</v>
      </c>
      <c r="P231" s="142">
        <f>1.08*N170</f>
        <v>8.0460000000000012</v>
      </c>
      <c r="Q231" s="142">
        <f>0.05*N170</f>
        <v>0.37250000000000005</v>
      </c>
      <c r="R231" s="142"/>
      <c r="S231" s="142"/>
      <c r="T231" s="142" t="s">
        <v>344</v>
      </c>
    </row>
    <row r="232" spans="2:20" s="1232" customFormat="1" ht="13.8" thickBot="1">
      <c r="B232" s="70"/>
      <c r="C232" s="70"/>
      <c r="D232" s="70" t="s">
        <v>71</v>
      </c>
      <c r="E232" s="70"/>
      <c r="F232" s="70"/>
      <c r="G232" s="70"/>
      <c r="H232" s="70" t="s">
        <v>343</v>
      </c>
      <c r="I232" s="70"/>
      <c r="J232" s="70">
        <v>0.25</v>
      </c>
      <c r="K232" s="70"/>
      <c r="L232" s="70"/>
      <c r="M232" s="70"/>
      <c r="N232" s="70"/>
      <c r="O232" s="70"/>
      <c r="P232" s="70"/>
      <c r="Q232" s="70"/>
      <c r="R232" s="70"/>
      <c r="S232" s="70"/>
      <c r="T232" s="70"/>
    </row>
    <row r="233" spans="2:20" s="1232" customFormat="1">
      <c r="B233" s="104" t="str">
        <f>"SUP"&amp;RIGHT(E233,3)&amp;LEFT(G233,3)&amp;"3N"</f>
        <v>SUPNGAH2G3N</v>
      </c>
      <c r="C233" s="104" t="s">
        <v>356</v>
      </c>
      <c r="D233" s="142"/>
      <c r="E233" s="142" t="s">
        <v>352</v>
      </c>
      <c r="F233" s="142"/>
      <c r="G233" s="104" t="s">
        <v>348</v>
      </c>
      <c r="H233" s="142" t="s">
        <v>343</v>
      </c>
      <c r="I233" s="142">
        <f>1/1.81</f>
        <v>0.5524861878453039</v>
      </c>
      <c r="J233" s="142"/>
      <c r="K233" s="142"/>
      <c r="L233" s="142">
        <v>0.9</v>
      </c>
      <c r="M233" s="142">
        <v>20</v>
      </c>
      <c r="N233" s="104">
        <v>1</v>
      </c>
      <c r="O233" s="142">
        <f>67.6*N170</f>
        <v>503.61999999999995</v>
      </c>
      <c r="P233" s="142">
        <f>1.63*N170</f>
        <v>12.1435</v>
      </c>
      <c r="Q233" s="142">
        <f>0.67*N170</f>
        <v>4.9915000000000003</v>
      </c>
      <c r="R233" s="142"/>
      <c r="S233" s="142"/>
      <c r="T233" s="142" t="s">
        <v>344</v>
      </c>
    </row>
    <row r="234" spans="2:20" s="1232" customFormat="1" ht="13.8" thickBot="1">
      <c r="B234" s="70"/>
      <c r="C234" s="70"/>
      <c r="D234" s="70" t="s">
        <v>71</v>
      </c>
      <c r="E234" s="70"/>
      <c r="F234" s="70"/>
      <c r="G234" s="70"/>
      <c r="H234" s="70" t="s">
        <v>343</v>
      </c>
      <c r="I234" s="70"/>
      <c r="J234" s="70">
        <v>7.0000000000000007E-2</v>
      </c>
      <c r="K234" s="70"/>
      <c r="L234" s="70"/>
      <c r="M234" s="70"/>
      <c r="N234" s="70"/>
      <c r="O234" s="70"/>
      <c r="P234" s="70"/>
      <c r="Q234" s="70"/>
      <c r="R234" s="70"/>
      <c r="S234" s="70"/>
      <c r="T234" s="70"/>
    </row>
    <row r="235" spans="2:20" s="1232" customFormat="1" ht="12.75" customHeight="1">
      <c r="B235" s="104" t="str">
        <f>"SUP"&amp;RIGHT(E235,3)&amp;LEFT(G235,3)&amp;"1N"</f>
        <v>SUPSTRH2G1N</v>
      </c>
      <c r="C235" s="104" t="s">
        <v>357</v>
      </c>
      <c r="D235" s="142"/>
      <c r="E235" s="142" t="s">
        <v>347</v>
      </c>
      <c r="F235" s="142"/>
      <c r="G235" s="104" t="s">
        <v>1314</v>
      </c>
      <c r="H235" s="142" t="s">
        <v>343</v>
      </c>
      <c r="I235" s="142">
        <f>1/1.88</f>
        <v>0.53191489361702127</v>
      </c>
      <c r="J235" s="142"/>
      <c r="K235" s="142"/>
      <c r="L235" s="142">
        <v>0.9</v>
      </c>
      <c r="M235" s="142">
        <v>20</v>
      </c>
      <c r="N235" s="104">
        <v>1</v>
      </c>
      <c r="O235" s="142">
        <f>19*N170</f>
        <v>141.55000000000001</v>
      </c>
      <c r="P235" s="142">
        <f>0.76*N170</f>
        <v>5.6619999999999999</v>
      </c>
      <c r="Q235" s="142">
        <f>0.19*N170</f>
        <v>1.4155</v>
      </c>
      <c r="R235" s="142"/>
      <c r="S235" s="142"/>
      <c r="T235" s="142" t="s">
        <v>344</v>
      </c>
    </row>
    <row r="236" spans="2:20" s="1232" customFormat="1" ht="13.8" thickBot="1">
      <c r="B236" s="70"/>
      <c r="C236" s="70"/>
      <c r="D236" s="70" t="s">
        <v>71</v>
      </c>
      <c r="E236" s="70"/>
      <c r="F236" s="70"/>
      <c r="G236" s="70"/>
      <c r="H236" s="70" t="s">
        <v>343</v>
      </c>
      <c r="I236" s="70"/>
      <c r="J236" s="70">
        <f>0.04</f>
        <v>0.04</v>
      </c>
      <c r="K236" s="70"/>
      <c r="L236" s="70"/>
      <c r="M236" s="70"/>
      <c r="N236" s="70"/>
      <c r="O236" s="70"/>
      <c r="P236" s="70"/>
      <c r="Q236" s="70"/>
      <c r="R236" s="70"/>
      <c r="S236" s="70"/>
      <c r="T236" s="70"/>
    </row>
    <row r="237" spans="2:20" s="1232" customFormat="1">
      <c r="B237" s="104" t="str">
        <f>"SUP"&amp;RIGHT(E237,3)&amp;LEFT(G237,3)&amp;"2N"</f>
        <v>SUPSTRH2G2N</v>
      </c>
      <c r="C237" s="104" t="s">
        <v>358</v>
      </c>
      <c r="D237" s="142"/>
      <c r="E237" s="142" t="s">
        <v>347</v>
      </c>
      <c r="F237" s="142"/>
      <c r="G237" s="104" t="s">
        <v>1314</v>
      </c>
      <c r="H237" s="142" t="s">
        <v>343</v>
      </c>
      <c r="I237" s="142">
        <f>1/1.36</f>
        <v>0.73529411764705876</v>
      </c>
      <c r="J237" s="142"/>
      <c r="K237" s="142"/>
      <c r="L237" s="142">
        <v>0.9</v>
      </c>
      <c r="M237" s="142">
        <v>20</v>
      </c>
      <c r="N237" s="104">
        <v>1</v>
      </c>
      <c r="O237" s="142">
        <f>O235</f>
        <v>141.55000000000001</v>
      </c>
      <c r="P237" s="142">
        <f>P235</f>
        <v>5.6619999999999999</v>
      </c>
      <c r="Q237" s="142">
        <f>Q235</f>
        <v>1.4155</v>
      </c>
      <c r="R237" s="142"/>
      <c r="S237" s="142"/>
      <c r="T237" s="142" t="s">
        <v>344</v>
      </c>
    </row>
    <row r="238" spans="2:20" s="1232" customFormat="1" ht="13.8" thickBot="1">
      <c r="B238" s="70"/>
      <c r="C238" s="70"/>
      <c r="D238" s="70" t="s">
        <v>71</v>
      </c>
      <c r="E238" s="70"/>
      <c r="F238" s="70"/>
      <c r="G238" s="70"/>
      <c r="H238" s="70" t="s">
        <v>343</v>
      </c>
      <c r="I238" s="70"/>
      <c r="J238" s="70">
        <v>0.04</v>
      </c>
      <c r="K238" s="70"/>
      <c r="L238" s="70"/>
      <c r="M238" s="70"/>
      <c r="N238" s="70"/>
      <c r="O238" s="70"/>
      <c r="P238" s="70"/>
      <c r="Q238" s="70"/>
      <c r="R238" s="70"/>
      <c r="S238" s="70"/>
      <c r="T238" s="70"/>
    </row>
    <row r="239" spans="2:20" s="1232" customFormat="1">
      <c r="B239" s="104" t="str">
        <f>"SUP"&amp;RIGHT(E239,3)&amp;LEFT(G239,3)&amp;"2N"</f>
        <v>SUPGSBH2G2N</v>
      </c>
      <c r="C239" s="104" t="s">
        <v>359</v>
      </c>
      <c r="D239" s="142"/>
      <c r="E239" s="142" t="s">
        <v>360</v>
      </c>
      <c r="F239" s="142"/>
      <c r="G239" s="104" t="s">
        <v>348</v>
      </c>
      <c r="H239" s="142" t="s">
        <v>343</v>
      </c>
      <c r="I239" s="142">
        <f>1/2.37</f>
        <v>0.42194092827004215</v>
      </c>
      <c r="J239" s="142"/>
      <c r="K239" s="142"/>
      <c r="L239" s="142">
        <v>0.9</v>
      </c>
      <c r="M239" s="142">
        <v>10</v>
      </c>
      <c r="N239" s="104">
        <v>1</v>
      </c>
      <c r="O239" s="142">
        <f>270*N170</f>
        <v>2011.5</v>
      </c>
      <c r="P239" s="142">
        <f>0*N170</f>
        <v>0</v>
      </c>
      <c r="Q239" s="142">
        <f>20.4*N170</f>
        <v>151.97999999999999</v>
      </c>
      <c r="R239" s="142"/>
      <c r="S239" s="142"/>
      <c r="T239" s="142" t="s">
        <v>344</v>
      </c>
    </row>
    <row r="240" spans="2:20" s="1232" customFormat="1" ht="13.8" thickBot="1">
      <c r="B240" s="70"/>
      <c r="C240" s="70"/>
      <c r="D240" s="70" t="s">
        <v>71</v>
      </c>
      <c r="E240" s="70"/>
      <c r="F240" s="70"/>
      <c r="G240" s="70"/>
      <c r="H240" s="70" t="s">
        <v>343</v>
      </c>
      <c r="I240" s="70"/>
      <c r="J240" s="70">
        <f>0.18</f>
        <v>0.18</v>
      </c>
      <c r="K240" s="70"/>
      <c r="L240" s="70"/>
      <c r="M240" s="70"/>
      <c r="N240" s="70"/>
      <c r="O240" s="70"/>
      <c r="P240" s="70"/>
      <c r="Q240" s="70"/>
      <c r="R240" s="70"/>
      <c r="S240" s="70"/>
      <c r="T240" s="70"/>
    </row>
    <row r="241" spans="2:21" s="1232" customFormat="1" ht="13.8" thickBot="1">
      <c r="B241" s="104" t="str">
        <f>"SUP"&amp;RIGHT(E241,3)&amp;LEFT(G241,3)&amp;"1N"</f>
        <v>SUPELCH2G1N</v>
      </c>
      <c r="C241" s="104" t="s">
        <v>361</v>
      </c>
      <c r="D241" s="250"/>
      <c r="E241" s="250" t="s">
        <v>71</v>
      </c>
      <c r="F241" s="250"/>
      <c r="G241" s="104" t="s">
        <v>1314</v>
      </c>
      <c r="H241" s="250" t="s">
        <v>343</v>
      </c>
      <c r="I241" s="250">
        <f>1/1.52</f>
        <v>0.65789473684210531</v>
      </c>
      <c r="J241" s="250"/>
      <c r="K241" s="250"/>
      <c r="L241" s="250">
        <v>0.9</v>
      </c>
      <c r="M241" s="250">
        <v>40</v>
      </c>
      <c r="N241" s="104">
        <v>1</v>
      </c>
      <c r="O241" s="250">
        <f>22.9*N170</f>
        <v>170.60499999999999</v>
      </c>
      <c r="P241" s="250">
        <f>1.52*N170</f>
        <v>11.324</v>
      </c>
      <c r="Q241" s="250">
        <f>0.16*N170</f>
        <v>1.1919999999999999</v>
      </c>
      <c r="R241" s="250"/>
      <c r="S241" s="250"/>
      <c r="T241" s="250" t="s">
        <v>344</v>
      </c>
    </row>
    <row r="242" spans="2:21" s="1232" customFormat="1" ht="13.8" thickBot="1">
      <c r="B242" s="104" t="str">
        <f>"SUP"&amp;RIGHT(E242,3)&amp;LEFT(G242,3)&amp;"2N"</f>
        <v>SUPELCH2G2N</v>
      </c>
      <c r="C242" s="104" t="s">
        <v>362</v>
      </c>
      <c r="D242" s="250"/>
      <c r="E242" s="250" t="s">
        <v>71</v>
      </c>
      <c r="F242" s="250"/>
      <c r="G242" s="104" t="s">
        <v>1314</v>
      </c>
      <c r="H242" s="250" t="s">
        <v>343</v>
      </c>
      <c r="I242" s="250">
        <f>1/1.63</f>
        <v>0.61349693251533743</v>
      </c>
      <c r="J242" s="250"/>
      <c r="K242" s="250"/>
      <c r="L242" s="250">
        <v>0.9</v>
      </c>
      <c r="M242" s="250">
        <v>20</v>
      </c>
      <c r="N242" s="104">
        <v>1</v>
      </c>
      <c r="O242" s="250">
        <f>65.09*N170</f>
        <v>484.92050000000006</v>
      </c>
      <c r="P242" s="250">
        <f>3.29*N170</f>
        <v>24.5105</v>
      </c>
      <c r="Q242" s="250">
        <f>0.06*N170</f>
        <v>0.44700000000000001</v>
      </c>
      <c r="R242" s="250"/>
      <c r="S242" s="250"/>
      <c r="T242" s="250" t="s">
        <v>344</v>
      </c>
    </row>
    <row r="243" spans="2:21" s="1232" customFormat="1">
      <c r="B243" s="104" t="str">
        <f>"SUP"&amp;RIGHT(E243,3)&amp;LEFT(G243,3)&amp;"3N"</f>
        <v>SUPELCH2G3N</v>
      </c>
      <c r="C243" s="104" t="s">
        <v>363</v>
      </c>
      <c r="D243" s="70"/>
      <c r="E243" s="250" t="s">
        <v>71</v>
      </c>
      <c r="F243" s="70"/>
      <c r="G243" s="104" t="s">
        <v>348</v>
      </c>
      <c r="H243" s="250" t="s">
        <v>343</v>
      </c>
      <c r="I243" s="70">
        <f>1/1.62</f>
        <v>0.61728395061728392</v>
      </c>
      <c r="J243" s="70"/>
      <c r="K243" s="70"/>
      <c r="L243" s="70">
        <v>0.9</v>
      </c>
      <c r="M243" s="70">
        <v>20</v>
      </c>
      <c r="N243" s="104">
        <v>1</v>
      </c>
      <c r="O243" s="70">
        <f>71*N170</f>
        <v>528.95000000000005</v>
      </c>
      <c r="P243" s="70">
        <f>5*N170</f>
        <v>37.25</v>
      </c>
      <c r="Q243" s="70">
        <f>1*N170</f>
        <v>7.45</v>
      </c>
      <c r="R243" s="70"/>
      <c r="S243" s="70"/>
      <c r="T243" s="250" t="s">
        <v>344</v>
      </c>
    </row>
    <row r="244" spans="2:21" s="1232" customFormat="1"/>
    <row r="245" spans="2:21" s="1232" customFormat="1"/>
    <row r="246" spans="2:21" s="1232" customFormat="1"/>
    <row r="247" spans="2:21" s="1232" customFormat="1" ht="14.4">
      <c r="U247"/>
    </row>
  </sheetData>
  <mergeCells count="7">
    <mergeCell ref="AA194:AA198"/>
    <mergeCell ref="AA199:AA204"/>
    <mergeCell ref="AA178:AA181"/>
    <mergeCell ref="AA182:AA185"/>
    <mergeCell ref="AA186:AA188"/>
    <mergeCell ref="AA189:AA190"/>
    <mergeCell ref="AA191:AA193"/>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6" tint="0.39997558519241921"/>
  </sheetPr>
  <dimension ref="A1:X31"/>
  <sheetViews>
    <sheetView topLeftCell="G1" zoomScale="80" zoomScaleNormal="80" workbookViewId="0">
      <selection activeCell="S27" sqref="S27"/>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26" bestFit="1" customWidth="1"/>
    <col min="23" max="23" width="11.88671875" style="226" customWidth="1"/>
    <col min="24" max="24" width="15.44140625" bestFit="1" customWidth="1"/>
  </cols>
  <sheetData>
    <row r="1" spans="1:24" ht="15" thickBot="1"/>
    <row r="2" spans="1:24" ht="15" thickBot="1">
      <c r="R2" s="123" t="s">
        <v>190</v>
      </c>
      <c r="S2" s="122">
        <f>7.45</f>
        <v>7.45</v>
      </c>
    </row>
    <row r="3" spans="1:24">
      <c r="R3" s="1072"/>
      <c r="S3" s="1072"/>
    </row>
    <row r="4" spans="1:24">
      <c r="B4" s="69"/>
      <c r="C4" s="69"/>
      <c r="D4" s="69"/>
      <c r="E4" s="69"/>
      <c r="F4" s="121"/>
      <c r="G4" s="121"/>
      <c r="H4" s="121"/>
      <c r="I4" s="121" t="s">
        <v>0</v>
      </c>
      <c r="J4" s="121"/>
      <c r="K4" s="121"/>
      <c r="L4" s="121"/>
      <c r="M4" s="69"/>
      <c r="N4" s="69"/>
      <c r="O4" s="69"/>
      <c r="P4" s="69"/>
      <c r="Q4" s="69"/>
      <c r="R4" s="69"/>
      <c r="S4" s="69"/>
      <c r="T4" s="69"/>
      <c r="U4" s="69"/>
    </row>
    <row r="5" spans="1:24">
      <c r="B5" s="227" t="s">
        <v>2</v>
      </c>
      <c r="C5" s="227" t="s">
        <v>11</v>
      </c>
      <c r="D5" s="227" t="s">
        <v>189</v>
      </c>
      <c r="E5" s="227" t="s">
        <v>32</v>
      </c>
      <c r="F5" s="227" t="s">
        <v>3</v>
      </c>
      <c r="G5" s="120" t="s">
        <v>33</v>
      </c>
      <c r="H5" s="227" t="s">
        <v>158</v>
      </c>
      <c r="I5" s="227" t="s">
        <v>34</v>
      </c>
      <c r="J5" s="227" t="s">
        <v>4</v>
      </c>
      <c r="K5" s="227" t="s">
        <v>187</v>
      </c>
      <c r="L5" s="227" t="s">
        <v>188</v>
      </c>
      <c r="M5" s="228" t="s">
        <v>239</v>
      </c>
      <c r="N5" s="228" t="s">
        <v>186</v>
      </c>
      <c r="O5" s="228" t="s">
        <v>185</v>
      </c>
      <c r="P5" s="228" t="s">
        <v>9</v>
      </c>
      <c r="Q5" s="228" t="s">
        <v>6</v>
      </c>
      <c r="R5" s="228" t="s">
        <v>7</v>
      </c>
      <c r="S5" s="228" t="s">
        <v>8</v>
      </c>
      <c r="T5" s="229" t="s">
        <v>327</v>
      </c>
      <c r="U5" s="230" t="s">
        <v>41</v>
      </c>
    </row>
    <row r="6" spans="1:24" ht="39.6">
      <c r="B6" s="231" t="s">
        <v>184</v>
      </c>
      <c r="C6" s="231" t="s">
        <v>19</v>
      </c>
      <c r="D6" s="231" t="s">
        <v>182</v>
      </c>
      <c r="E6" s="231" t="s">
        <v>183</v>
      </c>
      <c r="F6" s="231" t="s">
        <v>181</v>
      </c>
      <c r="G6" s="231"/>
      <c r="H6" s="231"/>
      <c r="I6" s="231"/>
      <c r="J6" s="231"/>
      <c r="K6" s="231" t="s">
        <v>179</v>
      </c>
      <c r="L6" s="231" t="s">
        <v>180</v>
      </c>
      <c r="M6" s="231" t="s">
        <v>232</v>
      </c>
      <c r="N6" s="231" t="s">
        <v>178</v>
      </c>
      <c r="O6" s="231" t="s">
        <v>177</v>
      </c>
      <c r="P6" s="231" t="s">
        <v>176</v>
      </c>
      <c r="Q6" s="231" t="s">
        <v>175</v>
      </c>
      <c r="R6" s="231" t="s">
        <v>174</v>
      </c>
      <c r="S6" s="231" t="s">
        <v>173</v>
      </c>
      <c r="T6" s="232" t="s">
        <v>54</v>
      </c>
      <c r="U6" s="113"/>
    </row>
    <row r="7" spans="1:24" ht="27" thickBot="1">
      <c r="A7" s="233"/>
      <c r="B7" s="234" t="s">
        <v>172</v>
      </c>
      <c r="C7" s="235"/>
      <c r="D7" s="235"/>
      <c r="E7" s="235"/>
      <c r="F7" s="235"/>
      <c r="G7" s="235"/>
      <c r="H7" s="235"/>
      <c r="I7" s="235"/>
      <c r="J7" s="235"/>
      <c r="K7" s="235" t="s">
        <v>328</v>
      </c>
      <c r="L7" s="235" t="s">
        <v>329</v>
      </c>
      <c r="M7" s="235" t="s">
        <v>329</v>
      </c>
      <c r="N7" s="235" t="s">
        <v>330</v>
      </c>
      <c r="O7" s="235" t="s">
        <v>62</v>
      </c>
      <c r="P7" s="235" t="s">
        <v>228</v>
      </c>
      <c r="Q7" s="236" t="s">
        <v>1723</v>
      </c>
      <c r="R7" s="236" t="s">
        <v>1723</v>
      </c>
      <c r="S7" s="236" t="s">
        <v>1724</v>
      </c>
      <c r="T7" s="236" t="s">
        <v>165</v>
      </c>
      <c r="U7" s="237"/>
      <c r="V7" s="238"/>
      <c r="W7" s="238"/>
      <c r="X7" s="233"/>
    </row>
    <row r="8" spans="1:24">
      <c r="B8" s="104" t="str">
        <f>SUP_Proc!C37</f>
        <v>SUPELCAMM01</v>
      </c>
      <c r="C8" s="104" t="str">
        <f>SUP_Proc!D37</f>
        <v>Ammonia (liquid) by electrolysis technology - Central</v>
      </c>
      <c r="D8" s="104"/>
      <c r="E8" s="104" t="s">
        <v>1385</v>
      </c>
      <c r="F8" s="104" t="s">
        <v>315</v>
      </c>
      <c r="G8" s="104"/>
      <c r="H8" s="104">
        <v>2020</v>
      </c>
      <c r="I8" s="239" t="s">
        <v>70</v>
      </c>
      <c r="J8" s="104">
        <v>2022</v>
      </c>
      <c r="K8" s="1234">
        <f>ROUND('103 Hydrogen to Ammonia'!C15/'103 Hydrogen to Ammonia'!C12,3)</f>
        <v>0.86899999999999999</v>
      </c>
      <c r="L8" s="103"/>
      <c r="M8" s="103"/>
      <c r="N8" s="240">
        <f>1-SUM('103 Hydrogen to Ammonia'!$C$19:$C$20)</f>
        <v>0.92</v>
      </c>
      <c r="O8" s="1236">
        <f>'103 Hydrogen to Ammonia'!C22</f>
        <v>30</v>
      </c>
      <c r="P8" s="1070">
        <v>3.1536000000000002E-2</v>
      </c>
      <c r="Q8" s="240">
        <f>'103 Hydrogen to Ammonia'!$C$25*7.45*'103 Hydrogen to Ammonia'!$C$32</f>
        <v>12.88145879248305</v>
      </c>
      <c r="R8" s="240">
        <f>'103 Hydrogen to Ammonia'!$C$28*7.45*'103 Hydrogen to Ammonia'!$C$32/1000</f>
        <v>0.38644376377449158</v>
      </c>
      <c r="S8" s="240">
        <f>ROUND('103 Hydrogen to Ammonia'!$C$29*'103 Hydrogen to Ammonia'!$C$32*7.45/3.6,4)</f>
        <v>4.5100000000000001E-2</v>
      </c>
      <c r="T8" s="104">
        <f>'103 Hydrogen to Ammonia'!$C$23</f>
        <v>2</v>
      </c>
      <c r="U8" s="104" t="s">
        <v>1722</v>
      </c>
    </row>
    <row r="9" spans="1:24">
      <c r="B9" s="69"/>
      <c r="C9" s="1232"/>
      <c r="D9" s="69" t="s">
        <v>71</v>
      </c>
      <c r="E9" s="1006"/>
      <c r="F9" s="1006"/>
      <c r="G9" s="1006" t="s">
        <v>216</v>
      </c>
      <c r="H9" s="1006"/>
      <c r="I9" s="1066"/>
      <c r="J9" s="1006"/>
      <c r="K9" s="1070"/>
      <c r="L9" s="1070">
        <f>ROUND('103 Hydrogen to Ammonia'!C13/'103 Hydrogen to Ammonia'!C15*'103 Hydrogen to Ammonia'!$C$32,3)</f>
        <v>7.0000000000000007E-2</v>
      </c>
      <c r="M9" s="1070">
        <f>ROUND(SUM('103 Hydrogen to Ammonia'!C16:C17)/'103 Hydrogen to Ammonia'!C15,3)</f>
        <v>0.17699999999999999</v>
      </c>
      <c r="N9" s="1067"/>
      <c r="O9" s="1069"/>
      <c r="P9" s="1070"/>
      <c r="Q9" s="1067"/>
      <c r="R9" s="1067"/>
      <c r="S9" s="1067"/>
      <c r="T9" s="1006"/>
      <c r="U9" s="1006"/>
    </row>
    <row r="10" spans="1:24">
      <c r="B10" s="1006"/>
      <c r="C10" s="1006"/>
      <c r="D10" s="1006"/>
      <c r="E10" s="1006" t="s">
        <v>1385</v>
      </c>
      <c r="F10" s="1006" t="s">
        <v>315</v>
      </c>
      <c r="G10" s="1006"/>
      <c r="H10" s="1006">
        <v>2030</v>
      </c>
      <c r="I10" s="1066" t="s">
        <v>70</v>
      </c>
      <c r="J10" s="1006"/>
      <c r="K10" s="1235">
        <f>K8</f>
        <v>0.86899999999999999</v>
      </c>
      <c r="L10" s="1070"/>
      <c r="M10" s="1070"/>
      <c r="N10" s="1067">
        <f>1-SUM('103 Hydrogen to Ammonia'!$D$19:$D$20)</f>
        <v>0.94</v>
      </c>
      <c r="O10" s="1069">
        <f>O8</f>
        <v>30</v>
      </c>
      <c r="P10" s="1070">
        <v>3.1536000000000002E-2</v>
      </c>
      <c r="Q10" s="1067">
        <f>'103 Hydrogen to Ammonia'!$D$25*7.45*'103 Hydrogen to Ammonia'!$D$32</f>
        <v>10.535771663599121</v>
      </c>
      <c r="R10" s="1067">
        <f>'103 Hydrogen to Ammonia'!$D$28*7.45*'103 Hydrogen to Ammonia'!$D$32/1000</f>
        <v>0.31607314990797358</v>
      </c>
      <c r="S10" s="1067">
        <f>ROUND('103 Hydrogen to Ammonia'!$D$29*'103 Hydrogen to Ammonia'!$D$32*7.45/3.6,4)</f>
        <v>4.5100000000000001E-2</v>
      </c>
      <c r="T10" s="1006">
        <f>'103 Hydrogen to Ammonia'!$C$23</f>
        <v>2</v>
      </c>
      <c r="U10" s="1006" t="s">
        <v>1722</v>
      </c>
    </row>
    <row r="11" spans="1:24">
      <c r="B11" s="69"/>
      <c r="C11" s="1232"/>
      <c r="D11" s="1232" t="s">
        <v>71</v>
      </c>
      <c r="E11" s="1006"/>
      <c r="F11" s="1006"/>
      <c r="G11" s="1006" t="s">
        <v>216</v>
      </c>
      <c r="H11" s="1006"/>
      <c r="I11" s="1066"/>
      <c r="J11" s="1006"/>
      <c r="K11" s="1235"/>
      <c r="L11" s="1235">
        <f>L9</f>
        <v>7.0000000000000007E-2</v>
      </c>
      <c r="M11" s="1235">
        <f>M9</f>
        <v>0.17699999999999999</v>
      </c>
      <c r="N11" s="1067"/>
      <c r="O11" s="1069"/>
      <c r="P11" s="1070"/>
      <c r="Q11" s="1067"/>
      <c r="R11" s="1067"/>
      <c r="S11" s="1067"/>
      <c r="T11" s="1006"/>
      <c r="U11" s="1006"/>
    </row>
    <row r="12" spans="1:24">
      <c r="B12" s="69"/>
      <c r="C12" s="1232"/>
      <c r="D12" s="69"/>
      <c r="E12" s="1006" t="str">
        <f>E10</f>
        <v>H2</v>
      </c>
      <c r="F12" s="1006" t="str">
        <f>F10</f>
        <v>AMM</v>
      </c>
      <c r="G12" s="1006"/>
      <c r="H12" s="1006">
        <v>2040</v>
      </c>
      <c r="I12" s="1006" t="str">
        <f>I10</f>
        <v>MKr15</v>
      </c>
      <c r="J12" s="1006"/>
      <c r="K12" s="1235">
        <f>K10</f>
        <v>0.86899999999999999</v>
      </c>
      <c r="L12" s="1070"/>
      <c r="M12" s="1070"/>
      <c r="N12" s="1067">
        <f>1-SUM('103 Hydrogen to Ammonia'!$E$19:$E$20)</f>
        <v>0.94</v>
      </c>
      <c r="O12" s="1069">
        <f>O10</f>
        <v>30</v>
      </c>
      <c r="P12" s="1070">
        <v>3.1536000000000002E-2</v>
      </c>
      <c r="Q12" s="1067">
        <f>'103 Hydrogen to Ammonia'!$E$25*7.45*'103 Hydrogen to Ammonia'!$E$32</f>
        <v>8.6172293321524602</v>
      </c>
      <c r="R12" s="1067">
        <f>'103 Hydrogen to Ammonia'!$E$28*7.45*'103 Hydrogen to Ammonia'!$E$32/1000</f>
        <v>0.25851687996457384</v>
      </c>
      <c r="S12" s="1067">
        <f>ROUND('103 Hydrogen to Ammonia'!$E$29*'103 Hydrogen to Ammonia'!$E$32*7.45/3.6,4)</f>
        <v>4.5100000000000001E-2</v>
      </c>
      <c r="T12" s="1006">
        <f>T10</f>
        <v>2</v>
      </c>
      <c r="U12" s="1006" t="s">
        <v>1722</v>
      </c>
    </row>
    <row r="13" spans="1:24">
      <c r="B13" s="69"/>
      <c r="C13" s="1232"/>
      <c r="D13" s="1232" t="s">
        <v>71</v>
      </c>
      <c r="E13" s="1006"/>
      <c r="F13" s="1006"/>
      <c r="G13" s="1006" t="s">
        <v>216</v>
      </c>
      <c r="H13" s="1006"/>
      <c r="I13" s="1006"/>
      <c r="J13" s="1006"/>
      <c r="K13" s="1235"/>
      <c r="L13" s="1235">
        <f>L11</f>
        <v>7.0000000000000007E-2</v>
      </c>
      <c r="M13" s="1235">
        <f>M11</f>
        <v>0.17699999999999999</v>
      </c>
      <c r="N13" s="1067"/>
      <c r="O13" s="1069"/>
      <c r="P13" s="1070"/>
      <c r="Q13" s="1067"/>
      <c r="R13" s="1067"/>
      <c r="S13" s="1067"/>
      <c r="T13" s="1006"/>
      <c r="U13" s="1006"/>
    </row>
    <row r="14" spans="1:24">
      <c r="B14" s="69"/>
      <c r="C14" s="1232"/>
      <c r="D14" s="69"/>
      <c r="E14" s="1006" t="str">
        <f>E12</f>
        <v>H2</v>
      </c>
      <c r="F14" s="1006" t="str">
        <f>F12</f>
        <v>AMM</v>
      </c>
      <c r="G14" s="1006"/>
      <c r="H14" s="1006">
        <v>2050</v>
      </c>
      <c r="I14" s="1006" t="str">
        <f>I12</f>
        <v>MKr15</v>
      </c>
      <c r="J14" s="1006"/>
      <c r="K14" s="1235">
        <f>K12</f>
        <v>0.86899999999999999</v>
      </c>
      <c r="L14" s="1070"/>
      <c r="M14" s="1070"/>
      <c r="N14" s="1067">
        <f>1-SUM('103 Hydrogen to Ammonia'!$F$19:$F$20)</f>
        <v>0.95</v>
      </c>
      <c r="O14" s="1069">
        <f>O12</f>
        <v>30</v>
      </c>
      <c r="P14" s="1070">
        <v>3.1536000000000002E-2</v>
      </c>
      <c r="Q14" s="1067">
        <f>'103 Hydrogen to Ammonia'!$F$25*7.45*'103 Hydrogen to Ammonia'!$F$32</f>
        <v>6.6064027841405961</v>
      </c>
      <c r="R14" s="1067">
        <f>'103 Hydrogen to Ammonia'!$F$28*7.45*'103 Hydrogen to Ammonia'!$F$32/1000</f>
        <v>0.19819208352421788</v>
      </c>
      <c r="S14" s="1067">
        <f>ROUND('103 Hydrogen to Ammonia'!$F$29*'103 Hydrogen to Ammonia'!$F$32*7.45/3.6,4)</f>
        <v>4.5100000000000001E-2</v>
      </c>
      <c r="T14" s="1006">
        <f>T12</f>
        <v>2</v>
      </c>
      <c r="U14" s="1006" t="s">
        <v>1722</v>
      </c>
    </row>
    <row r="15" spans="1:24" ht="15" thickBot="1">
      <c r="B15" s="69"/>
      <c r="C15" s="1232"/>
      <c r="D15" s="1232" t="s">
        <v>71</v>
      </c>
      <c r="E15" s="1006"/>
      <c r="F15" s="1006"/>
      <c r="G15" s="1006" t="s">
        <v>216</v>
      </c>
      <c r="H15" s="1006"/>
      <c r="I15" s="1006"/>
      <c r="J15" s="1006"/>
      <c r="K15" s="1235"/>
      <c r="L15" s="1235">
        <f>L13</f>
        <v>7.0000000000000007E-2</v>
      </c>
      <c r="M15" s="1235">
        <f>M13</f>
        <v>0.17699999999999999</v>
      </c>
      <c r="N15" s="1067"/>
      <c r="O15" s="1070"/>
      <c r="P15" s="1070"/>
      <c r="Q15" s="1067"/>
      <c r="R15" s="1067"/>
      <c r="S15" s="1067"/>
      <c r="T15" s="1006"/>
      <c r="U15" s="1006"/>
    </row>
    <row r="16" spans="1:24">
      <c r="B16" s="104" t="str">
        <f>SUP_Proc!C38</f>
        <v>SUPELCAMM02</v>
      </c>
      <c r="C16" s="104" t="str">
        <f>SUP_Proc!D38</f>
        <v>Ammonia (liquid) by electrolysis technology - Decentral</v>
      </c>
      <c r="D16" s="104"/>
      <c r="E16" s="104" t="s">
        <v>1385</v>
      </c>
      <c r="F16" s="104" t="s">
        <v>315</v>
      </c>
      <c r="G16" s="104"/>
      <c r="H16" s="104">
        <v>2020</v>
      </c>
      <c r="I16" s="239" t="s">
        <v>70</v>
      </c>
      <c r="J16" s="104">
        <v>2022</v>
      </c>
      <c r="K16" s="1234">
        <f>K8</f>
        <v>0.86899999999999999</v>
      </c>
      <c r="L16" s="103"/>
      <c r="M16" s="103"/>
      <c r="N16" s="1234">
        <f>N8</f>
        <v>0.92</v>
      </c>
      <c r="O16" s="1236">
        <f>O8</f>
        <v>30</v>
      </c>
      <c r="P16" s="1234">
        <f>P8</f>
        <v>3.1536000000000002E-2</v>
      </c>
      <c r="Q16" s="240">
        <f>Q8</f>
        <v>12.88145879248305</v>
      </c>
      <c r="R16" s="240">
        <f>'103 Hydrogen to Ammonia'!$C$28*7.45*'103 Hydrogen to Ammonia'!$C$32/1000</f>
        <v>0.38644376377449158</v>
      </c>
      <c r="S16" s="240">
        <f>ROUND('103 Hydrogen to Ammonia'!$C$29*'103 Hydrogen to Ammonia'!$C$32*7.45/3.6,4)</f>
        <v>4.5100000000000001E-2</v>
      </c>
      <c r="T16" s="104">
        <f>'103 Hydrogen to Ammonia'!$C$23</f>
        <v>2</v>
      </c>
      <c r="U16" s="104" t="s">
        <v>1722</v>
      </c>
    </row>
    <row r="17" spans="2:21">
      <c r="B17" s="1232"/>
      <c r="C17" s="1232"/>
      <c r="D17" s="1232" t="s">
        <v>71</v>
      </c>
      <c r="E17" s="1006"/>
      <c r="F17" s="1006"/>
      <c r="G17" s="1006" t="s">
        <v>259</v>
      </c>
      <c r="H17" s="1006"/>
      <c r="I17" s="1066"/>
      <c r="J17" s="1006"/>
      <c r="K17" s="1070"/>
      <c r="L17" s="1070">
        <f>L9</f>
        <v>7.0000000000000007E-2</v>
      </c>
      <c r="M17" s="1070">
        <f>M9</f>
        <v>0.17699999999999999</v>
      </c>
      <c r="N17" s="1067"/>
      <c r="O17" s="1069"/>
      <c r="P17" s="1006"/>
      <c r="Q17" s="1067"/>
      <c r="R17" s="1067"/>
      <c r="S17" s="1067"/>
      <c r="T17" s="1006"/>
      <c r="U17" s="1006"/>
    </row>
    <row r="18" spans="2:21">
      <c r="B18" s="1006"/>
      <c r="C18" s="1006"/>
      <c r="D18" s="1006"/>
      <c r="E18" s="1006" t="s">
        <v>1385</v>
      </c>
      <c r="F18" s="1006" t="s">
        <v>315</v>
      </c>
      <c r="G18" s="1006"/>
      <c r="H18" s="1006">
        <v>2030</v>
      </c>
      <c r="I18" s="1066" t="s">
        <v>70</v>
      </c>
      <c r="J18" s="1006"/>
      <c r="K18" s="1235">
        <f>K16</f>
        <v>0.86899999999999999</v>
      </c>
      <c r="L18" s="1070"/>
      <c r="M18" s="1070"/>
      <c r="N18" s="1070">
        <f>N10</f>
        <v>0.94</v>
      </c>
      <c r="O18" s="1069">
        <f>O16</f>
        <v>30</v>
      </c>
      <c r="P18" s="1070">
        <f>P10</f>
        <v>3.1536000000000002E-2</v>
      </c>
      <c r="Q18" s="1067">
        <f>'103 Hydrogen to Ammonia'!$D$25*7.45*'103 Hydrogen to Ammonia'!$D$32</f>
        <v>10.535771663599121</v>
      </c>
      <c r="R18" s="1067">
        <f>'103 Hydrogen to Ammonia'!$D$28*7.45*'103 Hydrogen to Ammonia'!$D$32/1000</f>
        <v>0.31607314990797358</v>
      </c>
      <c r="S18" s="1067">
        <f>ROUND('103 Hydrogen to Ammonia'!$D$29*'103 Hydrogen to Ammonia'!$D$32*7.45/3.6,4)</f>
        <v>4.5100000000000001E-2</v>
      </c>
      <c r="T18" s="1006">
        <f>'103 Hydrogen to Ammonia'!$C$23</f>
        <v>2</v>
      </c>
      <c r="U18" s="1006" t="s">
        <v>1722</v>
      </c>
    </row>
    <row r="19" spans="2:21">
      <c r="B19" s="1232"/>
      <c r="C19" s="1232"/>
      <c r="D19" s="1232" t="s">
        <v>71</v>
      </c>
      <c r="E19" s="1006"/>
      <c r="F19" s="1006"/>
      <c r="G19" s="1006" t="s">
        <v>259</v>
      </c>
      <c r="H19" s="1006"/>
      <c r="I19" s="1066"/>
      <c r="J19" s="1006"/>
      <c r="K19" s="1235"/>
      <c r="L19" s="1235">
        <f>L17</f>
        <v>7.0000000000000007E-2</v>
      </c>
      <c r="M19" s="1235">
        <f>M17</f>
        <v>0.17699999999999999</v>
      </c>
      <c r="N19" s="1067"/>
      <c r="O19" s="1069"/>
      <c r="P19" s="1006"/>
      <c r="Q19" s="1067"/>
      <c r="R19" s="1067"/>
      <c r="S19" s="1067"/>
      <c r="T19" s="1006"/>
      <c r="U19" s="1006"/>
    </row>
    <row r="20" spans="2:21">
      <c r="B20" s="1232"/>
      <c r="C20" s="1232"/>
      <c r="D20" s="1232"/>
      <c r="E20" s="1006" t="str">
        <f>E18</f>
        <v>H2</v>
      </c>
      <c r="F20" s="1006" t="str">
        <f>F18</f>
        <v>AMM</v>
      </c>
      <c r="G20" s="1006"/>
      <c r="H20" s="1006">
        <v>2040</v>
      </c>
      <c r="I20" s="1006" t="str">
        <f>I18</f>
        <v>MKr15</v>
      </c>
      <c r="J20" s="1006"/>
      <c r="K20" s="1235">
        <f>K18</f>
        <v>0.86899999999999999</v>
      </c>
      <c r="L20" s="1070"/>
      <c r="M20" s="1070"/>
      <c r="N20" s="1070">
        <f>N12</f>
        <v>0.94</v>
      </c>
      <c r="O20" s="1069">
        <f>O18</f>
        <v>30</v>
      </c>
      <c r="P20" s="1070">
        <f>P12</f>
        <v>3.1536000000000002E-2</v>
      </c>
      <c r="Q20" s="1067">
        <f>'103 Hydrogen to Ammonia'!$E$25*7.45*'103 Hydrogen to Ammonia'!$E$32</f>
        <v>8.6172293321524602</v>
      </c>
      <c r="R20" s="1067">
        <f>'103 Hydrogen to Ammonia'!$E$28*7.45*'103 Hydrogen to Ammonia'!$E$32/1000</f>
        <v>0.25851687996457384</v>
      </c>
      <c r="S20" s="1067">
        <f>ROUND('103 Hydrogen to Ammonia'!$E$29*'103 Hydrogen to Ammonia'!$E$32*7.45/3.6,4)</f>
        <v>4.5100000000000001E-2</v>
      </c>
      <c r="T20" s="1006">
        <f>T18</f>
        <v>2</v>
      </c>
      <c r="U20" s="1006" t="s">
        <v>1722</v>
      </c>
    </row>
    <row r="21" spans="2:21">
      <c r="B21" s="1232"/>
      <c r="C21" s="1232"/>
      <c r="D21" s="1232" t="s">
        <v>71</v>
      </c>
      <c r="E21" s="1006"/>
      <c r="F21" s="1006"/>
      <c r="G21" s="1006" t="s">
        <v>259</v>
      </c>
      <c r="H21" s="1006"/>
      <c r="I21" s="1006"/>
      <c r="J21" s="1006"/>
      <c r="K21" s="1235"/>
      <c r="L21" s="1235">
        <f>L19</f>
        <v>7.0000000000000007E-2</v>
      </c>
      <c r="M21" s="1235">
        <f>M19</f>
        <v>0.17699999999999999</v>
      </c>
      <c r="N21" s="1067"/>
      <c r="O21" s="1069"/>
      <c r="P21" s="1006"/>
      <c r="Q21" s="1067"/>
      <c r="R21" s="1067"/>
      <c r="S21" s="1067"/>
      <c r="T21" s="1006"/>
      <c r="U21" s="1006"/>
    </row>
    <row r="22" spans="2:21">
      <c r="B22" s="1232"/>
      <c r="C22" s="1232"/>
      <c r="D22" s="1232"/>
      <c r="E22" s="1006" t="str">
        <f>E20</f>
        <v>H2</v>
      </c>
      <c r="F22" s="1006" t="str">
        <f>F20</f>
        <v>AMM</v>
      </c>
      <c r="G22" s="1006"/>
      <c r="H22" s="1006">
        <v>2050</v>
      </c>
      <c r="I22" s="1006" t="str">
        <f>I20</f>
        <v>MKr15</v>
      </c>
      <c r="J22" s="1006"/>
      <c r="K22" s="1235">
        <f>K20</f>
        <v>0.86899999999999999</v>
      </c>
      <c r="L22" s="1070"/>
      <c r="M22" s="1070"/>
      <c r="N22" s="1070">
        <f>N14</f>
        <v>0.95</v>
      </c>
      <c r="O22" s="1069">
        <f>O20</f>
        <v>30</v>
      </c>
      <c r="P22" s="1070">
        <f>P14</f>
        <v>3.1536000000000002E-2</v>
      </c>
      <c r="Q22" s="1067">
        <f>'103 Hydrogen to Ammonia'!$F$25*7.45*'103 Hydrogen to Ammonia'!$F$32</f>
        <v>6.6064027841405961</v>
      </c>
      <c r="R22" s="1067">
        <f>'103 Hydrogen to Ammonia'!$F$28*7.45*'103 Hydrogen to Ammonia'!$F$32/1000</f>
        <v>0.19819208352421788</v>
      </c>
      <c r="S22" s="1067">
        <f>ROUND('103 Hydrogen to Ammonia'!$F$29*'103 Hydrogen to Ammonia'!$F$32*7.45/3.6,4)</f>
        <v>4.5100000000000001E-2</v>
      </c>
      <c r="T22" s="1006">
        <f>T20</f>
        <v>2</v>
      </c>
      <c r="U22" s="1006" t="s">
        <v>1722</v>
      </c>
    </row>
    <row r="23" spans="2:21" ht="15" thickBot="1">
      <c r="B23" s="1232"/>
      <c r="C23" s="1232"/>
      <c r="D23" s="1232" t="s">
        <v>71</v>
      </c>
      <c r="E23" s="1006"/>
      <c r="F23" s="1006"/>
      <c r="G23" s="1006" t="s">
        <v>259</v>
      </c>
      <c r="H23" s="1006"/>
      <c r="I23" s="1006"/>
      <c r="J23" s="1006"/>
      <c r="K23" s="1235"/>
      <c r="L23" s="1235">
        <f>L21</f>
        <v>7.0000000000000007E-2</v>
      </c>
      <c r="M23" s="1235">
        <f>M21</f>
        <v>0.17699999999999999</v>
      </c>
      <c r="N23" s="1067"/>
      <c r="O23" s="1070"/>
      <c r="P23" s="1006"/>
      <c r="Q23" s="1067"/>
      <c r="R23" s="1067"/>
      <c r="S23" s="1067"/>
      <c r="T23" s="1006"/>
      <c r="U23" s="1006"/>
    </row>
    <row r="24" spans="2:21">
      <c r="B24" s="104" t="str">
        <f>SUP_Proc!C39</f>
        <v>SUPELCAMM03</v>
      </c>
      <c r="C24" s="104" t="str">
        <f>SUP_Proc!D39</f>
        <v>Ammonia (liquid) by electrolysis technology - Rural</v>
      </c>
      <c r="D24" s="104"/>
      <c r="E24" s="104" t="s">
        <v>1385</v>
      </c>
      <c r="F24" s="104" t="s">
        <v>315</v>
      </c>
      <c r="G24" s="104"/>
      <c r="H24" s="104">
        <v>2020</v>
      </c>
      <c r="I24" s="239" t="s">
        <v>70</v>
      </c>
      <c r="J24" s="104">
        <v>2022</v>
      </c>
      <c r="K24" s="1234">
        <f>K16</f>
        <v>0.86899999999999999</v>
      </c>
      <c r="L24" s="103"/>
      <c r="M24" s="103"/>
      <c r="N24" s="1234">
        <f>N16</f>
        <v>0.92</v>
      </c>
      <c r="O24" s="1236">
        <f>O16</f>
        <v>30</v>
      </c>
      <c r="P24" s="1234">
        <f>P16</f>
        <v>3.1536000000000002E-2</v>
      </c>
      <c r="Q24" s="240">
        <f>'103 Hydrogen to Ammonia'!$C$25*7.45*'103 Hydrogen to Ammonia'!$C$32</f>
        <v>12.88145879248305</v>
      </c>
      <c r="R24" s="240">
        <f>'103 Hydrogen to Ammonia'!$C$28*7.45*'103 Hydrogen to Ammonia'!$C$32/1000</f>
        <v>0.38644376377449158</v>
      </c>
      <c r="S24" s="240">
        <f>ROUND('103 Hydrogen to Ammonia'!$C$29*'103 Hydrogen to Ammonia'!$C$32*7.45/3.6,4)</f>
        <v>4.5100000000000001E-2</v>
      </c>
      <c r="T24" s="104">
        <f>'103 Hydrogen to Ammonia'!$C$23</f>
        <v>2</v>
      </c>
      <c r="U24" s="104" t="s">
        <v>1722</v>
      </c>
    </row>
    <row r="25" spans="2:21">
      <c r="B25" s="1232"/>
      <c r="C25" s="1232"/>
      <c r="D25" s="1232" t="s">
        <v>71</v>
      </c>
      <c r="E25" s="1006"/>
      <c r="F25" s="1006"/>
      <c r="G25" s="1006"/>
      <c r="H25" s="1006"/>
      <c r="I25" s="1066"/>
      <c r="J25" s="1006"/>
      <c r="K25" s="1070"/>
      <c r="L25" s="1070">
        <f>L17</f>
        <v>7.0000000000000007E-2</v>
      </c>
      <c r="M25" s="1070"/>
      <c r="N25" s="1067"/>
      <c r="O25" s="1069"/>
      <c r="P25" s="1006"/>
      <c r="Q25" s="1067"/>
      <c r="R25" s="1067"/>
      <c r="S25" s="1067"/>
      <c r="T25" s="1006"/>
      <c r="U25" s="1006"/>
    </row>
    <row r="26" spans="2:21">
      <c r="B26" s="1006"/>
      <c r="C26" s="1006"/>
      <c r="D26" s="1006"/>
      <c r="E26" s="1006" t="s">
        <v>1385</v>
      </c>
      <c r="F26" s="1006" t="s">
        <v>315</v>
      </c>
      <c r="G26" s="1006"/>
      <c r="H26" s="1006">
        <v>2030</v>
      </c>
      <c r="I26" s="1066" t="s">
        <v>70</v>
      </c>
      <c r="J26" s="1006"/>
      <c r="K26" s="1235">
        <f>K24</f>
        <v>0.86899999999999999</v>
      </c>
      <c r="L26" s="1070"/>
      <c r="M26" s="1070"/>
      <c r="N26" s="1070">
        <f>N18</f>
        <v>0.94</v>
      </c>
      <c r="O26" s="1069">
        <f>O24</f>
        <v>30</v>
      </c>
      <c r="P26" s="1070">
        <f>P18</f>
        <v>3.1536000000000002E-2</v>
      </c>
      <c r="Q26" s="1067">
        <f>'103 Hydrogen to Ammonia'!$D$25*7.45*'103 Hydrogen to Ammonia'!$D$32</f>
        <v>10.535771663599121</v>
      </c>
      <c r="R26" s="1067">
        <f>'103 Hydrogen to Ammonia'!$D$28*7.45*'103 Hydrogen to Ammonia'!$D$32/1000</f>
        <v>0.31607314990797358</v>
      </c>
      <c r="S26" s="1067">
        <f>ROUND('103 Hydrogen to Ammonia'!$D$29*'103 Hydrogen to Ammonia'!$D$32*7.45/3.6,4)</f>
        <v>4.5100000000000001E-2</v>
      </c>
      <c r="T26" s="1006">
        <f>'103 Hydrogen to Ammonia'!$C$23</f>
        <v>2</v>
      </c>
      <c r="U26" s="1006" t="s">
        <v>1722</v>
      </c>
    </row>
    <row r="27" spans="2:21">
      <c r="B27" s="1232"/>
      <c r="C27" s="1232"/>
      <c r="D27" s="1232" t="s">
        <v>71</v>
      </c>
      <c r="E27" s="1006"/>
      <c r="F27" s="1006"/>
      <c r="G27" s="1006"/>
      <c r="H27" s="1006"/>
      <c r="I27" s="1066"/>
      <c r="J27" s="1006"/>
      <c r="K27" s="1235"/>
      <c r="L27" s="1235">
        <f>L25</f>
        <v>7.0000000000000007E-2</v>
      </c>
      <c r="M27" s="1235"/>
      <c r="N27" s="1067"/>
      <c r="O27" s="1069"/>
      <c r="P27" s="1006"/>
      <c r="Q27" s="1067"/>
      <c r="R27" s="1067"/>
      <c r="S27" s="1067"/>
      <c r="T27" s="1006"/>
      <c r="U27" s="1006"/>
    </row>
    <row r="28" spans="2:21">
      <c r="B28" s="1232"/>
      <c r="C28" s="1232"/>
      <c r="D28" s="1232"/>
      <c r="E28" s="1006" t="str">
        <f>E26</f>
        <v>H2</v>
      </c>
      <c r="F28" s="1006" t="str">
        <f>F26</f>
        <v>AMM</v>
      </c>
      <c r="G28" s="1006"/>
      <c r="H28" s="1006">
        <v>2040</v>
      </c>
      <c r="I28" s="1006" t="str">
        <f>I26</f>
        <v>MKr15</v>
      </c>
      <c r="J28" s="1006"/>
      <c r="K28" s="1235">
        <f>K26</f>
        <v>0.86899999999999999</v>
      </c>
      <c r="L28" s="1070"/>
      <c r="M28" s="1070"/>
      <c r="N28" s="1070">
        <f>N20</f>
        <v>0.94</v>
      </c>
      <c r="O28" s="1069">
        <f>O26</f>
        <v>30</v>
      </c>
      <c r="P28" s="1070">
        <f>P20</f>
        <v>3.1536000000000002E-2</v>
      </c>
      <c r="Q28" s="1067">
        <f>'103 Hydrogen to Ammonia'!$E$25*7.45*'103 Hydrogen to Ammonia'!$E$32</f>
        <v>8.6172293321524602</v>
      </c>
      <c r="R28" s="1067">
        <f>'103 Hydrogen to Ammonia'!$E$28*7.45*'103 Hydrogen to Ammonia'!$E$32/1000</f>
        <v>0.25851687996457384</v>
      </c>
      <c r="S28" s="1067">
        <f>ROUND('103 Hydrogen to Ammonia'!$E$29*'103 Hydrogen to Ammonia'!$E$32*7.45/3.6,4)</f>
        <v>4.5100000000000001E-2</v>
      </c>
      <c r="T28" s="1006">
        <f>T26</f>
        <v>2</v>
      </c>
      <c r="U28" s="1006" t="s">
        <v>1722</v>
      </c>
    </row>
    <row r="29" spans="2:21">
      <c r="B29" s="1232"/>
      <c r="C29" s="1232"/>
      <c r="D29" s="1232" t="s">
        <v>71</v>
      </c>
      <c r="E29" s="1006"/>
      <c r="F29" s="1006"/>
      <c r="G29" s="1006"/>
      <c r="H29" s="1006"/>
      <c r="I29" s="1006"/>
      <c r="J29" s="1006"/>
      <c r="K29" s="1235"/>
      <c r="L29" s="1235">
        <f>L27</f>
        <v>7.0000000000000007E-2</v>
      </c>
      <c r="M29" s="1235"/>
      <c r="N29" s="1067"/>
      <c r="O29" s="1069"/>
      <c r="P29" s="1006"/>
      <c r="Q29" s="1067"/>
      <c r="R29" s="1067"/>
      <c r="S29" s="1067"/>
      <c r="T29" s="1006"/>
      <c r="U29" s="1006"/>
    </row>
    <row r="30" spans="2:21">
      <c r="B30" s="1232"/>
      <c r="C30" s="1232"/>
      <c r="D30" s="1232"/>
      <c r="E30" s="1006" t="str">
        <f>E28</f>
        <v>H2</v>
      </c>
      <c r="F30" s="1006" t="str">
        <f>F28</f>
        <v>AMM</v>
      </c>
      <c r="G30" s="1006"/>
      <c r="H30" s="1006">
        <v>2050</v>
      </c>
      <c r="I30" s="1006" t="str">
        <f>I28</f>
        <v>MKr15</v>
      </c>
      <c r="J30" s="1006"/>
      <c r="K30" s="1235">
        <f>K28</f>
        <v>0.86899999999999999</v>
      </c>
      <c r="L30" s="1070"/>
      <c r="M30" s="1070"/>
      <c r="N30" s="1070">
        <f>N22</f>
        <v>0.95</v>
      </c>
      <c r="O30" s="1069">
        <f>O28</f>
        <v>30</v>
      </c>
      <c r="P30" s="1070">
        <f>P22</f>
        <v>3.1536000000000002E-2</v>
      </c>
      <c r="Q30" s="1067">
        <f>'103 Hydrogen to Ammonia'!$F$25*7.45*'103 Hydrogen to Ammonia'!$F$32</f>
        <v>6.6064027841405961</v>
      </c>
      <c r="R30" s="1067">
        <f>'103 Hydrogen to Ammonia'!$F$28*7.45*'103 Hydrogen to Ammonia'!$F$32/1000</f>
        <v>0.19819208352421788</v>
      </c>
      <c r="S30" s="1067">
        <f>ROUND('103 Hydrogen to Ammonia'!$F$29*'103 Hydrogen to Ammonia'!$F$32*7.45/3.6,4)</f>
        <v>4.5100000000000001E-2</v>
      </c>
      <c r="T30" s="1006">
        <f>T28</f>
        <v>2</v>
      </c>
      <c r="U30" s="1006" t="s">
        <v>1722</v>
      </c>
    </row>
    <row r="31" spans="2:21">
      <c r="B31" s="1232"/>
      <c r="C31" s="1232"/>
      <c r="D31" s="1232" t="s">
        <v>71</v>
      </c>
      <c r="E31" s="1006"/>
      <c r="F31" s="1006"/>
      <c r="G31" s="1006"/>
      <c r="H31" s="1006"/>
      <c r="I31" s="1006"/>
      <c r="J31" s="1006"/>
      <c r="K31" s="1235"/>
      <c r="L31" s="1235">
        <f>L29</f>
        <v>7.0000000000000007E-2</v>
      </c>
      <c r="M31" s="1235"/>
      <c r="N31" s="1067"/>
      <c r="O31" s="1070"/>
      <c r="P31" s="1006"/>
      <c r="Q31" s="1006"/>
      <c r="R31" s="1006"/>
      <c r="S31" s="1006"/>
      <c r="T31" s="1006"/>
      <c r="U31" s="1006"/>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395"/>
  <sheetViews>
    <sheetView topLeftCell="N2" zoomScale="85" zoomScaleNormal="85" workbookViewId="0">
      <selection activeCell="T7" sqref="T7"/>
    </sheetView>
  </sheetViews>
  <sheetFormatPr defaultRowHeight="14.4"/>
  <cols>
    <col min="3" max="3" width="16.109375" bestFit="1" customWidth="1"/>
    <col min="4" max="4" width="43.5546875" bestFit="1" customWidth="1"/>
    <col min="5" max="5" width="15.88671875" bestFit="1" customWidth="1"/>
    <col min="6" max="6" width="11.109375" bestFit="1" customWidth="1"/>
    <col min="7" max="7" width="13.1093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ht="25.8">
      <c r="A2" s="1057"/>
      <c r="C2" s="1057" t="s">
        <v>1758</v>
      </c>
      <c r="N2" s="6"/>
    </row>
    <row r="3" spans="1:25" ht="25.8">
      <c r="A3" s="1057"/>
      <c r="N3" s="6"/>
    </row>
    <row r="4" spans="1:25">
      <c r="C4" s="7"/>
      <c r="D4" s="7"/>
      <c r="E4" s="7"/>
      <c r="F4" s="7"/>
      <c r="G4" s="8"/>
      <c r="H4" s="7"/>
      <c r="I4" s="9" t="s">
        <v>0</v>
      </c>
      <c r="J4" s="7"/>
      <c r="K4" s="7"/>
      <c r="L4" s="7"/>
      <c r="M4" s="7"/>
      <c r="N4" s="7"/>
      <c r="O4" s="7"/>
      <c r="P4" s="7"/>
      <c r="Q4" s="7"/>
      <c r="R4" s="7"/>
      <c r="S4" s="7"/>
      <c r="T4" s="7"/>
      <c r="U4" s="7"/>
      <c r="V4" s="7"/>
      <c r="W4" s="7"/>
      <c r="X4" s="7"/>
      <c r="Y4" s="8"/>
    </row>
    <row r="5" spans="1:25" ht="43.2">
      <c r="C5" s="10" t="s">
        <v>2</v>
      </c>
      <c r="D5" s="11" t="s">
        <v>31</v>
      </c>
      <c r="E5" s="11" t="s">
        <v>32</v>
      </c>
      <c r="F5" s="11" t="s">
        <v>3</v>
      </c>
      <c r="G5" s="11" t="s">
        <v>33</v>
      </c>
      <c r="H5" s="11" t="s">
        <v>34</v>
      </c>
      <c r="I5" s="11" t="s">
        <v>35</v>
      </c>
      <c r="J5" s="11" t="s">
        <v>4</v>
      </c>
      <c r="K5" s="11" t="s">
        <v>36</v>
      </c>
      <c r="L5" s="11" t="s">
        <v>37</v>
      </c>
      <c r="M5" s="11" t="s">
        <v>5</v>
      </c>
      <c r="N5" s="11" t="s">
        <v>6</v>
      </c>
      <c r="O5" s="11" t="s">
        <v>7</v>
      </c>
      <c r="P5" s="11" t="s">
        <v>8</v>
      </c>
      <c r="Q5" s="11" t="s">
        <v>38</v>
      </c>
      <c r="R5" s="11" t="s">
        <v>9</v>
      </c>
      <c r="S5" s="12" t="s">
        <v>39</v>
      </c>
      <c r="T5" s="12" t="s">
        <v>1775</v>
      </c>
      <c r="U5" s="11" t="s">
        <v>40</v>
      </c>
      <c r="V5" s="11" t="s">
        <v>41</v>
      </c>
      <c r="W5" s="11" t="str">
        <f>"*"&amp;E5</f>
        <v>*Comm-IN</v>
      </c>
      <c r="X5" s="11" t="str">
        <f>"*"&amp;F5</f>
        <v>*Comm-OUT</v>
      </c>
      <c r="Y5" s="11" t="str">
        <f>"*"&amp;G5</f>
        <v>*Comm-OUT-A</v>
      </c>
    </row>
    <row r="6" spans="1:25" ht="57" customHeight="1" thickBot="1">
      <c r="C6" s="13" t="s">
        <v>42</v>
      </c>
      <c r="D6" s="13"/>
      <c r="E6" s="13" t="s">
        <v>43</v>
      </c>
      <c r="F6" s="13" t="s">
        <v>44</v>
      </c>
      <c r="G6" s="13" t="s">
        <v>45</v>
      </c>
      <c r="H6" s="13" t="s">
        <v>46</v>
      </c>
      <c r="I6" s="13"/>
      <c r="J6" s="13"/>
      <c r="K6" s="13" t="s">
        <v>47</v>
      </c>
      <c r="L6" s="13" t="s">
        <v>48</v>
      </c>
      <c r="M6" s="13" t="s">
        <v>49</v>
      </c>
      <c r="N6" s="13" t="s">
        <v>50</v>
      </c>
      <c r="O6" s="13" t="s">
        <v>51</v>
      </c>
      <c r="P6" s="13"/>
      <c r="Q6" s="13" t="s">
        <v>52</v>
      </c>
      <c r="R6" s="13" t="s">
        <v>53</v>
      </c>
      <c r="S6" s="14" t="s">
        <v>54</v>
      </c>
      <c r="T6" s="1075"/>
      <c r="U6" s="13" t="s">
        <v>55</v>
      </c>
      <c r="V6" s="13" t="s">
        <v>56</v>
      </c>
      <c r="W6" s="13"/>
      <c r="X6" s="13"/>
      <c r="Y6" s="13"/>
    </row>
    <row r="7" spans="1:25" ht="56.25" customHeight="1" thickBot="1">
      <c r="C7" s="13" t="s">
        <v>42</v>
      </c>
      <c r="D7" s="13"/>
      <c r="E7" s="13"/>
      <c r="F7" s="13"/>
      <c r="G7" s="13"/>
      <c r="H7" s="13"/>
      <c r="I7" s="13"/>
      <c r="J7" s="13"/>
      <c r="K7" s="13"/>
      <c r="L7" s="13"/>
      <c r="M7" s="13"/>
      <c r="N7" s="13"/>
      <c r="O7" s="13"/>
      <c r="P7" s="13"/>
      <c r="Q7" s="13" t="str">
        <f>'95 Cellulosic ethanol'!C15</f>
        <v>Planned outage (weeks per year)</v>
      </c>
      <c r="R7" s="13"/>
      <c r="S7" s="14"/>
      <c r="T7" s="1075"/>
      <c r="U7" s="13"/>
      <c r="V7" s="13"/>
      <c r="W7" s="13"/>
      <c r="X7" s="13"/>
      <c r="Y7" s="13"/>
    </row>
    <row r="8" spans="1:25" ht="47.25" customHeight="1" thickBot="1">
      <c r="C8" s="13" t="s">
        <v>57</v>
      </c>
      <c r="D8" s="13"/>
      <c r="E8" s="13"/>
      <c r="F8" s="13"/>
      <c r="G8" s="13"/>
      <c r="H8" s="13"/>
      <c r="I8" s="13"/>
      <c r="J8" s="13"/>
      <c r="K8" s="13"/>
      <c r="L8" s="13"/>
      <c r="M8" s="13" t="s">
        <v>58</v>
      </c>
      <c r="N8" s="13" t="str">
        <f>LEFT('95 Cellulosic ethanol'!C19,27)</f>
        <v>Specific investment (M€ /MW</v>
      </c>
      <c r="O8" s="13" t="str">
        <f>LEFT('95 Cellulosic ethanol'!C22,17)</f>
        <v>Fixed O&amp;M (M€ /MW</v>
      </c>
      <c r="P8" s="13" t="str">
        <f>LEFT('95 Cellulosic ethanol'!C23,19)</f>
        <v>Variable O&amp;M (€ /MW</v>
      </c>
      <c r="Q8" s="13" t="s">
        <v>59</v>
      </c>
      <c r="R8" s="13"/>
      <c r="S8" s="13" t="s">
        <v>60</v>
      </c>
      <c r="T8" s="13"/>
      <c r="U8" s="13"/>
      <c r="V8" s="13"/>
      <c r="W8" s="13"/>
      <c r="X8" s="13"/>
      <c r="Y8" s="13"/>
    </row>
    <row r="9" spans="1:25" ht="15" thickBot="1">
      <c r="C9" s="15" t="s">
        <v>42</v>
      </c>
      <c r="D9" s="15"/>
      <c r="E9" s="15"/>
      <c r="F9" s="15"/>
      <c r="G9" s="15"/>
      <c r="H9" s="15"/>
      <c r="I9" s="15"/>
      <c r="J9" s="15"/>
      <c r="K9" s="15" t="s">
        <v>61</v>
      </c>
      <c r="L9" s="15" t="s">
        <v>61</v>
      </c>
      <c r="M9" s="15" t="s">
        <v>62</v>
      </c>
      <c r="N9" s="15" t="s">
        <v>63</v>
      </c>
      <c r="O9" s="15" t="s">
        <v>64</v>
      </c>
      <c r="P9" s="15" t="s">
        <v>65</v>
      </c>
      <c r="Q9" s="15" t="s">
        <v>66</v>
      </c>
      <c r="R9" s="15"/>
      <c r="S9" s="16" t="s">
        <v>67</v>
      </c>
      <c r="T9" s="16"/>
      <c r="U9" s="15"/>
      <c r="V9" s="15"/>
      <c r="W9" s="15"/>
      <c r="X9" s="15"/>
      <c r="Y9" s="15"/>
    </row>
    <row r="10" spans="1:25" ht="15.6">
      <c r="C10" s="54" t="str">
        <f>"SUP"&amp;F10&amp;RIGHT(E10,3)&amp;IF(RIGHT(D10,7)="Central","C3","D3")</f>
        <v>SUPDSB2WCHC3</v>
      </c>
      <c r="D10" s="57" t="str">
        <f>sheet8&amp;" Central"</f>
        <v>Gasifier, biomass, Fischer Tropsch liquid fuels, large scale Central</v>
      </c>
      <c r="E10" s="17" t="s">
        <v>68</v>
      </c>
      <c r="F10" s="17" t="s">
        <v>86</v>
      </c>
      <c r="G10" s="17"/>
      <c r="H10" s="17" t="s">
        <v>70</v>
      </c>
      <c r="I10" s="17">
        <f>'93 1st generation ethanol'!$D$3</f>
        <v>2015</v>
      </c>
      <c r="J10" s="19">
        <v>2025</v>
      </c>
      <c r="K10" s="33">
        <f>1/'85 Gasif Ent Flow FT liq fu'!$D$14</f>
        <v>10.020040080160321</v>
      </c>
      <c r="L10" s="33"/>
      <c r="M10" s="34">
        <f>'85 Gasif Ent Flow FT liq fu'!$D$19</f>
        <v>20</v>
      </c>
      <c r="N10" s="35" cm="1">
        <f t="array" ref="N10">'85 Gasif Ent Flow FT liq fu'!$D$22*(SUM('85 Gasif Ent Flow FT liq fu'!$D$12:$D$14/'85 Gasif Ent Flow FT liq fu'!$D$14))*7.45</f>
        <v>81.467914183345044</v>
      </c>
      <c r="O10" s="35" cm="1">
        <f t="array" ref="O10">'85 Gasif Ent Flow FT liq fu'!$D$25*(SUM('85 Gasif Ent Flow FT liq fu'!$D$12:$D$14/'85 Gasif Ent Flow FT liq fu'!$D$14))*7.45</f>
        <v>1.9552299404002813</v>
      </c>
      <c r="P10" s="35" cm="1">
        <f t="array" ref="P10">'85 Gasif Ent Flow FT liq fu'!$D$26*(SUM('85 Gasif Ent Flow FT liq fu'!$D$12:$D$14/'85 Gasif Ent Flow FT liq fu'!$D$14))*7.454/3.6</f>
        <v>5.5576128644538185</v>
      </c>
      <c r="Q10" s="33">
        <f>1-'85 Gasif Ent Flow FT liq fu'!$D$17/100</f>
        <v>0.96</v>
      </c>
      <c r="R10" s="36">
        <f>$R$39</f>
        <v>3.1536000000000002E-2</v>
      </c>
      <c r="S10" s="34">
        <v>2</v>
      </c>
      <c r="T10" s="34"/>
      <c r="U10" s="37"/>
      <c r="V10" s="38" t="s">
        <v>74</v>
      </c>
      <c r="W10" s="17" t="str">
        <f>'85 Gasif Ent Flow FT liq fu'!B10</f>
        <v>Feedstock Consumption, MWh/MWh Total Input</v>
      </c>
      <c r="X10" s="17" t="str">
        <f>'85 Gasif Ent Flow FT liq fu'!B12</f>
        <v>Naphta Output, MWh/MWh Total Input</v>
      </c>
      <c r="Y10" s="17"/>
    </row>
    <row r="11" spans="1:25">
      <c r="C11" s="43"/>
      <c r="D11" s="43"/>
      <c r="E11" s="43"/>
      <c r="F11" s="43"/>
      <c r="G11" s="43" t="s">
        <v>76</v>
      </c>
      <c r="H11" s="43"/>
      <c r="I11" s="43"/>
      <c r="J11" s="43"/>
      <c r="K11" s="43"/>
      <c r="L11" s="84">
        <f>'85 Gasif Ent Flow FT liq fu'!$D$12/'85 Gasif Ent Flow FT liq fu'!$D$14</f>
        <v>1.3787575150300602</v>
      </c>
      <c r="M11" s="43"/>
      <c r="N11" s="43"/>
      <c r="O11" s="43"/>
      <c r="P11" s="40"/>
      <c r="Q11" s="43"/>
      <c r="R11" s="43"/>
      <c r="S11" s="43"/>
      <c r="T11" s="43"/>
      <c r="U11" s="43"/>
      <c r="V11" s="43"/>
      <c r="W11" s="43"/>
      <c r="X11" s="43"/>
      <c r="Y11" s="43" t="str">
        <f>'85 Gasif Ent Flow FT liq fu'!B13</f>
        <v>Jet Fuel Output, MWh/MWh Total Input</v>
      </c>
    </row>
    <row r="12" spans="1:25">
      <c r="C12" s="43"/>
      <c r="D12" s="43"/>
      <c r="E12" s="43"/>
      <c r="F12" s="43"/>
      <c r="G12" s="43" t="s">
        <v>1759</v>
      </c>
      <c r="H12" s="43"/>
      <c r="I12" s="43"/>
      <c r="J12" s="43"/>
      <c r="K12" s="43"/>
      <c r="L12" s="33">
        <f>'85 Gasif Ent Flow FT liq fu'!$D$13/'85 Gasif Ent Flow FT liq fu'!$D$14</f>
        <v>0.14729458917835672</v>
      </c>
      <c r="M12" s="43"/>
      <c r="N12" s="43"/>
      <c r="O12" s="43"/>
      <c r="P12" s="40"/>
      <c r="Q12" s="43"/>
      <c r="R12" s="43"/>
      <c r="S12" s="43"/>
      <c r="T12" s="43"/>
      <c r="U12" s="43"/>
      <c r="V12" s="43"/>
      <c r="W12" s="43"/>
      <c r="X12" s="43"/>
      <c r="Y12" s="43" t="str">
        <f>'85 Gasif Ent Flow FT liq fu'!B14</f>
        <v>Diesel Output,  MWh/MWh Total Input</v>
      </c>
    </row>
    <row r="13" spans="1:25">
      <c r="C13" s="43"/>
      <c r="D13" s="43"/>
      <c r="E13" s="43"/>
      <c r="F13" s="43"/>
      <c r="G13" s="43" t="s">
        <v>84</v>
      </c>
      <c r="H13" s="43"/>
      <c r="I13" s="43"/>
      <c r="J13" s="43"/>
      <c r="K13" s="43"/>
      <c r="L13" s="33">
        <f>'85 Gasif Ent Flow FT liq fu'!$D$15/'85 Gasif Ent Flow FT liq fu'!$D$14</f>
        <v>0.11723446893787576</v>
      </c>
      <c r="M13" s="43"/>
      <c r="N13" s="43"/>
      <c r="O13" s="43"/>
      <c r="P13" s="40"/>
      <c r="Q13" s="43"/>
      <c r="R13" s="43"/>
      <c r="S13" s="43"/>
      <c r="T13" s="43"/>
      <c r="U13" s="43"/>
      <c r="V13" s="43"/>
      <c r="W13" s="43"/>
      <c r="X13" s="43"/>
      <c r="Y13" s="43" t="str">
        <f>'85 Gasif Ent Flow FT liq fu'!B15</f>
        <v>Electricity Output, MWh/MWh Total Input</v>
      </c>
    </row>
    <row r="14" spans="1:25" ht="15.6">
      <c r="C14" s="17"/>
      <c r="D14" s="32"/>
      <c r="E14" s="17" t="s">
        <v>68</v>
      </c>
      <c r="F14" s="17" t="s">
        <v>86</v>
      </c>
      <c r="G14" s="17"/>
      <c r="H14" s="17" t="s">
        <v>70</v>
      </c>
      <c r="I14" s="17">
        <v>2020</v>
      </c>
      <c r="J14" s="1076"/>
      <c r="K14" s="33">
        <f>1/'85 Gasif Ent Flow FT liq fu'!$E$14</f>
        <v>10.020040080160321</v>
      </c>
      <c r="L14" s="33"/>
      <c r="M14" s="34">
        <f>'85 Gasif Ent Flow FT liq fu'!$E$19</f>
        <v>25</v>
      </c>
      <c r="N14" s="35" cm="1">
        <f t="array" ref="N14">'85 Gasif Ent Flow FT liq fu'!$E$22*(SUM('85 Gasif Ent Flow FT liq fu'!$E$12:$E$14/'85 Gasif Ent Flow FT liq fu'!$E$14))*7.45</f>
        <v>81.467914183345044</v>
      </c>
      <c r="O14" s="35" cm="1">
        <f t="array" ref="O14">'85 Gasif Ent Flow FT liq fu'!$E$25*(SUM('85 Gasif Ent Flow FT liq fu'!$E$12:$E$14/'85 Gasif Ent Flow FT liq fu'!$E$14))*7.45</f>
        <v>1.9552299404002813</v>
      </c>
      <c r="P14" s="35" cm="1">
        <f t="array" ref="P14">'85 Gasif Ent Flow FT liq fu'!$E$26*(SUM('85 Gasif Ent Flow FT liq fu'!$E$12:$E$14/'85 Gasif Ent Flow FT liq fu'!$E$14))*7.454/3.6</f>
        <v>5.5576128644538185</v>
      </c>
      <c r="Q14" s="33">
        <f>1-'85 Gasif Ent Flow FT liq fu'!$E$17/100</f>
        <v>0.96</v>
      </c>
      <c r="R14" s="36">
        <f>$R$39</f>
        <v>3.1536000000000002E-2</v>
      </c>
      <c r="S14" s="34">
        <v>2</v>
      </c>
      <c r="T14" s="34"/>
      <c r="U14" s="44"/>
      <c r="V14" s="45"/>
      <c r="W14" s="17"/>
      <c r="X14" s="17"/>
      <c r="Y14" s="17"/>
    </row>
    <row r="15" spans="1:25">
      <c r="C15" s="17"/>
      <c r="D15" s="17"/>
      <c r="E15" s="43"/>
      <c r="F15" s="43"/>
      <c r="G15" s="43" t="s">
        <v>76</v>
      </c>
      <c r="H15" s="43"/>
      <c r="I15" s="43"/>
      <c r="J15" s="1244"/>
      <c r="K15" s="43"/>
      <c r="L15" s="84">
        <f>'85 Gasif Ent Flow FT liq fu'!$E$12/'85 Gasif Ent Flow FT liq fu'!$E$14</f>
        <v>1.3787575150300602</v>
      </c>
      <c r="M15" s="43"/>
      <c r="N15" s="43"/>
      <c r="O15" s="43"/>
      <c r="P15" s="40"/>
      <c r="Q15" s="43"/>
      <c r="R15" s="43"/>
      <c r="S15" s="43"/>
      <c r="T15" s="39"/>
      <c r="U15" s="43"/>
      <c r="V15" s="43"/>
      <c r="W15" s="17"/>
      <c r="X15" s="17"/>
      <c r="Y15" s="17"/>
    </row>
    <row r="16" spans="1:25">
      <c r="C16" s="43"/>
      <c r="D16" s="43"/>
      <c r="E16" s="43"/>
      <c r="F16" s="43"/>
      <c r="G16" s="43" t="s">
        <v>1759</v>
      </c>
      <c r="H16" s="43"/>
      <c r="I16" s="43"/>
      <c r="J16" s="1244"/>
      <c r="K16" s="43"/>
      <c r="L16" s="33">
        <f>'85 Gasif Ent Flow FT liq fu'!$E$13/'85 Gasif Ent Flow FT liq fu'!$E$14</f>
        <v>0.14729458917835672</v>
      </c>
      <c r="M16" s="43"/>
      <c r="N16" s="43"/>
      <c r="O16" s="43"/>
      <c r="P16" s="40"/>
      <c r="Q16" s="43"/>
      <c r="R16" s="43"/>
      <c r="S16" s="43"/>
      <c r="T16" s="43"/>
      <c r="U16" s="43"/>
      <c r="V16" s="43"/>
      <c r="W16" s="17"/>
      <c r="X16" s="43"/>
      <c r="Y16" s="43"/>
    </row>
    <row r="17" spans="3:25">
      <c r="C17" s="43"/>
      <c r="D17" s="43"/>
      <c r="E17" s="43"/>
      <c r="F17" s="43"/>
      <c r="G17" s="43" t="s">
        <v>84</v>
      </c>
      <c r="H17" s="43"/>
      <c r="I17" s="43"/>
      <c r="J17" s="1244"/>
      <c r="K17" s="43"/>
      <c r="L17" s="33">
        <f>'85 Gasif Ent Flow FT liq fu'!$E$15/'85 Gasif Ent Flow FT liq fu'!$E$14</f>
        <v>0.11723446893787576</v>
      </c>
      <c r="M17" s="43"/>
      <c r="N17" s="43"/>
      <c r="O17" s="43"/>
      <c r="P17" s="40"/>
      <c r="Q17" s="43"/>
      <c r="R17" s="43"/>
      <c r="S17" s="43"/>
      <c r="T17" s="43"/>
      <c r="U17" s="43"/>
      <c r="V17" s="43"/>
      <c r="W17" s="17"/>
      <c r="X17" s="43"/>
      <c r="Y17" s="43"/>
    </row>
    <row r="18" spans="3:25" ht="15.6">
      <c r="C18" s="43"/>
      <c r="D18" s="32"/>
      <c r="E18" s="17" t="s">
        <v>68</v>
      </c>
      <c r="F18" s="17" t="s">
        <v>86</v>
      </c>
      <c r="G18" s="17"/>
      <c r="H18" s="17" t="s">
        <v>70</v>
      </c>
      <c r="I18" s="17">
        <v>2030</v>
      </c>
      <c r="J18" s="1076"/>
      <c r="K18" s="33">
        <f>1/'85 Gasif Ent Flow FT liq fu'!$F$14</f>
        <v>9.5190380761523024</v>
      </c>
      <c r="L18" s="33"/>
      <c r="M18" s="34">
        <f>'85 Gasif Ent Flow FT liq fu'!$F$19</f>
        <v>25</v>
      </c>
      <c r="N18" s="35" cm="1">
        <f t="array" ref="N18">'85 Gasif Ent Flow FT liq fu'!$F$22*(SUM('85 Gasif Ent Flow FT liq fu'!$F$12:$F$14/'85 Gasif Ent Flow FT liq fu'!$F$14))*7.45</f>
        <v>73.321122765010529</v>
      </c>
      <c r="O18" s="35" cm="1">
        <f t="array" ref="O18">'85 Gasif Ent Flow FT liq fu'!$F$25*(SUM('85 Gasif Ent Flow FT liq fu'!$F$12:$F$14/'85 Gasif Ent Flow FT liq fu'!$F$14))*7.45</f>
        <v>1.9552299404002813</v>
      </c>
      <c r="P18" s="35" cm="1">
        <f t="array" ref="P18">'85 Gasif Ent Flow FT liq fu'!$F$26*(SUM('85 Gasif Ent Flow FT liq fu'!$F$12:$F$14/'85 Gasif Ent Flow FT liq fu'!$F$14))*7.454/3.6</f>
        <v>5.5576128644538185</v>
      </c>
      <c r="Q18" s="33">
        <f>1-'85 Gasif Ent Flow FT liq fu'!$F$17/100</f>
        <v>1</v>
      </c>
      <c r="R18" s="36">
        <f>$R$39</f>
        <v>3.1536000000000002E-2</v>
      </c>
      <c r="S18" s="34">
        <v>2</v>
      </c>
      <c r="T18" s="43"/>
      <c r="U18" s="43"/>
      <c r="V18" s="45"/>
      <c r="W18" s="43"/>
      <c r="X18" s="43"/>
      <c r="Y18" s="17"/>
    </row>
    <row r="19" spans="3:25">
      <c r="C19" s="43"/>
      <c r="D19" s="43"/>
      <c r="E19" s="43"/>
      <c r="F19" s="43"/>
      <c r="G19" s="43" t="s">
        <v>76</v>
      </c>
      <c r="H19" s="43"/>
      <c r="I19" s="43"/>
      <c r="J19" s="1244"/>
      <c r="K19" s="43"/>
      <c r="L19" s="84">
        <f>'85 Gasif Ent Flow FT liq fu'!$F$12/'85 Gasif Ent Flow FT liq fu'!$F$14</f>
        <v>1.3787575150300602</v>
      </c>
      <c r="M19" s="43"/>
      <c r="N19" s="43"/>
      <c r="O19" s="43"/>
      <c r="P19" s="40"/>
      <c r="Q19" s="43"/>
      <c r="R19" s="43"/>
      <c r="S19" s="43"/>
      <c r="T19" s="43"/>
      <c r="U19" s="43"/>
      <c r="V19" s="43"/>
      <c r="W19" s="43"/>
      <c r="X19" s="43"/>
      <c r="Y19" s="17"/>
    </row>
    <row r="20" spans="3:25">
      <c r="C20" s="43"/>
      <c r="D20" s="43"/>
      <c r="E20" s="43"/>
      <c r="F20" s="43"/>
      <c r="G20" s="43" t="s">
        <v>1759</v>
      </c>
      <c r="H20" s="43"/>
      <c r="I20" s="43"/>
      <c r="J20" s="1244"/>
      <c r="K20" s="43"/>
      <c r="L20" s="33">
        <f>'85 Gasif Ent Flow FT liq fu'!$F$13/'85 Gasif Ent Flow FT liq fu'!$F$14</f>
        <v>0.14729458917835669</v>
      </c>
      <c r="M20" s="43"/>
      <c r="N20" s="43"/>
      <c r="O20" s="43"/>
      <c r="P20" s="40"/>
      <c r="Q20" s="43"/>
      <c r="R20" s="43"/>
      <c r="S20" s="43"/>
      <c r="T20" s="43"/>
      <c r="U20" s="43"/>
      <c r="V20" s="43"/>
      <c r="W20" s="43"/>
      <c r="X20" s="43"/>
      <c r="Y20" s="17"/>
    </row>
    <row r="21" spans="3:25">
      <c r="C21" s="43"/>
      <c r="D21" s="43"/>
      <c r="E21" s="43"/>
      <c r="F21" s="43"/>
      <c r="G21" s="43" t="s">
        <v>84</v>
      </c>
      <c r="H21" s="43"/>
      <c r="I21" s="43"/>
      <c r="J21" s="1244"/>
      <c r="K21" s="43"/>
      <c r="L21" s="33">
        <f>'85 Gasif Ent Flow FT liq fu'!$F$15/'85 Gasif Ent Flow FT liq fu'!$F$14</f>
        <v>0.15230460921843686</v>
      </c>
      <c r="M21" s="43"/>
      <c r="N21" s="43"/>
      <c r="O21" s="43"/>
      <c r="P21" s="40"/>
      <c r="Q21" s="43"/>
      <c r="R21" s="43"/>
      <c r="S21" s="43"/>
      <c r="T21" s="43"/>
      <c r="U21" s="43"/>
      <c r="V21" s="43"/>
      <c r="W21" s="43"/>
      <c r="X21" s="43"/>
      <c r="Y21" s="17"/>
    </row>
    <row r="22" spans="3:25">
      <c r="C22" s="43"/>
      <c r="D22" s="17"/>
      <c r="E22" s="17" t="s">
        <v>68</v>
      </c>
      <c r="F22" s="17" t="s">
        <v>86</v>
      </c>
      <c r="G22" s="17"/>
      <c r="H22" s="17" t="s">
        <v>70</v>
      </c>
      <c r="I22" s="17">
        <v>2040</v>
      </c>
      <c r="J22" s="1076"/>
      <c r="K22" s="33">
        <f>1/'85 Gasif Ent Flow FT liq fu'!$G$14</f>
        <v>8.9590946599080503</v>
      </c>
      <c r="L22" s="33"/>
      <c r="M22" s="34">
        <f>'85 Gasif Ent Flow FT liq fu'!$G$19</f>
        <v>25</v>
      </c>
      <c r="N22" s="35" cm="1">
        <f t="array" ref="N22">'85 Gasif Ent Flow FT liq fu'!$G$22*(SUM('85 Gasif Ent Flow FT liq fu'!$G$12:$G$14/'85 Gasif Ent Flow FT liq fu'!$G$14))*7.45</f>
        <v>68.095384848644656</v>
      </c>
      <c r="O22" s="35" cm="1">
        <f t="array" ref="O22">'85 Gasif Ent Flow FT liq fu'!$G$25*(SUM('85 Gasif Ent Flow FT liq fu'!$G$12:$G$14/'85 Gasif Ent Flow FT liq fu'!$G$14))*7.45</f>
        <v>1.9314327338888306</v>
      </c>
      <c r="P22" s="35" cm="1">
        <f t="array" ref="P22">'85 Gasif Ent Flow FT liq fu'!$G$26*(SUM('85 Gasif Ent Flow FT liq fu'!$G$12:$G$14/'85 Gasif Ent Flow FT liq fu'!$G$14))*7.454/3.6</f>
        <v>5.5631704773182733</v>
      </c>
      <c r="Q22" s="33">
        <f>1-'85 Gasif Ent Flow FT liq fu'!$G$17/100</f>
        <v>1</v>
      </c>
      <c r="R22" s="36">
        <f>$R$39</f>
        <v>3.1536000000000002E-2</v>
      </c>
      <c r="S22" s="34">
        <v>2</v>
      </c>
      <c r="T22" s="34"/>
      <c r="U22" s="44"/>
      <c r="V22" s="43"/>
      <c r="W22" s="17"/>
      <c r="X22" s="17"/>
      <c r="Y22" s="17"/>
    </row>
    <row r="23" spans="3:25">
      <c r="C23" s="43"/>
      <c r="D23" s="43"/>
      <c r="E23" s="43"/>
      <c r="F23" s="43"/>
      <c r="G23" s="43" t="s">
        <v>76</v>
      </c>
      <c r="H23" s="43"/>
      <c r="I23" s="43"/>
      <c r="J23" s="1244"/>
      <c r="K23" s="43"/>
      <c r="L23" s="84">
        <f>'85 Gasif Ent Flow FT liq fu'!$G$12/'85 Gasif Ent Flow FT liq fu'!$G$14</f>
        <v>1.3787575150300602</v>
      </c>
      <c r="M23" s="43"/>
      <c r="N23" s="43"/>
      <c r="O23" s="43"/>
      <c r="P23" s="40"/>
      <c r="Q23" s="43"/>
      <c r="R23" s="43"/>
      <c r="S23" s="43"/>
      <c r="T23" s="39"/>
      <c r="U23" s="43"/>
      <c r="V23" s="43"/>
      <c r="W23" s="17"/>
      <c r="X23" s="17"/>
      <c r="Y23" s="17"/>
    </row>
    <row r="24" spans="3:25">
      <c r="C24" s="43"/>
      <c r="D24" s="43"/>
      <c r="E24" s="43"/>
      <c r="F24" s="43"/>
      <c r="G24" s="43" t="s">
        <v>1759</v>
      </c>
      <c r="H24" s="43"/>
      <c r="I24" s="43"/>
      <c r="J24" s="1244"/>
      <c r="K24" s="43"/>
      <c r="L24" s="33">
        <f>'85 Gasif Ent Flow FT liq fu'!$G$13/'85 Gasif Ent Flow FT liq fu'!$G$14</f>
        <v>0.14729458917835669</v>
      </c>
      <c r="M24" s="43"/>
      <c r="N24" s="43"/>
      <c r="O24" s="43"/>
      <c r="P24" s="40"/>
      <c r="Q24" s="43"/>
      <c r="R24" s="43"/>
      <c r="S24" s="43"/>
      <c r="T24" s="43"/>
      <c r="U24" s="43"/>
      <c r="V24" s="43"/>
      <c r="W24" s="17"/>
      <c r="X24" s="43"/>
      <c r="Y24" s="43"/>
    </row>
    <row r="25" spans="3:25" ht="15.6">
      <c r="C25" s="43"/>
      <c r="D25" s="32"/>
      <c r="E25" s="43"/>
      <c r="F25" s="43"/>
      <c r="G25" s="43" t="s">
        <v>84</v>
      </c>
      <c r="H25" s="43"/>
      <c r="I25" s="43"/>
      <c r="J25" s="1244"/>
      <c r="K25" s="43"/>
      <c r="L25" s="33">
        <f>'85 Gasif Ent Flow FT liq fu'!$G$15/'85 Gasif Ent Flow FT liq fu'!$G$14</f>
        <v>0.16126370387834493</v>
      </c>
      <c r="M25" s="43"/>
      <c r="N25" s="43"/>
      <c r="O25" s="43"/>
      <c r="P25" s="40"/>
      <c r="Q25" s="43"/>
      <c r="R25" s="43"/>
      <c r="S25" s="43"/>
      <c r="T25" s="43"/>
      <c r="U25" s="43"/>
      <c r="V25" s="45"/>
      <c r="W25" s="17"/>
      <c r="X25" s="43"/>
      <c r="Y25" s="43"/>
    </row>
    <row r="26" spans="3:25">
      <c r="C26" s="43"/>
      <c r="D26" s="17"/>
      <c r="E26" s="17" t="s">
        <v>68</v>
      </c>
      <c r="F26" s="17" t="s">
        <v>86</v>
      </c>
      <c r="G26" s="17"/>
      <c r="H26" s="17" t="s">
        <v>70</v>
      </c>
      <c r="I26" s="17">
        <v>2050</v>
      </c>
      <c r="J26" s="1076"/>
      <c r="K26" s="33">
        <f>1/'85 Gasif Ent Flow FT liq fu'!$H$14</f>
        <v>8.4613671788020497</v>
      </c>
      <c r="L26" s="33"/>
      <c r="M26" s="34">
        <f>'85 Gasif Ent Flow FT liq fu'!$H$19</f>
        <v>25</v>
      </c>
      <c r="N26" s="35" cm="1">
        <f t="array" ref="N26">'85 Gasif Ent Flow FT liq fu'!$H$22*(SUM('85 Gasif Ent Flow FT liq fu'!$H$12:$H$14/'85 Gasif Ent Flow FT liq fu'!$H$14))*7.45</f>
        <v>65.174331346676041</v>
      </c>
      <c r="O26" s="35" cm="1">
        <f t="array" ref="O26">'85 Gasif Ent Flow FT liq fu'!$H$25*(SUM('85 Gasif Ent Flow FT liq fu'!$H$12:$H$14/'85 Gasif Ent Flow FT liq fu'!$H$14))*7.45</f>
        <v>1.9552299404002813</v>
      </c>
      <c r="P26" s="35" cm="1">
        <f t="array" ref="P26">'85 Gasif Ent Flow FT liq fu'!$H$26*(SUM('85 Gasif Ent Flow FT liq fu'!$H$12:$H$14/'85 Gasif Ent Flow FT liq fu'!$H$14))*7.454/3.6</f>
        <v>5.5576128644538185</v>
      </c>
      <c r="Q26" s="33">
        <f>1-'85 Gasif Ent Flow FT liq fu'!$H$17/100</f>
        <v>1</v>
      </c>
      <c r="R26" s="36">
        <f>$R$39</f>
        <v>3.1536000000000002E-2</v>
      </c>
      <c r="S26" s="34">
        <v>2</v>
      </c>
      <c r="T26" s="43"/>
      <c r="U26" s="43"/>
      <c r="V26" s="43"/>
      <c r="W26" s="43"/>
      <c r="X26" s="43"/>
      <c r="Y26" s="17"/>
    </row>
    <row r="27" spans="3:25">
      <c r="C27" s="43"/>
      <c r="D27" s="43"/>
      <c r="E27" s="43"/>
      <c r="F27" s="43"/>
      <c r="G27" s="43" t="s">
        <v>76</v>
      </c>
      <c r="H27" s="43"/>
      <c r="I27" s="43"/>
      <c r="J27" s="43"/>
      <c r="K27" s="43"/>
      <c r="L27" s="84">
        <f>'85 Gasif Ent Flow FT liq fu'!$H$12/'85 Gasif Ent Flow FT liq fu'!$H$14</f>
        <v>1.3787575150300604</v>
      </c>
      <c r="M27" s="43"/>
      <c r="N27" s="43"/>
      <c r="O27" s="43"/>
      <c r="P27" s="40"/>
      <c r="Q27" s="43"/>
      <c r="R27" s="43"/>
      <c r="S27" s="43"/>
      <c r="T27" s="43"/>
      <c r="U27" s="43"/>
      <c r="V27" s="43"/>
      <c r="W27" s="43"/>
      <c r="X27" s="43"/>
      <c r="Y27" s="17"/>
    </row>
    <row r="28" spans="3:25">
      <c r="C28" s="43"/>
      <c r="D28" s="43"/>
      <c r="E28" s="43"/>
      <c r="F28" s="43"/>
      <c r="G28" s="43" t="s">
        <v>1759</v>
      </c>
      <c r="H28" s="43"/>
      <c r="I28" s="43"/>
      <c r="J28" s="43"/>
      <c r="K28" s="43"/>
      <c r="L28" s="33">
        <f>'85 Gasif Ent Flow FT liq fu'!$H$13/'85 Gasif Ent Flow FT liq fu'!$H$14</f>
        <v>0.14729458917835672</v>
      </c>
      <c r="M28" s="43"/>
      <c r="N28" s="43"/>
      <c r="O28" s="43"/>
      <c r="P28" s="40"/>
      <c r="Q28" s="43"/>
      <c r="R28" s="43"/>
      <c r="S28" s="43"/>
      <c r="T28" s="43"/>
      <c r="U28" s="43"/>
      <c r="V28" s="43"/>
      <c r="W28" s="43"/>
      <c r="X28" s="43"/>
      <c r="Y28" s="17"/>
    </row>
    <row r="29" spans="3:25" ht="15" thickBot="1">
      <c r="C29" s="46"/>
      <c r="D29" s="46"/>
      <c r="E29" s="46"/>
      <c r="F29" s="46"/>
      <c r="G29" s="46" t="s">
        <v>84</v>
      </c>
      <c r="H29" s="46"/>
      <c r="I29" s="46"/>
      <c r="J29" s="46"/>
      <c r="K29" s="46"/>
      <c r="L29" s="48">
        <f>'85 Gasif Ent Flow FT liq fu'!$H$15/'85 Gasif Ent Flow FT liq fu'!$H$14</f>
        <v>0.16922734357604099</v>
      </c>
      <c r="M29" s="46"/>
      <c r="N29" s="46"/>
      <c r="O29" s="46"/>
      <c r="P29" s="49"/>
      <c r="Q29" s="46"/>
      <c r="R29" s="46"/>
      <c r="S29" s="46"/>
      <c r="T29" s="46"/>
      <c r="U29" s="46"/>
      <c r="V29" s="46"/>
      <c r="W29" s="46"/>
      <c r="X29" s="46"/>
      <c r="Y29" s="47"/>
    </row>
    <row r="30" spans="3:25" ht="15.6">
      <c r="C30" s="17" t="str">
        <f>"SUP"&amp;F30&amp;RIGHT(E30,3)&amp;IF(RIGHT(D30,7)="Central","C1","D1")</f>
        <v>SUPMOB2WCHC1</v>
      </c>
      <c r="D30" s="1245" t="str">
        <f>'97 Methanol from biomass gasif.'!D2&amp;" Central"</f>
        <v>Bio Methanol Central</v>
      </c>
      <c r="E30" s="1076" t="s">
        <v>68</v>
      </c>
      <c r="F30" s="1076" t="s">
        <v>69</v>
      </c>
      <c r="G30" s="1076"/>
      <c r="H30" s="1076" t="s">
        <v>70</v>
      </c>
      <c r="I30" s="7">
        <v>2015</v>
      </c>
      <c r="J30" s="1076">
        <v>2030</v>
      </c>
      <c r="K30" s="33">
        <f>(INDEX('97 Methanol from biomass gasif.'!$D$4:$H$59,MATCH(SUP_Biofuels!W30,'97 Methanol from biomass gasif.'!$B$4:$B$59,0),MATCH(SUP_Biofuels!$I30,'97 Methanol from biomass gasif.'!$D$3:$H$3,0)))/INDEX('97 Methanol from biomass gasif.'!$D$4:$H$59,MATCH(SUP_Biofuels!X30,'97 Methanol from biomass gasif.'!$B$4:$B$59,0),MATCH(SUP_Biofuels!$I30,'97 Methanol from biomass gasif.'!$D$3:$H$3,0))</f>
        <v>1.7241379310344829</v>
      </c>
      <c r="L30" s="1246"/>
      <c r="M30" s="34">
        <f>INDEX('97 Methanol from biomass gasif.'!$D$4:$H$59,MATCH(SUP_Biofuels!M$8,'97 Methanol from biomass gasif.'!$B$4:$B$59,0),MATCH(SUP_Biofuels!$I30,'97 Methanol from biomass gasif.'!$D$3:$H$3,0))</f>
        <v>25</v>
      </c>
      <c r="N30" s="35">
        <f>INDEX('97 Methanol from biomass gasif.'!$D$4:$H$59,MATCH(SUP_Biofuels!N$8,'97 Methanol from biomass gasif.'!$B$4:$B$59,0),MATCH(SUP_Biofuels!$I30,'97 Methanol from biomass gasif.'!$D$3:$H$3,0))*7.45</f>
        <v>39.172346640701079</v>
      </c>
      <c r="O30" s="35">
        <f>INDEX('97 Methanol from biomass gasif.'!$D$4:$H$59,MATCH(SUP_Biofuels!O$8,'97 Methanol from biomass gasif.'!$B$4:$B$59,0),MATCH(SUP_Biofuels!$I30,'97 Methanol from biomass gasif.'!$D$3:$H$3,0))*7.45</f>
        <v>0.43524829600778958</v>
      </c>
      <c r="P30" s="35">
        <f>INDEX('97 Methanol from biomass gasif.'!$D$4:$H$59,MATCH(SUP_Biofuels!P$8,'97 Methanol from biomass gasif.'!$B$4:$B$59,0),MATCH(SUP_Biofuels!$I30,'97 Methanol from biomass gasif.'!$D$3:$H$3,0))*7.45/3.6</f>
        <v>42.225580955979595</v>
      </c>
      <c r="Q30" s="33">
        <f>1-INDEX('97 Methanol from biomass gasif.'!$D$4:$H$59,MATCH(SUP_Biofuels!Q$7,'97 Methanol from biomass gasif.'!$B$4:$B$59,0),MATCH(SUP_Biofuels!$I30,'97 Methanol from biomass gasif.'!$D$3:$H$3,0))/52-INDEX('97 Methanol from biomass gasif.'!$D$4:$H$59,MATCH(SUP_Biofuels!Q$8,'97 Methanol from biomass gasif.'!$B$4:$B$59,0),MATCH(SUP_Biofuels!$I30,'97 Methanol from biomass gasif.'!$D$3:$H$3,0))/100</f>
        <v>0.92153846153846153</v>
      </c>
      <c r="R30" s="36">
        <v>3.1536000000000002E-2</v>
      </c>
      <c r="S30" s="34">
        <v>4</v>
      </c>
      <c r="T30" s="34"/>
      <c r="U30" s="1247">
        <v>1</v>
      </c>
      <c r="V30" s="1248" t="s">
        <v>74</v>
      </c>
      <c r="W30" t="s">
        <v>112</v>
      </c>
      <c r="X30" t="s">
        <v>1201</v>
      </c>
      <c r="Y30" s="1076"/>
    </row>
    <row r="31" spans="3:25" ht="15.6">
      <c r="C31" s="7"/>
      <c r="D31" s="21"/>
      <c r="E31" s="7"/>
      <c r="F31" s="7"/>
      <c r="G31" s="7" t="s">
        <v>84</v>
      </c>
      <c r="H31" s="7"/>
      <c r="I31" s="7"/>
      <c r="J31" s="7"/>
      <c r="K31" s="22"/>
      <c r="L31" s="33">
        <f>INDEX('97 Methanol from biomass gasif.'!$D$4:$H$59,MATCH(SUP_Biofuels!Y31,'97 Methanol from biomass gasif.'!$B$4:$B$59,0),MATCH(SUP_Biofuels!$I30,'97 Methanol from biomass gasif.'!$D$3:$H$3,0))*(SUM(K30))</f>
        <v>0.37931034482758624</v>
      </c>
      <c r="M31" s="7"/>
      <c r="N31" s="23"/>
      <c r="O31" s="24"/>
      <c r="P31" s="24"/>
      <c r="Q31" s="22"/>
      <c r="R31" s="23"/>
      <c r="S31" s="23"/>
      <c r="T31" s="23"/>
      <c r="U31" s="25"/>
      <c r="V31" s="26"/>
      <c r="X31" s="7"/>
      <c r="Y31" t="s">
        <v>1200</v>
      </c>
    </row>
    <row r="32" spans="3:25">
      <c r="C32" s="7"/>
      <c r="D32" s="7"/>
      <c r="E32" s="7"/>
      <c r="F32" s="7"/>
      <c r="G32" s="7" t="s">
        <v>216</v>
      </c>
      <c r="H32" s="7"/>
      <c r="I32" s="7"/>
      <c r="J32" s="7"/>
      <c r="K32" s="22"/>
      <c r="L32" s="33">
        <f>INDEX('97 Methanol from biomass gasif.'!$D$4:$H$59,MATCH(SUP_Biofuels!Y32,'97 Methanol from biomass gasif.'!$B$4:$B$59,0),MATCH(SUP_Biofuels!$I30,'97 Methanol from biomass gasif.'!$D$3:$H$3,0))*(SUM(K30))</f>
        <v>3.4482758620689662E-2</v>
      </c>
      <c r="M32" s="7"/>
      <c r="N32" s="23"/>
      <c r="O32" s="7"/>
      <c r="P32" s="24"/>
      <c r="Q32" s="7"/>
      <c r="R32" s="7"/>
      <c r="S32" s="7"/>
      <c r="T32" s="7"/>
      <c r="U32" s="7"/>
      <c r="V32" s="7"/>
      <c r="X32" s="7"/>
      <c r="Y32" t="s">
        <v>1199</v>
      </c>
    </row>
    <row r="33" spans="3:25" ht="15.6">
      <c r="C33" s="7"/>
      <c r="D33" s="21"/>
      <c r="E33" s="7" t="str">
        <f>E30</f>
        <v>SUPWCH</v>
      </c>
      <c r="F33" s="7" t="str">
        <f>F30</f>
        <v>MOB2</v>
      </c>
      <c r="G33" s="7"/>
      <c r="H33" s="21" t="str">
        <f>H30</f>
        <v>MKr15</v>
      </c>
      <c r="I33" s="23">
        <v>2020</v>
      </c>
      <c r="J33" s="21"/>
      <c r="K33" s="33">
        <f>(INDEX('97 Methanol from biomass gasif.'!$D$4:$H$59,MATCH(SUP_Biofuels!W33,'97 Methanol from biomass gasif.'!$B$4:$B$59,0),MATCH(SUP_Biofuels!$I33,'97 Methanol from biomass gasif.'!$D$3:$H$3,0)))/INDEX('97 Methanol from biomass gasif.'!$D$4:$H$59,MATCH(SUP_Biofuels!X33,'97 Methanol from biomass gasif.'!$B$4:$B$59,0),MATCH(SUP_Biofuels!$I33,'97 Methanol from biomass gasif.'!$D$3:$H$3,0))</f>
        <v>1.7241379310344829</v>
      </c>
      <c r="L33" s="21"/>
      <c r="M33" s="34">
        <f>INDEX('97 Methanol from biomass gasif.'!$D$4:$H$59,MATCH(SUP_Biofuels!M$8,'97 Methanol from biomass gasif.'!$B$4:$B$59,0),MATCH(SUP_Biofuels!$I33,'97 Methanol from biomass gasif.'!$D$3:$H$3,0))</f>
        <v>20</v>
      </c>
      <c r="N33" s="35">
        <f>INDEX('97 Methanol from biomass gasif.'!$D$4:$H$59,MATCH(SUP_Biofuels!N$8,'97 Methanol from biomass gasif.'!$B$4:$B$59,0),MATCH(SUP_Biofuels!$I33,'97 Methanol from biomass gasif.'!$D$3:$H$3,0))*7.45</f>
        <v>39.172346640701079</v>
      </c>
      <c r="O33" s="35">
        <f>INDEX('97 Methanol from biomass gasif.'!$D$4:$H$59,MATCH(SUP_Biofuels!O$8,'97 Methanol from biomass gasif.'!$B$4:$B$59,0),MATCH(SUP_Biofuels!$I33,'97 Methanol from biomass gasif.'!$D$3:$H$3,0))*7.45</f>
        <v>0.43524829600778958</v>
      </c>
      <c r="P33" s="35">
        <f>INDEX('97 Methanol from biomass gasif.'!$D$4:$H$59,MATCH(SUP_Biofuels!P$8,'97 Methanol from biomass gasif.'!$B$4:$B$59,0),MATCH(SUP_Biofuels!$I33,'97 Methanol from biomass gasif.'!$D$3:$H$3,0))*7.45/3.6</f>
        <v>42.225580955979595</v>
      </c>
      <c r="Q33" s="33">
        <f>1-INDEX('97 Methanol from biomass gasif.'!$D$4:$H$59,MATCH(SUP_Biofuels!Q$7,'97 Methanol from biomass gasif.'!$B$4:$B$59,0),MATCH(SUP_Biofuels!$I33,'97 Methanol from biomass gasif.'!$D$3:$H$3,0))/52-INDEX('97 Methanol from biomass gasif.'!$D$4:$H$59,MATCH(SUP_Biofuels!Q$8,'97 Methanol from biomass gasif.'!$B$4:$B$59,0),MATCH(SUP_Biofuels!$I33,'97 Methanol from biomass gasif.'!$D$3:$H$3,0))/100</f>
        <v>0.92153846153846153</v>
      </c>
      <c r="R33" s="36">
        <v>3.1536000000000002E-2</v>
      </c>
      <c r="S33" s="34">
        <v>4</v>
      </c>
      <c r="T33" s="21"/>
      <c r="U33" s="21">
        <f>U30</f>
        <v>1</v>
      </c>
      <c r="V33" s="21" t="str">
        <f>V30</f>
        <v>Technology data for advanced bioenergy fuels, Danish Energy Agency, FORCE Technology
Department for Biomass &amp; Waste</v>
      </c>
      <c r="W33" t="s">
        <v>112</v>
      </c>
      <c r="X33" t="s">
        <v>1201</v>
      </c>
      <c r="Y33" s="7"/>
    </row>
    <row r="34" spans="3:25" ht="15.6">
      <c r="C34" s="7"/>
      <c r="D34" s="21"/>
      <c r="E34" s="7"/>
      <c r="F34" s="7"/>
      <c r="G34" s="7" t="str">
        <f>G31</f>
        <v>ELCC</v>
      </c>
      <c r="H34" s="21"/>
      <c r="I34" s="21"/>
      <c r="J34" s="21"/>
      <c r="K34" s="22"/>
      <c r="L34" s="33">
        <f>INDEX('97 Methanol from biomass gasif.'!$D$4:$H$59,MATCH(SUP_Biofuels!Y34,'97 Methanol from biomass gasif.'!$B$4:$B$59,0),MATCH(SUP_Biofuels!$I33,'97 Methanol from biomass gasif.'!$D$3:$H$3,0))*(SUM(K33))</f>
        <v>0.37931034482758624</v>
      </c>
      <c r="M34" s="21"/>
      <c r="N34" s="21"/>
      <c r="O34" s="21"/>
      <c r="P34" s="27"/>
      <c r="Q34" s="21"/>
      <c r="R34" s="21"/>
      <c r="S34" s="21"/>
      <c r="T34" s="21"/>
      <c r="U34" s="21"/>
      <c r="V34" s="21"/>
      <c r="X34" s="7"/>
      <c r="Y34" t="s">
        <v>1200</v>
      </c>
    </row>
    <row r="35" spans="3:25">
      <c r="C35" s="7"/>
      <c r="D35" s="7"/>
      <c r="E35" s="7"/>
      <c r="F35" s="7"/>
      <c r="G35" s="7" t="str">
        <f>G32</f>
        <v>HETC</v>
      </c>
      <c r="H35" s="7"/>
      <c r="I35" s="7"/>
      <c r="J35" s="7"/>
      <c r="K35" s="7"/>
      <c r="L35" s="33">
        <f>INDEX('97 Methanol from biomass gasif.'!$D$4:$H$59,MATCH(SUP_Biofuels!Y35,'97 Methanol from biomass gasif.'!$B$4:$B$59,0),MATCH(SUP_Biofuels!$I33,'97 Methanol from biomass gasif.'!$D$3:$H$3,0))*(SUM(K33))</f>
        <v>3.4482758620689662E-2</v>
      </c>
      <c r="M35" s="7"/>
      <c r="N35" s="7"/>
      <c r="O35" s="7"/>
      <c r="P35" s="24"/>
      <c r="Q35" s="7"/>
      <c r="R35" s="7"/>
      <c r="S35" s="34"/>
      <c r="T35" s="7"/>
      <c r="U35" s="7"/>
      <c r="V35" s="7"/>
      <c r="X35" s="7"/>
      <c r="Y35" t="s">
        <v>1199</v>
      </c>
    </row>
    <row r="36" spans="3:25" ht="15.6">
      <c r="C36" s="7"/>
      <c r="D36" s="21"/>
      <c r="E36" s="7" t="str">
        <f>E33</f>
        <v>SUPWCH</v>
      </c>
      <c r="F36" s="7" t="str">
        <f>F33</f>
        <v>MOB2</v>
      </c>
      <c r="G36" s="7"/>
      <c r="H36" s="21" t="str">
        <f>H33</f>
        <v>MKr15</v>
      </c>
      <c r="I36" s="21">
        <v>2030</v>
      </c>
      <c r="J36" s="21"/>
      <c r="K36" s="33">
        <f>(INDEX('97 Methanol from biomass gasif.'!$D$4:$H$59,MATCH(SUP_Biofuels!W36,'97 Methanol from biomass gasif.'!$B$4:$B$59,0),MATCH(SUP_Biofuels!$I36,'97 Methanol from biomass gasif.'!$D$3:$H$3,0)))/INDEX('97 Methanol from biomass gasif.'!$D$4:$H$59,MATCH(SUP_Biofuels!X36,'97 Methanol from biomass gasif.'!$B$4:$B$59,0),MATCH(SUP_Biofuels!$I36,'97 Methanol from biomass gasif.'!$D$3:$H$3,0))</f>
        <v>1.639344262295082</v>
      </c>
      <c r="L36" s="21"/>
      <c r="M36" s="34">
        <f>INDEX('97 Methanol from biomass gasif.'!$D$4:$H$59,MATCH(SUP_Biofuels!M$8,'97 Methanol from biomass gasif.'!$B$4:$B$59,0),MATCH(SUP_Biofuels!$I36,'97 Methanol from biomass gasif.'!$D$3:$H$3,0))</f>
        <v>20</v>
      </c>
      <c r="N36" s="35">
        <f>INDEX('97 Methanol from biomass gasif.'!$D$4:$H$59,MATCH(SUP_Biofuels!N$8,'97 Methanol from biomass gasif.'!$B$4:$B$59,0),MATCH(SUP_Biofuels!$I36,'97 Methanol from biomass gasif.'!$D$3:$H$3,0))*7.45</f>
        <v>21.762414800389482</v>
      </c>
      <c r="O36" s="35">
        <f>INDEX('97 Methanol from biomass gasif.'!$D$4:$H$59,MATCH(SUP_Biofuels!O$8,'97 Methanol from biomass gasif.'!$B$4:$B$59,0),MATCH(SUP_Biofuels!$I36,'97 Methanol from biomass gasif.'!$D$3:$H$3,0))*7.45</f>
        <v>0.29016553067185979</v>
      </c>
      <c r="P36" s="35">
        <f>INDEX('97 Methanol from biomass gasif.'!$D$4:$H$59,MATCH(SUP_Biofuels!P$8,'97 Methanol from biomass gasif.'!$B$4:$B$59,0),MATCH(SUP_Biofuels!$I36,'97 Methanol from biomass gasif.'!$D$3:$H$3,0))*7.45/3.6</f>
        <v>28.150387303986388</v>
      </c>
      <c r="Q36" s="33">
        <f>1-INDEX('97 Methanol from biomass gasif.'!$D$4:$H$59,MATCH(SUP_Biofuels!Q$7,'97 Methanol from biomass gasif.'!$B$4:$B$59,0),MATCH(SUP_Biofuels!$I36,'97 Methanol from biomass gasif.'!$D$3:$H$3,0))/52-INDEX('97 Methanol from biomass gasif.'!$D$4:$H$59,MATCH(SUP_Biofuels!Q$8,'97 Methanol from biomass gasif.'!$B$4:$B$59,0),MATCH(SUP_Biofuels!$I36,'97 Methanol from biomass gasif.'!$D$3:$H$3,0))/100</f>
        <v>0.96153846153846156</v>
      </c>
      <c r="R36" s="36">
        <v>3.1536000000000002E-2</v>
      </c>
      <c r="S36" s="34">
        <v>4</v>
      </c>
      <c r="T36" s="21"/>
      <c r="U36" s="21">
        <f>U33</f>
        <v>1</v>
      </c>
      <c r="V36" s="21" t="str">
        <f>V33</f>
        <v>Technology data for advanced bioenergy fuels, Danish Energy Agency, FORCE Technology
Department for Biomass &amp; Waste</v>
      </c>
      <c r="W36" t="s">
        <v>112</v>
      </c>
      <c r="X36" t="s">
        <v>1201</v>
      </c>
      <c r="Y36" s="7"/>
    </row>
    <row r="37" spans="3:25" ht="15.6">
      <c r="C37" s="7"/>
      <c r="D37" s="21"/>
      <c r="E37" s="7"/>
      <c r="F37" s="7"/>
      <c r="G37" s="7" t="str">
        <f>G34</f>
        <v>ELCC</v>
      </c>
      <c r="H37" s="21"/>
      <c r="I37" s="21"/>
      <c r="J37" s="21"/>
      <c r="K37" s="22"/>
      <c r="L37" s="33">
        <f>INDEX('97 Methanol from biomass gasif.'!$D$4:$H$59,MATCH(SUP_Biofuels!Y37,'97 Methanol from biomass gasif.'!$B$4:$B$59,0),MATCH(SUP_Biofuels!$I36,'97 Methanol from biomass gasif.'!$D$3:$H$3,0))*(SUM(K36))</f>
        <v>0.36065573770491804</v>
      </c>
      <c r="M37" s="21"/>
      <c r="N37" s="21"/>
      <c r="O37" s="21"/>
      <c r="P37" s="27"/>
      <c r="Q37" s="21"/>
      <c r="R37" s="21"/>
      <c r="S37" s="21"/>
      <c r="T37" s="21"/>
      <c r="U37" s="21"/>
      <c r="V37" s="21"/>
      <c r="X37" s="7"/>
      <c r="Y37" t="s">
        <v>1200</v>
      </c>
    </row>
    <row r="38" spans="3:25">
      <c r="C38" s="7"/>
      <c r="D38" s="7"/>
      <c r="E38" s="7"/>
      <c r="F38" s="7"/>
      <c r="G38" s="7" t="str">
        <f>G35</f>
        <v>HETC</v>
      </c>
      <c r="H38" s="7"/>
      <c r="I38" s="7"/>
      <c r="J38" s="7"/>
      <c r="K38" s="7"/>
      <c r="L38" s="33">
        <f>INDEX('97 Methanol from biomass gasif.'!$D$4:$H$59,MATCH(SUP_Biofuels!Y38,'97 Methanol from biomass gasif.'!$B$4:$B$59,0),MATCH(SUP_Biofuels!$I36,'97 Methanol from biomass gasif.'!$D$3:$H$3,0))*(SUM(K36))</f>
        <v>3.2786885245901641E-2</v>
      </c>
      <c r="M38" s="7"/>
      <c r="N38" s="7"/>
      <c r="O38" s="7"/>
      <c r="P38" s="24"/>
      <c r="Q38" s="7"/>
      <c r="R38" s="7"/>
      <c r="S38" s="7"/>
      <c r="T38" s="7"/>
      <c r="U38" s="7"/>
      <c r="V38" s="7"/>
      <c r="X38" s="7"/>
      <c r="Y38" t="s">
        <v>1199</v>
      </c>
    </row>
    <row r="39" spans="3:25" ht="15.6">
      <c r="C39" s="7"/>
      <c r="D39" s="21"/>
      <c r="E39" s="7" t="str">
        <f>E36</f>
        <v>SUPWCH</v>
      </c>
      <c r="F39" s="7" t="str">
        <f>F36</f>
        <v>MOB2</v>
      </c>
      <c r="G39" s="7"/>
      <c r="H39" s="21" t="str">
        <f>H36</f>
        <v>MKr15</v>
      </c>
      <c r="I39" s="21">
        <v>2050</v>
      </c>
      <c r="J39" s="21"/>
      <c r="K39" s="33">
        <f>(INDEX('97 Methanol from biomass gasif.'!$D$4:$H$59,MATCH(SUP_Biofuels!W39,'97 Methanol from biomass gasif.'!$B$4:$B$59,0),MATCH(SUP_Biofuels!$I39,'97 Methanol from biomass gasif.'!$D$3:$H$3,0)))/INDEX('97 Methanol from biomass gasif.'!$D$4:$H$59,MATCH(SUP_Biofuels!X39,'97 Methanol from biomass gasif.'!$B$4:$B$59,0),MATCH(SUP_Biofuels!$I39,'97 Methanol from biomass gasif.'!$D$3:$H$3,0))</f>
        <v>1.5384615384615383</v>
      </c>
      <c r="L39" s="21"/>
      <c r="M39" s="34">
        <f>INDEX('97 Methanol from biomass gasif.'!$D$4:$H$59,MATCH(SUP_Biofuels!M$8,'97 Methanol from biomass gasif.'!$B$4:$B$59,0),MATCH(SUP_Biofuels!$I39,'97 Methanol from biomass gasif.'!$D$3:$H$3,0))</f>
        <v>20</v>
      </c>
      <c r="N39" s="35">
        <f>INDEX('97 Methanol from biomass gasif.'!$D$4:$H$59,MATCH(SUP_Biofuels!N$8,'97 Methanol from biomass gasif.'!$B$4:$B$59,0),MATCH(SUP_Biofuels!$I39,'97 Methanol from biomass gasif.'!$D$3:$H$3,0))*7.45</f>
        <v>10.881207400194741</v>
      </c>
      <c r="O39" s="35">
        <f>INDEX('97 Methanol from biomass gasif.'!$D$4:$H$59,MATCH(SUP_Biofuels!O$8,'97 Methanol from biomass gasif.'!$B$4:$B$59,0),MATCH(SUP_Biofuels!$I39,'97 Methanol from biomass gasif.'!$D$3:$H$3,0))*7.45</f>
        <v>0.29016553067185974</v>
      </c>
      <c r="P39" s="35">
        <f>INDEX('97 Methanol from biomass gasif.'!$D$4:$H$59,MATCH(SUP_Biofuels!P$8,'97 Methanol from biomass gasif.'!$B$4:$B$59,0),MATCH(SUP_Biofuels!$I39,'97 Methanol from biomass gasif.'!$D$3:$H$3,0))*7.45/3.6</f>
        <v>28.150387303986399</v>
      </c>
      <c r="Q39" s="33">
        <f>1-INDEX('97 Methanol from biomass gasif.'!$D$4:$H$59,MATCH(SUP_Biofuels!Q$7,'97 Methanol from biomass gasif.'!$B$4:$B$59,0),MATCH(SUP_Biofuels!$I39,'97 Methanol from biomass gasif.'!$D$3:$H$3,0))/52-INDEX('97 Methanol from biomass gasif.'!$D$4:$H$59,MATCH(SUP_Biofuels!Q$8,'97 Methanol from biomass gasif.'!$B$4:$B$59,0),MATCH(SUP_Biofuels!$I39,'97 Methanol from biomass gasif.'!$D$3:$H$3,0))/100</f>
        <v>0.96153846153846156</v>
      </c>
      <c r="R39" s="36">
        <v>3.1536000000000002E-2</v>
      </c>
      <c r="S39" s="34">
        <v>4</v>
      </c>
      <c r="T39" s="21"/>
      <c r="U39" s="21">
        <f>U36</f>
        <v>1</v>
      </c>
      <c r="V39" s="21" t="str">
        <f>V36</f>
        <v>Technology data for advanced bioenergy fuels, Danish Energy Agency, FORCE Technology
Department for Biomass &amp; Waste</v>
      </c>
      <c r="W39" t="s">
        <v>112</v>
      </c>
      <c r="X39" t="s">
        <v>1201</v>
      </c>
      <c r="Y39" s="7"/>
    </row>
    <row r="40" spans="3:25" ht="15.6">
      <c r="C40" s="7"/>
      <c r="D40" s="21"/>
      <c r="E40" s="7"/>
      <c r="F40" s="7"/>
      <c r="G40" s="7" t="str">
        <f>G37</f>
        <v>ELCC</v>
      </c>
      <c r="H40" s="21"/>
      <c r="I40" s="21"/>
      <c r="J40" s="21"/>
      <c r="K40" s="22"/>
      <c r="L40" s="33">
        <f>INDEX('97 Methanol from biomass gasif.'!$D$4:$H$59,MATCH(SUP_Biofuels!Y40,'97 Methanol from biomass gasif.'!$B$4:$B$59,0),MATCH(SUP_Biofuels!$I39,'97 Methanol from biomass gasif.'!$D$3:$H$3,0))*(SUM(K39))</f>
        <v>0.33846153846153842</v>
      </c>
      <c r="M40" s="21"/>
      <c r="N40" s="21"/>
      <c r="O40" s="21"/>
      <c r="P40" s="27"/>
      <c r="Q40" s="21"/>
      <c r="R40" s="21"/>
      <c r="S40" s="21"/>
      <c r="T40" s="21"/>
      <c r="U40" s="21"/>
      <c r="V40" s="21"/>
      <c r="W40" s="7"/>
      <c r="X40" s="7"/>
      <c r="Y40" s="7" t="s">
        <v>1200</v>
      </c>
    </row>
    <row r="41" spans="3:25" ht="15" thickBot="1">
      <c r="C41" s="28"/>
      <c r="D41" s="28"/>
      <c r="E41" s="28"/>
      <c r="F41" s="28"/>
      <c r="G41" s="28" t="str">
        <f>G38</f>
        <v>HETC</v>
      </c>
      <c r="H41" s="28"/>
      <c r="I41" s="28"/>
      <c r="J41" s="28"/>
      <c r="K41" s="28"/>
      <c r="L41" s="29">
        <f>INDEX('97 Methanol from biomass gasif.'!$D$4:$H$59,MATCH(SUP_Biofuels!Y41,'97 Methanol from biomass gasif.'!$B$4:$B$59,0),MATCH(SUP_Biofuels!$I39,'97 Methanol from biomass gasif.'!$D$3:$H$3,0))*(SUM(K39))</f>
        <v>3.0769230769230767E-2</v>
      </c>
      <c r="M41" s="28"/>
      <c r="N41" s="28"/>
      <c r="O41" s="28"/>
      <c r="P41" s="30"/>
      <c r="Q41" s="28"/>
      <c r="R41" s="28"/>
      <c r="S41" s="28"/>
      <c r="T41" s="1076"/>
      <c r="U41" s="31"/>
      <c r="V41" s="31"/>
      <c r="W41" s="28"/>
      <c r="X41" s="28"/>
      <c r="Y41" s="28" t="s">
        <v>1199</v>
      </c>
    </row>
    <row r="42" spans="3:25" ht="15.6">
      <c r="C42" s="17" t="str">
        <f>"SUP"&amp;F42&amp;RIGHT(E42,3)&amp;IF(RIGHT(D42,7)="Central","C1","D1")</f>
        <v>SUPDSB1RPSC1</v>
      </c>
      <c r="D42" s="32" t="str">
        <f>'89 Vegetable oil FAME'!D2&amp;" Central"</f>
        <v>Vegetable Oil FAME Central</v>
      </c>
      <c r="E42" s="17" t="s">
        <v>72</v>
      </c>
      <c r="F42" s="17" t="s">
        <v>73</v>
      </c>
      <c r="G42" s="17"/>
      <c r="H42" s="17" t="s">
        <v>70</v>
      </c>
      <c r="I42" s="17">
        <f>'93 1st generation ethanol'!$D$3</f>
        <v>2015</v>
      </c>
      <c r="J42" s="19">
        <v>2030</v>
      </c>
      <c r="K42" s="33">
        <f>(INDEX('89 Vegetable oil FAME'!$D$4:$H$59,MATCH(SUP_Biofuels!W42,'89 Vegetable oil FAME'!$B$4:$B$59,0),MATCH(SUP_Biofuels!$I42,'89 Vegetable oil FAME'!$D$3:$H$3,0)))/INDEX('89 Vegetable oil FAME'!$D$4:$H$59,MATCH(SUP_Biofuels!X42,'89 Vegetable oil FAME'!$B$4:$B$59,0),MATCH(SUP_Biofuels!$I42,'89 Vegetable oil FAME'!$D$3:$H$3,0))</f>
        <v>1.0243632336655593</v>
      </c>
      <c r="L42" s="33"/>
      <c r="M42" s="34">
        <f>INDEX('89 Vegetable oil FAME'!$D$4:$H$59,MATCH(SUP_Biofuels!M$8,'89 Vegetable oil FAME'!$B$4:$B$59,0),MATCH(SUP_Biofuels!$I42,'89 Vegetable oil FAME'!$D$3:$H$3,0))</f>
        <v>25</v>
      </c>
      <c r="N42" s="35">
        <f>INDEX('89 Vegetable oil FAME'!$D$4:$H$59,MATCH(SUP_Biofuels!N$8,'89 Vegetable oil FAME'!$B$4:$B$59,0),MATCH(SUP_Biofuels!$I42,'89 Vegetable oil FAME'!$D$3:$H$3,0))*7.45</f>
        <v>3.8144</v>
      </c>
      <c r="O42" s="35">
        <f>INDEX('89 Vegetable oil FAME'!$D$4:$H$59,MATCH(SUP_Biofuels!O$8,'89 Vegetable oil FAME'!$B$4:$B$59,0),MATCH(SUP_Biofuels!$I42,'89 Vegetable oil FAME'!$D$3:$H$3,0))*7.45</f>
        <v>0.13112000000000001</v>
      </c>
      <c r="P42" s="35">
        <f>INDEX('89 Vegetable oil FAME'!$D$4:$H$59,MATCH(SUP_Biofuels!P$8,'89 Vegetable oil FAME'!$B$4:$B$59,0),MATCH(SUP_Biofuels!$I42,'89 Vegetable oil FAME'!$D$3:$H$3,0))*7.45/3.6</f>
        <v>14.010138888888887</v>
      </c>
      <c r="Q42" s="33">
        <f>1-INDEX('89 Vegetable oil FAME'!$D$4:$H$59,MATCH(SUP_Biofuels!Q$7,'89 Vegetable oil FAME'!$B$4:$B$59,0),MATCH(SUP_Biofuels!$I42,'89 Vegetable oil FAME'!$D$3:$H$3,0))/52-INDEX('89 Vegetable oil FAME'!$D$4:$H$59,MATCH(SUP_Biofuels!Q$8,'89 Vegetable oil FAME'!$B$4:$B$59,0),MATCH(SUP_Biofuels!$I42,'89 Vegetable oil FAME'!$D$3:$H$3,0))/100</f>
        <v>0.96153846153846156</v>
      </c>
      <c r="R42" s="36">
        <f>$R$39</f>
        <v>3.1536000000000002E-2</v>
      </c>
      <c r="S42" s="34">
        <f>INDEX('89 Vegetable oil FAME'!$D$4:$H$59,MATCH(SUP_Biofuels!S$8,'89 Vegetable oil FAME'!$B$4:$B$59,0),MATCH(SUP_Biofuels!$I42,'89 Vegetable oil FAME'!$D$3:$H$3,0))</f>
        <v>1.5</v>
      </c>
      <c r="T42" s="34"/>
      <c r="U42" s="37"/>
      <c r="V42" s="38" t="s">
        <v>74</v>
      </c>
      <c r="W42" s="17" t="str">
        <f>'89 Vegetable oil FAME'!B9</f>
        <v>Veg Oil Consumption, MWh/MWh Total Input</v>
      </c>
      <c r="X42" s="17" t="str">
        <f>'89 Vegetable oil FAME'!B14</f>
        <v>Biodiesel Output, MWh/MWh Total Input</v>
      </c>
      <c r="Y42" s="17"/>
    </row>
    <row r="43" spans="3:25">
      <c r="C43" s="17"/>
      <c r="D43" s="17"/>
      <c r="E43" s="17" t="s">
        <v>1419</v>
      </c>
      <c r="F43" s="17"/>
      <c r="G43" s="17"/>
      <c r="H43" s="17"/>
      <c r="I43" s="17"/>
      <c r="J43" s="17"/>
      <c r="K43" s="33">
        <f>(INDEX('89 Vegetable oil FAME'!$D$4:$H$59,MATCH(SUP_Biofuels!W43,'89 Vegetable oil FAME'!$B$4:$B$59,0),MATCH(SUP_Biofuels!$I42,'89 Vegetable oil FAME'!$D$3:$H$3,0)))/INDEX('89 Vegetable oil FAME'!$D$4:$H$59,MATCH(SUP_Biofuels!X42,'89 Vegetable oil FAME'!$B$4:$B$59,0),MATCH(SUP_Biofuels!$I42,'89 Vegetable oil FAME'!$D$3:$H$3,0))</f>
        <v>5.0941306755260242E-2</v>
      </c>
      <c r="L43" s="33"/>
      <c r="M43" s="39"/>
      <c r="N43" s="40"/>
      <c r="O43" s="40"/>
      <c r="P43" s="40"/>
      <c r="Q43" s="41"/>
      <c r="R43" s="42"/>
      <c r="S43" s="39"/>
      <c r="T43" s="39"/>
      <c r="U43" s="43"/>
      <c r="V43" s="43"/>
      <c r="W43" s="17" t="str">
        <f>'89 Vegetable oil FAME'!B10</f>
        <v>Methanol Consumption, MWh/MWh Total Input</v>
      </c>
      <c r="X43" s="17"/>
      <c r="Y43" s="17"/>
    </row>
    <row r="44" spans="3:25">
      <c r="C44" s="43"/>
      <c r="D44" s="43"/>
      <c r="E44" s="43" t="s">
        <v>71</v>
      </c>
      <c r="F44" s="43"/>
      <c r="G44" s="43"/>
      <c r="H44" s="43"/>
      <c r="I44" s="43"/>
      <c r="J44" s="43"/>
      <c r="K44" s="33">
        <f>(INDEX('89 Vegetable oil FAME'!$D$4:$H$59,MATCH(SUP_Biofuels!W44,'89 Vegetable oil FAME'!$B$4:$B$59,0),MATCH(SUP_Biofuels!$I42,'89 Vegetable oil FAME'!$D$3:$H$3,0)))/INDEX('89 Vegetable oil FAME'!$D$4:$H$59,MATCH(SUP_Biofuels!X42,'89 Vegetable oil FAME'!$B$4:$B$59,0),MATCH(SUP_Biofuels!$I42,'89 Vegetable oil FAME'!$D$3:$H$3,0))</f>
        <v>4.4296788482834993E-3</v>
      </c>
      <c r="L44" s="43"/>
      <c r="M44" s="43"/>
      <c r="N44" s="43"/>
      <c r="O44" s="43"/>
      <c r="P44" s="40"/>
      <c r="Q44" s="43"/>
      <c r="R44" s="43"/>
      <c r="S44" s="43"/>
      <c r="T44" s="43"/>
      <c r="U44" s="43"/>
      <c r="V44" s="43"/>
      <c r="W44" s="17" t="str">
        <f>'89 Vegetable oil FAME'!B11</f>
        <v>Electricity Consumption, MWh/MWh Total Input</v>
      </c>
      <c r="X44" s="43"/>
      <c r="Y44" s="43"/>
    </row>
    <row r="45" spans="3:25">
      <c r="C45" s="43"/>
      <c r="D45" s="43"/>
      <c r="E45" s="43" t="s">
        <v>1760</v>
      </c>
      <c r="F45" s="43"/>
      <c r="G45" s="43"/>
      <c r="H45" s="43"/>
      <c r="I45" s="43"/>
      <c r="J45" s="43"/>
      <c r="K45" s="33">
        <f>(INDEX('89 Vegetable oil FAME'!$D$4:$H$59,MATCH(SUP_Biofuels!W45,'89 Vegetable oil FAME'!$B$4:$B$59,0),MATCH(SUP_Biofuels!$I42,'89 Vegetable oil FAME'!$D$3:$H$3,0)))/INDEX('89 Vegetable oil FAME'!$D$4:$H$59,MATCH(SUP_Biofuels!X42,'89 Vegetable oil FAME'!$B$4:$B$59,0),MATCH(SUP_Biofuels!$I42,'89 Vegetable oil FAME'!$D$3:$H$3,0))</f>
        <v>2.7685492801771874E-2</v>
      </c>
      <c r="L45" s="43"/>
      <c r="M45" s="43"/>
      <c r="N45" s="43"/>
      <c r="O45" s="43"/>
      <c r="P45" s="40"/>
      <c r="Q45" s="43"/>
      <c r="R45" s="43"/>
      <c r="S45" s="43"/>
      <c r="T45" s="43"/>
      <c r="U45" s="43"/>
      <c r="V45" s="43"/>
      <c r="W45" s="17" t="str">
        <f>'89 Vegetable oil FAME'!B12</f>
        <v>Natural Gas Consumption, MWh/MWh Total Input</v>
      </c>
      <c r="X45" s="43"/>
      <c r="Y45" s="43"/>
    </row>
    <row r="46" spans="3:25">
      <c r="C46" s="43"/>
      <c r="D46" s="43"/>
      <c r="E46" s="43"/>
      <c r="F46" s="43"/>
      <c r="G46" s="43" t="s">
        <v>75</v>
      </c>
      <c r="H46" s="43"/>
      <c r="I46" s="43"/>
      <c r="J46" s="43"/>
      <c r="K46" s="43"/>
      <c r="L46" s="33">
        <f>INDEX('89 Vegetable oil FAME'!$D$4:$H$59,MATCH(SUP_Biofuels!Y46,'89 Vegetable oil FAME'!$B$4:$B$59,0),MATCH(SUP_Biofuels!$I42,'89 Vegetable oil FAME'!$D$3:$H$3,0))*(SUM(K42:K45))</f>
        <v>4.3189368770764118E-2</v>
      </c>
      <c r="M46" s="43"/>
      <c r="N46" s="43"/>
      <c r="O46" s="43"/>
      <c r="P46" s="40"/>
      <c r="Q46" s="43"/>
      <c r="R46" s="43"/>
      <c r="S46" s="43"/>
      <c r="T46" s="43"/>
      <c r="U46" s="43"/>
      <c r="V46" s="43"/>
      <c r="W46" s="43"/>
      <c r="X46" s="43"/>
      <c r="Y46" s="43" t="str">
        <f>'89 Vegetable oil FAME'!B15</f>
        <v>Glycerine  Output, MWh/MWh Total Input</v>
      </c>
    </row>
    <row r="47" spans="3:25" ht="15.6">
      <c r="C47" s="17"/>
      <c r="D47" s="32"/>
      <c r="E47" s="17" t="str">
        <f>E42</f>
        <v>SUPRPS</v>
      </c>
      <c r="F47" s="17" t="str">
        <f>F42</f>
        <v>DSB1</v>
      </c>
      <c r="G47" s="17"/>
      <c r="H47" s="17" t="s">
        <v>70</v>
      </c>
      <c r="I47" s="17">
        <v>2020</v>
      </c>
      <c r="J47" s="17"/>
      <c r="K47" s="33">
        <f>(INDEX('89 Vegetable oil FAME'!$D$4:$H$59,MATCH(SUP_Biofuels!W47,'89 Vegetable oil FAME'!$B$4:$B$59,0),MATCH(SUP_Biofuels!$I47,'89 Vegetable oil FAME'!$D$3:$H$3,0)))/INDEX('89 Vegetable oil FAME'!$D$4:$H$59,MATCH(SUP_Biofuels!X47,'89 Vegetable oil FAME'!$B$4:$B$59,0),MATCH(SUP_Biofuels!$I47,'89 Vegetable oil FAME'!$D$3:$H$3,0))</f>
        <v>1.0254706533776301</v>
      </c>
      <c r="L47" s="33"/>
      <c r="M47" s="34">
        <f>INDEX('89 Vegetable oil FAME'!$D$4:$H$59,MATCH(SUP_Biofuels!M$8,'89 Vegetable oil FAME'!$B$4:$B$59,0),MATCH(SUP_Biofuels!$I47,'89 Vegetable oil FAME'!$D$3:$H$3,0))</f>
        <v>25</v>
      </c>
      <c r="N47" s="35">
        <f>INDEX('89 Vegetable oil FAME'!$D$4:$H$59,MATCH(SUP_Biofuels!N$8,'89 Vegetable oil FAME'!$B$4:$B$59,0),MATCH(SUP_Biofuels!$I47,'89 Vegetable oil FAME'!$D$3:$H$3,0))*7.45</f>
        <v>3.7547999999999999</v>
      </c>
      <c r="O47" s="35">
        <f>INDEX('89 Vegetable oil FAME'!$D$4:$H$59,MATCH(SUP_Biofuels!O$8,'89 Vegetable oil FAME'!$B$4:$B$59,0),MATCH(SUP_Biofuels!$I47,'89 Vegetable oil FAME'!$D$3:$H$3,0))*7.45</f>
        <v>0.13112000000000001</v>
      </c>
      <c r="P47" s="35">
        <f>INDEX('89 Vegetable oil FAME'!$D$4:$H$59,MATCH(SUP_Biofuels!P$8,'89 Vegetable oil FAME'!$B$4:$B$59,0),MATCH(SUP_Biofuels!$I47,'89 Vegetable oil FAME'!$D$3:$H$3,0))*7.45/3.6</f>
        <v>14.010138888888887</v>
      </c>
      <c r="Q47" s="33">
        <f>1-INDEX('89 Vegetable oil FAME'!$D$4:$H$59,MATCH(SUP_Biofuels!Q$7,'89 Vegetable oil FAME'!$B$4:$B$59,0),MATCH(SUP_Biofuels!$I47,'89 Vegetable oil FAME'!$D$3:$H$3,0))/52-INDEX('89 Vegetable oil FAME'!$D$4:$H$59,MATCH(SUP_Biofuels!Q$8,'89 Vegetable oil FAME'!$B$4:$B$59,0),MATCH(SUP_Biofuels!$I47,'89 Vegetable oil FAME'!$D$3:$H$3,0))/100</f>
        <v>0.96153846153846156</v>
      </c>
      <c r="R47" s="36">
        <f>$R$39</f>
        <v>3.1536000000000002E-2</v>
      </c>
      <c r="S47" s="34">
        <f>INDEX('89 Vegetable oil FAME'!$D$4:$H$59,MATCH(SUP_Biofuels!S$8,'89 Vegetable oil FAME'!$B$4:$B$59,0),MATCH(SUP_Biofuels!$I47,'89 Vegetable oil FAME'!$D$3:$H$3,0))</f>
        <v>1.5</v>
      </c>
      <c r="T47" s="34"/>
      <c r="U47" s="44"/>
      <c r="V47" s="45"/>
      <c r="W47" s="17" t="str">
        <f>W42</f>
        <v>Veg Oil Consumption, MWh/MWh Total Input</v>
      </c>
      <c r="X47" s="17" t="str">
        <f>X42</f>
        <v>Biodiesel Output, MWh/MWh Total Input</v>
      </c>
      <c r="Y47" s="17"/>
    </row>
    <row r="48" spans="3:25">
      <c r="C48" s="17"/>
      <c r="D48" s="17"/>
      <c r="E48" s="17" t="str">
        <f>E43</f>
        <v>SUPMOB</v>
      </c>
      <c r="F48" s="17"/>
      <c r="G48" s="17"/>
      <c r="H48" s="17"/>
      <c r="I48" s="17"/>
      <c r="J48" s="17"/>
      <c r="K48" s="33">
        <f>(INDEX('89 Vegetable oil FAME'!$D$4:$H$59,MATCH(SUP_Biofuels!W48,'89 Vegetable oil FAME'!$B$4:$B$59,0),MATCH(SUP_Biofuels!$I47,'89 Vegetable oil FAME'!$D$3:$H$3,0)))/INDEX('89 Vegetable oil FAME'!$D$4:$H$59,MATCH(SUP_Biofuels!X47,'89 Vegetable oil FAME'!$B$4:$B$59,0),MATCH(SUP_Biofuels!$I47,'89 Vegetable oil FAME'!$D$3:$H$3,0))</f>
        <v>5.0941306755260242E-2</v>
      </c>
      <c r="L48" s="33"/>
      <c r="M48" s="39"/>
      <c r="N48" s="40"/>
      <c r="O48" s="40"/>
      <c r="P48" s="40"/>
      <c r="Q48" s="41"/>
      <c r="R48" s="42"/>
      <c r="S48" s="39"/>
      <c r="T48" s="39"/>
      <c r="U48" s="43"/>
      <c r="V48" s="43"/>
      <c r="W48" s="17" t="str">
        <f>W43</f>
        <v>Methanol Consumption, MWh/MWh Total Input</v>
      </c>
      <c r="X48" s="17"/>
      <c r="Y48" s="17"/>
    </row>
    <row r="49" spans="3:25">
      <c r="C49" s="43"/>
      <c r="D49" s="43"/>
      <c r="E49" s="17" t="str">
        <f>E44</f>
        <v>SUPELC</v>
      </c>
      <c r="F49" s="43"/>
      <c r="G49" s="43"/>
      <c r="H49" s="43"/>
      <c r="I49" s="43"/>
      <c r="J49" s="43"/>
      <c r="K49" s="33">
        <f>(INDEX('89 Vegetable oil FAME'!$D$4:$H$59,MATCH(SUP_Biofuels!W49,'89 Vegetable oil FAME'!$B$4:$B$59,0),MATCH(SUP_Biofuels!$I47,'89 Vegetable oil FAME'!$D$3:$H$3,0)))/INDEX('89 Vegetable oil FAME'!$D$4:$H$59,MATCH(SUP_Biofuels!X47,'89 Vegetable oil FAME'!$B$4:$B$59,0),MATCH(SUP_Biofuels!$I47,'89 Vegetable oil FAME'!$D$3:$H$3,0))</f>
        <v>4.4296788482834993E-3</v>
      </c>
      <c r="L49" s="43"/>
      <c r="M49" s="43"/>
      <c r="N49" s="43"/>
      <c r="O49" s="43"/>
      <c r="P49" s="40"/>
      <c r="Q49" s="43"/>
      <c r="R49" s="43"/>
      <c r="S49" s="43"/>
      <c r="T49" s="43"/>
      <c r="U49" s="43"/>
      <c r="V49" s="43"/>
      <c r="W49" s="17" t="str">
        <f>W44</f>
        <v>Electricity Consumption, MWh/MWh Total Input</v>
      </c>
      <c r="X49" s="43"/>
      <c r="Y49" s="43"/>
    </row>
    <row r="50" spans="3:25">
      <c r="C50" s="43"/>
      <c r="D50" s="43"/>
      <c r="E50" s="17" t="str">
        <f>E45</f>
        <v>SUPNGA,SUPSNG,SUPH2</v>
      </c>
      <c r="F50" s="43"/>
      <c r="G50" s="43"/>
      <c r="H50" s="43"/>
      <c r="I50" s="43"/>
      <c r="J50" s="43"/>
      <c r="K50" s="33">
        <f>(INDEX('89 Vegetable oil FAME'!$D$4:$H$59,MATCH(SUP_Biofuels!W50,'89 Vegetable oil FAME'!$B$4:$B$59,0),MATCH(SUP_Biofuels!$I47,'89 Vegetable oil FAME'!$D$3:$H$3,0)))/INDEX('89 Vegetable oil FAME'!$D$4:$H$59,MATCH(SUP_Biofuels!X47,'89 Vegetable oil FAME'!$B$4:$B$59,0),MATCH(SUP_Biofuels!$I47,'89 Vegetable oil FAME'!$D$3:$H$3,0))</f>
        <v>2.6578073089700997E-2</v>
      </c>
      <c r="L50" s="43"/>
      <c r="M50" s="43"/>
      <c r="N50" s="43"/>
      <c r="O50" s="43"/>
      <c r="P50" s="40"/>
      <c r="Q50" s="43"/>
      <c r="R50" s="43"/>
      <c r="S50" s="43"/>
      <c r="T50" s="43"/>
      <c r="U50" s="43"/>
      <c r="V50" s="43"/>
      <c r="W50" s="17" t="str">
        <f>W45</f>
        <v>Natural Gas Consumption, MWh/MWh Total Input</v>
      </c>
      <c r="X50" s="43"/>
      <c r="Y50" s="43"/>
    </row>
    <row r="51" spans="3:25" ht="15.6">
      <c r="C51" s="43"/>
      <c r="D51" s="32"/>
      <c r="E51" s="43"/>
      <c r="F51" s="43"/>
      <c r="G51" s="17" t="str">
        <f>G46</f>
        <v>GLY</v>
      </c>
      <c r="H51" s="43"/>
      <c r="I51" s="43"/>
      <c r="J51" s="43"/>
      <c r="K51" s="43"/>
      <c r="L51" s="33">
        <f>INDEX('89 Vegetable oil FAME'!$D$4:$H$59,MATCH(SUP_Biofuels!Y51,'89 Vegetable oil FAME'!$B$4:$B$59,0),MATCH(SUP_Biofuels!$I47,'89 Vegetable oil FAME'!$D$3:$H$3,0))*(SUM(K47:K50))</f>
        <v>4.3189368770764118E-2</v>
      </c>
      <c r="M51" s="43"/>
      <c r="N51" s="43"/>
      <c r="O51" s="43"/>
      <c r="P51" s="40"/>
      <c r="Q51" s="43"/>
      <c r="R51" s="43"/>
      <c r="S51" s="43"/>
      <c r="T51" s="43"/>
      <c r="U51" s="43"/>
      <c r="V51" s="45"/>
      <c r="W51" s="43"/>
      <c r="X51" s="43"/>
      <c r="Y51" s="17" t="str">
        <f>Y46</f>
        <v>Glycerine  Output, MWh/MWh Total Input</v>
      </c>
    </row>
    <row r="52" spans="3:25">
      <c r="C52" s="43"/>
      <c r="D52" s="17"/>
      <c r="E52" s="17" t="str">
        <f>E47</f>
        <v>SUPRPS</v>
      </c>
      <c r="F52" s="17" t="str">
        <f>F47</f>
        <v>DSB1</v>
      </c>
      <c r="G52" s="17"/>
      <c r="H52" s="17" t="s">
        <v>70</v>
      </c>
      <c r="I52" s="17">
        <v>2030</v>
      </c>
      <c r="J52" s="17"/>
      <c r="K52" s="33">
        <f>(INDEX('89 Vegetable oil FAME'!$D$4:$H$59,MATCH(SUP_Biofuels!W52,'89 Vegetable oil FAME'!$B$4:$B$59,0),MATCH(SUP_Biofuels!$I52,'89 Vegetable oil FAME'!$D$3:$H$3,0)))/INDEX('89 Vegetable oil FAME'!$D$4:$H$59,MATCH(SUP_Biofuels!X52,'89 Vegetable oil FAME'!$B$4:$B$59,0),MATCH(SUP_Biofuels!$I52,'89 Vegetable oil FAME'!$D$3:$H$3,0))</f>
        <v>1.0287929125138429</v>
      </c>
      <c r="L52" s="33"/>
      <c r="M52" s="34">
        <f>INDEX('89 Vegetable oil FAME'!$D$4:$H$59,MATCH(SUP_Biofuels!M$8,'89 Vegetable oil FAME'!$B$4:$B$59,0),MATCH(SUP_Biofuels!$I52,'89 Vegetable oil FAME'!$D$3:$H$3,0))</f>
        <v>25</v>
      </c>
      <c r="N52" s="35">
        <f>INDEX('89 Vegetable oil FAME'!$D$4:$H$59,MATCH(SUP_Biofuels!N$8,'89 Vegetable oil FAME'!$B$4:$B$59,0),MATCH(SUP_Biofuels!$I52,'89 Vegetable oil FAME'!$D$3:$H$3,0))*7.45</f>
        <v>3.6952000000000003</v>
      </c>
      <c r="O52" s="35">
        <f>INDEX('89 Vegetable oil FAME'!$D$4:$H$59,MATCH(SUP_Biofuels!O$8,'89 Vegetable oil FAME'!$B$4:$B$59,0),MATCH(SUP_Biofuels!$I52,'89 Vegetable oil FAME'!$D$3:$H$3,0))*7.45</f>
        <v>0.13112000000000001</v>
      </c>
      <c r="P52" s="35">
        <f>INDEX('89 Vegetable oil FAME'!$D$4:$H$59,MATCH(SUP_Biofuels!P$8,'89 Vegetable oil FAME'!$B$4:$B$59,0),MATCH(SUP_Biofuels!$I52,'89 Vegetable oil FAME'!$D$3:$H$3,0))*7.45/3.6</f>
        <v>14.010138888888887</v>
      </c>
      <c r="Q52" s="33">
        <f>1-INDEX('89 Vegetable oil FAME'!$D$4:$H$59,MATCH(SUP_Biofuels!Q$7,'89 Vegetable oil FAME'!$B$4:$B$59,0),MATCH(SUP_Biofuels!$I52,'89 Vegetable oil FAME'!$D$3:$H$3,0))/52-INDEX('89 Vegetable oil FAME'!$D$4:$H$59,MATCH(SUP_Biofuels!Q$8,'89 Vegetable oil FAME'!$B$4:$B$59,0),MATCH(SUP_Biofuels!$I52,'89 Vegetable oil FAME'!$D$3:$H$3,0))/100</f>
        <v>0.96153846153846156</v>
      </c>
      <c r="R52" s="36">
        <f>$R$39</f>
        <v>3.1536000000000002E-2</v>
      </c>
      <c r="S52" s="34">
        <f>INDEX('89 Vegetable oil FAME'!$D$4:$H$59,MATCH(SUP_Biofuels!S$8,'89 Vegetable oil FAME'!$B$4:$B$59,0),MATCH(SUP_Biofuels!$I52,'89 Vegetable oil FAME'!$D$3:$H$3,0))</f>
        <v>1.5</v>
      </c>
      <c r="T52" s="34"/>
      <c r="U52" s="44"/>
      <c r="V52" s="43"/>
      <c r="W52" s="17" t="str">
        <f>W47</f>
        <v>Veg Oil Consumption, MWh/MWh Total Input</v>
      </c>
      <c r="X52" s="17" t="str">
        <f>X47</f>
        <v>Biodiesel Output, MWh/MWh Total Input</v>
      </c>
      <c r="Y52" s="17"/>
    </row>
    <row r="53" spans="3:25">
      <c r="C53" s="43"/>
      <c r="D53" s="43"/>
      <c r="E53" s="17" t="str">
        <f>E48</f>
        <v>SUPMOB</v>
      </c>
      <c r="F53" s="17"/>
      <c r="G53" s="17"/>
      <c r="H53" s="17"/>
      <c r="I53" s="17"/>
      <c r="J53" s="17"/>
      <c r="K53" s="33">
        <f>(INDEX('89 Vegetable oil FAME'!$D$4:$H$59,MATCH(SUP_Biofuels!W53,'89 Vegetable oil FAME'!$B$4:$B$59,0),MATCH(SUP_Biofuels!$I52,'89 Vegetable oil FAME'!$D$3:$H$3,0)))/INDEX('89 Vegetable oil FAME'!$D$4:$H$59,MATCH(SUP_Biofuels!X52,'89 Vegetable oil FAME'!$B$4:$B$59,0),MATCH(SUP_Biofuels!$I52,'89 Vegetable oil FAME'!$D$3:$H$3,0))</f>
        <v>5.0941306755260242E-2</v>
      </c>
      <c r="L53" s="33"/>
      <c r="M53" s="39"/>
      <c r="N53" s="40"/>
      <c r="O53" s="40"/>
      <c r="P53" s="40"/>
      <c r="Q53" s="41"/>
      <c r="R53" s="42"/>
      <c r="S53" s="39"/>
      <c r="T53" s="39"/>
      <c r="U53" s="43"/>
      <c r="V53" s="43"/>
      <c r="W53" s="17" t="str">
        <f>W48</f>
        <v>Methanol Consumption, MWh/MWh Total Input</v>
      </c>
      <c r="X53" s="17"/>
      <c r="Y53" s="17"/>
    </row>
    <row r="54" spans="3:25">
      <c r="C54" s="43"/>
      <c r="D54" s="43"/>
      <c r="E54" s="17" t="str">
        <f>E49</f>
        <v>SUPELC</v>
      </c>
      <c r="F54" s="43"/>
      <c r="G54" s="43"/>
      <c r="H54" s="43"/>
      <c r="I54" s="43"/>
      <c r="J54" s="43"/>
      <c r="K54" s="33">
        <f>(INDEX('89 Vegetable oil FAME'!$D$4:$H$59,MATCH(SUP_Biofuels!W54,'89 Vegetable oil FAME'!$B$4:$B$59,0),MATCH(SUP_Biofuels!$I52,'89 Vegetable oil FAME'!$D$3:$H$3,0)))/INDEX('89 Vegetable oil FAME'!$D$4:$H$59,MATCH(SUP_Biofuels!X52,'89 Vegetable oil FAME'!$B$4:$B$59,0),MATCH(SUP_Biofuels!$I52,'89 Vegetable oil FAME'!$D$3:$H$3,0))</f>
        <v>3.3222591362126247E-3</v>
      </c>
      <c r="L54" s="43"/>
      <c r="M54" s="43"/>
      <c r="N54" s="43"/>
      <c r="O54" s="43"/>
      <c r="P54" s="40"/>
      <c r="Q54" s="43"/>
      <c r="R54" s="43"/>
      <c r="S54" s="43"/>
      <c r="T54" s="43"/>
      <c r="U54" s="43"/>
      <c r="V54" s="43"/>
      <c r="W54" s="17" t="str">
        <f>W49</f>
        <v>Electricity Consumption, MWh/MWh Total Input</v>
      </c>
      <c r="X54" s="43"/>
      <c r="Y54" s="43"/>
    </row>
    <row r="55" spans="3:25" ht="15.6">
      <c r="C55" s="43"/>
      <c r="D55" s="32"/>
      <c r="E55" s="17" t="str">
        <f>E50</f>
        <v>SUPNGA,SUPSNG,SUPH2</v>
      </c>
      <c r="F55" s="43"/>
      <c r="G55" s="43"/>
      <c r="H55" s="43"/>
      <c r="I55" s="43"/>
      <c r="J55" s="43"/>
      <c r="K55" s="33">
        <f>(INDEX('89 Vegetable oil FAME'!$D$4:$H$59,MATCH(SUP_Biofuels!W55,'89 Vegetable oil FAME'!$B$4:$B$59,0),MATCH(SUP_Biofuels!$I52,'89 Vegetable oil FAME'!$D$3:$H$3,0)))/INDEX('89 Vegetable oil FAME'!$D$4:$H$59,MATCH(SUP_Biofuels!X52,'89 Vegetable oil FAME'!$B$4:$B$59,0),MATCH(SUP_Biofuels!$I52,'89 Vegetable oil FAME'!$D$3:$H$3,0))</f>
        <v>2.4363233665559245E-2</v>
      </c>
      <c r="L55" s="43"/>
      <c r="M55" s="43"/>
      <c r="N55" s="43"/>
      <c r="O55" s="43"/>
      <c r="P55" s="40"/>
      <c r="Q55" s="43"/>
      <c r="R55" s="43"/>
      <c r="S55" s="43"/>
      <c r="T55" s="43"/>
      <c r="U55" s="43"/>
      <c r="V55" s="45"/>
      <c r="W55" s="17" t="str">
        <f>W50</f>
        <v>Natural Gas Consumption, MWh/MWh Total Input</v>
      </c>
      <c r="X55" s="43"/>
      <c r="Y55" s="43"/>
    </row>
    <row r="56" spans="3:25">
      <c r="C56" s="43"/>
      <c r="D56" s="17"/>
      <c r="E56" s="43"/>
      <c r="F56" s="43"/>
      <c r="G56" s="17" t="str">
        <f>G51</f>
        <v>GLY</v>
      </c>
      <c r="H56" s="43"/>
      <c r="I56" s="43"/>
      <c r="J56" s="43"/>
      <c r="K56" s="43"/>
      <c r="L56" s="33">
        <f>INDEX('89 Vegetable oil FAME'!$D$4:$H$59,MATCH(SUP_Biofuels!Y56,'89 Vegetable oil FAME'!$B$4:$B$59,0),MATCH(SUP_Biofuels!$I52,'89 Vegetable oil FAME'!$D$3:$H$3,0))*(SUM(K52:K55))</f>
        <v>4.3189368770764118E-2</v>
      </c>
      <c r="M56" s="43"/>
      <c r="N56" s="43"/>
      <c r="O56" s="43"/>
      <c r="P56" s="40"/>
      <c r="Q56" s="43"/>
      <c r="R56" s="43"/>
      <c r="S56" s="43"/>
      <c r="T56" s="43"/>
      <c r="U56" s="43"/>
      <c r="V56" s="43"/>
      <c r="W56" s="43"/>
      <c r="X56" s="43"/>
      <c r="Y56" s="17" t="str">
        <f>Y51</f>
        <v>Glycerine  Output, MWh/MWh Total Input</v>
      </c>
    </row>
    <row r="57" spans="3:25">
      <c r="C57" s="43"/>
      <c r="D57" s="43"/>
      <c r="E57" s="17" t="str">
        <f>E52</f>
        <v>SUPRPS</v>
      </c>
      <c r="F57" s="17" t="str">
        <f>F52</f>
        <v>DSB1</v>
      </c>
      <c r="G57" s="17"/>
      <c r="H57" s="17" t="s">
        <v>70</v>
      </c>
      <c r="I57" s="17">
        <v>2040</v>
      </c>
      <c r="J57" s="17"/>
      <c r="K57" s="33">
        <f>(INDEX('89 Vegetable oil FAME'!$D$4:$H$59,MATCH(SUP_Biofuels!W57,'89 Vegetable oil FAME'!$B$4:$B$59,0),MATCH(SUP_Biofuels!$I57,'89 Vegetable oil FAME'!$D$3:$H$3,0)))/INDEX('89 Vegetable oil FAME'!$D$4:$H$59,MATCH(SUP_Biofuels!X57,'89 Vegetable oil FAME'!$B$4:$B$59,0),MATCH(SUP_Biofuels!$I57,'89 Vegetable oil FAME'!$D$3:$H$3,0))</f>
        <v>1.0310077519379846</v>
      </c>
      <c r="L57" s="33"/>
      <c r="M57" s="34">
        <f>INDEX('89 Vegetable oil FAME'!$D$4:$H$59,MATCH(SUP_Biofuels!M$8,'89 Vegetable oil FAME'!$B$4:$B$59,0),MATCH(SUP_Biofuels!$I57,'89 Vegetable oil FAME'!$D$3:$H$3,0))</f>
        <v>25</v>
      </c>
      <c r="N57" s="35">
        <f>INDEX('89 Vegetable oil FAME'!$D$4:$H$59,MATCH(SUP_Biofuels!N$8,'89 Vegetable oil FAME'!$B$4:$B$59,0),MATCH(SUP_Biofuels!$I57,'89 Vegetable oil FAME'!$D$3:$H$3,0))*7.45</f>
        <v>3.6505000000000001</v>
      </c>
      <c r="O57" s="35">
        <f>INDEX('89 Vegetable oil FAME'!$D$4:$H$59,MATCH(SUP_Biofuels!O$8,'89 Vegetable oil FAME'!$B$4:$B$59,0),MATCH(SUP_Biofuels!$I57,'89 Vegetable oil FAME'!$D$3:$H$3,0))*7.45</f>
        <v>0.13112000000000001</v>
      </c>
      <c r="P57" s="35">
        <f>INDEX('89 Vegetable oil FAME'!$D$4:$H$59,MATCH(SUP_Biofuels!P$8,'89 Vegetable oil FAME'!$B$4:$B$59,0),MATCH(SUP_Biofuels!$I57,'89 Vegetable oil FAME'!$D$3:$H$3,0))*7.45/3.6</f>
        <v>14.010138888888887</v>
      </c>
      <c r="Q57" s="33">
        <f>1-INDEX('89 Vegetable oil FAME'!$D$4:$H$59,MATCH(SUP_Biofuels!Q$7,'89 Vegetable oil FAME'!$B$4:$B$59,0),MATCH(SUP_Biofuels!$I57,'89 Vegetable oil FAME'!$D$3:$H$3,0))/52-INDEX('89 Vegetable oil FAME'!$D$4:$H$59,MATCH(SUP_Biofuels!Q$8,'89 Vegetable oil FAME'!$B$4:$B$59,0),MATCH(SUP_Biofuels!$I57,'89 Vegetable oil FAME'!$D$3:$H$3,0))/100</f>
        <v>0.96153846153846156</v>
      </c>
      <c r="R57" s="36">
        <f>$R$39</f>
        <v>3.1536000000000002E-2</v>
      </c>
      <c r="S57" s="34">
        <f>INDEX('89 Vegetable oil FAME'!$D$4:$H$59,MATCH(SUP_Biofuels!S$8,'89 Vegetable oil FAME'!$B$4:$B$59,0),MATCH(SUP_Biofuels!$I57,'89 Vegetable oil FAME'!$D$3:$H$3,0))</f>
        <v>1.5</v>
      </c>
      <c r="T57" s="34"/>
      <c r="U57" s="44"/>
      <c r="V57" s="43"/>
      <c r="W57" s="17" t="str">
        <f>W52</f>
        <v>Veg Oil Consumption, MWh/MWh Total Input</v>
      </c>
      <c r="X57" s="17" t="str">
        <f>X52</f>
        <v>Biodiesel Output, MWh/MWh Total Input</v>
      </c>
      <c r="Y57" s="17"/>
    </row>
    <row r="58" spans="3:25">
      <c r="C58" s="43"/>
      <c r="D58" s="43"/>
      <c r="E58" s="17" t="str">
        <f>E53</f>
        <v>SUPMOB</v>
      </c>
      <c r="F58" s="17"/>
      <c r="G58" s="17"/>
      <c r="H58" s="17"/>
      <c r="I58" s="17"/>
      <c r="J58" s="17"/>
      <c r="K58" s="33">
        <f>(INDEX('89 Vegetable oil FAME'!$D$4:$H$59,MATCH(SUP_Biofuels!W58,'89 Vegetable oil FAME'!$B$4:$B$59,0),MATCH(SUP_Biofuels!$I57,'89 Vegetable oil FAME'!$D$3:$H$3,0)))/INDEX('89 Vegetable oil FAME'!$D$4:$H$59,MATCH(SUP_Biofuels!X57,'89 Vegetable oil FAME'!$B$4:$B$59,0),MATCH(SUP_Biofuels!$I57,'89 Vegetable oil FAME'!$D$3:$H$3,0))</f>
        <v>5.0941306755260242E-2</v>
      </c>
      <c r="L58" s="33"/>
      <c r="M58" s="39"/>
      <c r="N58" s="40"/>
      <c r="O58" s="40"/>
      <c r="P58" s="40"/>
      <c r="Q58" s="41"/>
      <c r="R58" s="42"/>
      <c r="S58" s="39"/>
      <c r="T58" s="39"/>
      <c r="U58" s="43"/>
      <c r="V58" s="43"/>
      <c r="W58" s="17" t="str">
        <f>W53</f>
        <v>Methanol Consumption, MWh/MWh Total Input</v>
      </c>
      <c r="X58" s="17"/>
      <c r="Y58" s="17"/>
    </row>
    <row r="59" spans="3:25">
      <c r="C59" s="43"/>
      <c r="D59" s="43"/>
      <c r="E59" s="17" t="str">
        <f>E54</f>
        <v>SUPELC</v>
      </c>
      <c r="F59" s="43"/>
      <c r="G59" s="43"/>
      <c r="H59" s="43"/>
      <c r="I59" s="43"/>
      <c r="J59" s="43"/>
      <c r="K59" s="33">
        <f>(INDEX('89 Vegetable oil FAME'!$D$4:$H$59,MATCH(SUP_Biofuels!W59,'89 Vegetable oil FAME'!$B$4:$B$59,0),MATCH(SUP_Biofuels!$I57,'89 Vegetable oil FAME'!$D$3:$H$3,0)))/INDEX('89 Vegetable oil FAME'!$D$4:$H$59,MATCH(SUP_Biofuels!X57,'89 Vegetable oil FAME'!$B$4:$B$59,0),MATCH(SUP_Biofuels!$I57,'89 Vegetable oil FAME'!$D$3:$H$3,0))</f>
        <v>2.7685492801771869E-3</v>
      </c>
      <c r="L59" s="43"/>
      <c r="M59" s="43"/>
      <c r="N59" s="43"/>
      <c r="O59" s="43"/>
      <c r="P59" s="40"/>
      <c r="Q59" s="43"/>
      <c r="R59" s="43"/>
      <c r="S59" s="43"/>
      <c r="T59" s="43"/>
      <c r="U59" s="43"/>
      <c r="V59" s="43"/>
      <c r="W59" s="17" t="str">
        <f>W54</f>
        <v>Electricity Consumption, MWh/MWh Total Input</v>
      </c>
      <c r="X59" s="43"/>
      <c r="Y59" s="43"/>
    </row>
    <row r="60" spans="3:25">
      <c r="C60" s="43"/>
      <c r="D60" s="43"/>
      <c r="E60" s="17" t="str">
        <f>E55</f>
        <v>SUPNGA,SUPSNG,SUPH2</v>
      </c>
      <c r="F60" s="43"/>
      <c r="G60" s="43"/>
      <c r="H60" s="43"/>
      <c r="I60" s="43"/>
      <c r="J60" s="43"/>
      <c r="K60" s="33">
        <f>(INDEX('89 Vegetable oil FAME'!$D$4:$H$59,MATCH(SUP_Biofuels!W60,'89 Vegetable oil FAME'!$B$4:$B$59,0),MATCH(SUP_Biofuels!$I57,'89 Vegetable oil FAME'!$D$3:$H$3,0)))/INDEX('89 Vegetable oil FAME'!$D$4:$H$59,MATCH(SUP_Biofuels!X57,'89 Vegetable oil FAME'!$B$4:$B$59,0),MATCH(SUP_Biofuels!$I57,'89 Vegetable oil FAME'!$D$3:$H$3,0))</f>
        <v>2.2148394241417495E-2</v>
      </c>
      <c r="L60" s="43"/>
      <c r="M60" s="43"/>
      <c r="N60" s="43"/>
      <c r="O60" s="43"/>
      <c r="P60" s="40"/>
      <c r="Q60" s="43"/>
      <c r="R60" s="43"/>
      <c r="S60" s="43"/>
      <c r="T60" s="43"/>
      <c r="U60" s="43"/>
      <c r="V60" s="43"/>
      <c r="W60" s="17" t="str">
        <f>W55</f>
        <v>Natural Gas Consumption, MWh/MWh Total Input</v>
      </c>
      <c r="X60" s="43"/>
      <c r="Y60" s="43"/>
    </row>
    <row r="61" spans="3:25">
      <c r="C61" s="43"/>
      <c r="D61" s="43"/>
      <c r="E61" s="43"/>
      <c r="F61" s="43"/>
      <c r="G61" s="17" t="str">
        <f>G56</f>
        <v>GLY</v>
      </c>
      <c r="H61" s="43"/>
      <c r="I61" s="43"/>
      <c r="J61" s="43"/>
      <c r="K61" s="43"/>
      <c r="L61" s="33">
        <f>INDEX('89 Vegetable oil FAME'!$D$4:$H$59,MATCH(SUP_Biofuels!Y61,'89 Vegetable oil FAME'!$B$4:$B$59,0),MATCH(SUP_Biofuels!$I57,'89 Vegetable oil FAME'!$D$3:$H$3,0))*(SUM(K57:K60))</f>
        <v>4.3167774086378743E-2</v>
      </c>
      <c r="M61" s="43"/>
      <c r="N61" s="43"/>
      <c r="O61" s="43"/>
      <c r="P61" s="40"/>
      <c r="Q61" s="43"/>
      <c r="R61" s="43"/>
      <c r="S61" s="43"/>
      <c r="T61" s="43"/>
      <c r="U61" s="43"/>
      <c r="V61" s="43"/>
      <c r="W61" s="43"/>
      <c r="X61" s="43"/>
      <c r="Y61" s="17" t="str">
        <f>Y56</f>
        <v>Glycerine  Output, MWh/MWh Total Input</v>
      </c>
    </row>
    <row r="62" spans="3:25">
      <c r="C62" s="43"/>
      <c r="D62" s="43"/>
      <c r="E62" s="17" t="str">
        <f>E57</f>
        <v>SUPRPS</v>
      </c>
      <c r="F62" s="17" t="str">
        <f>F57</f>
        <v>DSB1</v>
      </c>
      <c r="G62" s="17"/>
      <c r="H62" s="17" t="s">
        <v>70</v>
      </c>
      <c r="I62" s="17">
        <v>2050</v>
      </c>
      <c r="J62" s="17"/>
      <c r="K62" s="33">
        <f>(INDEX('89 Vegetable oil FAME'!$D$4:$H$59,MATCH(SUP_Biofuels!W62,'89 Vegetable oil FAME'!$B$4:$B$59,0),MATCH(SUP_Biofuels!$I62,'89 Vegetable oil FAME'!$D$3:$H$3,0)))/INDEX('89 Vegetable oil FAME'!$D$4:$H$59,MATCH(SUP_Biofuels!X62,'89 Vegetable oil FAME'!$B$4:$B$59,0),MATCH(SUP_Biofuels!$I62,'89 Vegetable oil FAME'!$D$3:$H$3,0))</f>
        <v>1.0332225913621262</v>
      </c>
      <c r="L62" s="33"/>
      <c r="M62" s="34">
        <f>INDEX('89 Vegetable oil FAME'!$D$4:$H$59,MATCH(SUP_Biofuels!M$8,'89 Vegetable oil FAME'!$B$4:$B$59,0),MATCH(SUP_Biofuels!$I62,'89 Vegetable oil FAME'!$D$3:$H$3,0))</f>
        <v>25</v>
      </c>
      <c r="N62" s="35">
        <f>INDEX('89 Vegetable oil FAME'!$D$4:$H$59,MATCH(SUP_Biofuels!N$8,'89 Vegetable oil FAME'!$B$4:$B$59,0),MATCH(SUP_Biofuels!$I62,'89 Vegetable oil FAME'!$D$3:$H$3,0))*7.45</f>
        <v>3.5760000000000001</v>
      </c>
      <c r="O62" s="35">
        <f>INDEX('89 Vegetable oil FAME'!$D$4:$H$59,MATCH(SUP_Biofuels!O$8,'89 Vegetable oil FAME'!$B$4:$B$59,0),MATCH(SUP_Biofuels!$I62,'89 Vegetable oil FAME'!$D$3:$H$3,0))*7.45</f>
        <v>0.13112000000000001</v>
      </c>
      <c r="P62" s="35">
        <f>INDEX('89 Vegetable oil FAME'!$D$4:$H$59,MATCH(SUP_Biofuels!P$8,'89 Vegetable oil FAME'!$B$4:$B$59,0),MATCH(SUP_Biofuels!$I62,'89 Vegetable oil FAME'!$D$3:$H$3,0))*7.45/3.6</f>
        <v>14.010138888888887</v>
      </c>
      <c r="Q62" s="33">
        <f>1-INDEX('89 Vegetable oil FAME'!$D$4:$H$59,MATCH(SUP_Biofuels!Q$7,'89 Vegetable oil FAME'!$B$4:$B$59,0),MATCH(SUP_Biofuels!$I62,'89 Vegetable oil FAME'!$D$3:$H$3,0))/52-INDEX('89 Vegetable oil FAME'!$D$4:$H$59,MATCH(SUP_Biofuels!Q$8,'89 Vegetable oil FAME'!$B$4:$B$59,0),MATCH(SUP_Biofuels!$I62,'89 Vegetable oil FAME'!$D$3:$H$3,0))/100</f>
        <v>0.96153846153846156</v>
      </c>
      <c r="R62" s="36">
        <f>$R$39</f>
        <v>3.1536000000000002E-2</v>
      </c>
      <c r="S62" s="34">
        <f>INDEX('89 Vegetable oil FAME'!$D$4:$H$59,MATCH(SUP_Biofuels!S$8,'89 Vegetable oil FAME'!$B$4:$B$59,0),MATCH(SUP_Biofuels!$I62,'89 Vegetable oil FAME'!$D$3:$H$3,0))</f>
        <v>1.5</v>
      </c>
      <c r="T62" s="34"/>
      <c r="U62" s="44"/>
      <c r="V62" s="43"/>
      <c r="W62" s="17" t="str">
        <f>W57</f>
        <v>Veg Oil Consumption, MWh/MWh Total Input</v>
      </c>
      <c r="X62" s="17" t="str">
        <f>X57</f>
        <v>Biodiesel Output, MWh/MWh Total Input</v>
      </c>
      <c r="Y62" s="17"/>
    </row>
    <row r="63" spans="3:25">
      <c r="C63" s="43"/>
      <c r="D63" s="43"/>
      <c r="E63" s="17" t="str">
        <f>E58</f>
        <v>SUPMOB</v>
      </c>
      <c r="F63" s="17"/>
      <c r="G63" s="17"/>
      <c r="H63" s="17"/>
      <c r="I63" s="17"/>
      <c r="J63" s="17"/>
      <c r="K63" s="33">
        <f>(INDEX('89 Vegetable oil FAME'!$D$4:$H$59,MATCH(SUP_Biofuels!W63,'89 Vegetable oil FAME'!$B$4:$B$59,0),MATCH(SUP_Biofuels!$I62,'89 Vegetable oil FAME'!$D$3:$H$3,0)))/INDEX('89 Vegetable oil FAME'!$D$4:$H$59,MATCH(SUP_Biofuels!X62,'89 Vegetable oil FAME'!$B$4:$B$59,0),MATCH(SUP_Biofuels!$I62,'89 Vegetable oil FAME'!$D$3:$H$3,0))</f>
        <v>5.0941306755260242E-2</v>
      </c>
      <c r="L63" s="33"/>
      <c r="M63" s="39"/>
      <c r="N63" s="40"/>
      <c r="O63" s="40"/>
      <c r="P63" s="40"/>
      <c r="Q63" s="41"/>
      <c r="R63" s="42"/>
      <c r="S63" s="39"/>
      <c r="T63" s="39"/>
      <c r="U63" s="43"/>
      <c r="V63" s="43"/>
      <c r="W63" s="17" t="str">
        <f>W58</f>
        <v>Methanol Consumption, MWh/MWh Total Input</v>
      </c>
      <c r="X63" s="17"/>
      <c r="Y63" s="17"/>
    </row>
    <row r="64" spans="3:25" ht="15.6">
      <c r="C64" s="43"/>
      <c r="D64" s="32"/>
      <c r="E64" s="17" t="str">
        <f>E59</f>
        <v>SUPELC</v>
      </c>
      <c r="F64" s="43"/>
      <c r="G64" s="43"/>
      <c r="H64" s="43"/>
      <c r="I64" s="43"/>
      <c r="J64" s="43"/>
      <c r="K64" s="33">
        <f>(INDEX('89 Vegetable oil FAME'!$D$4:$H$59,MATCH(SUP_Biofuels!W64,'89 Vegetable oil FAME'!$B$4:$B$59,0),MATCH(SUP_Biofuels!$I62,'89 Vegetable oil FAME'!$D$3:$H$3,0)))/INDEX('89 Vegetable oil FAME'!$D$4:$H$59,MATCH(SUP_Biofuels!X62,'89 Vegetable oil FAME'!$B$4:$B$59,0),MATCH(SUP_Biofuels!$I62,'89 Vegetable oil FAME'!$D$3:$H$3,0))</f>
        <v>2.2148394241417496E-3</v>
      </c>
      <c r="L64" s="43"/>
      <c r="M64" s="43"/>
      <c r="N64" s="43"/>
      <c r="O64" s="43"/>
      <c r="P64" s="40"/>
      <c r="Q64" s="43"/>
      <c r="R64" s="43"/>
      <c r="S64" s="43"/>
      <c r="T64" s="43"/>
      <c r="U64" s="43"/>
      <c r="V64" s="43"/>
      <c r="W64" s="17" t="str">
        <f>W59</f>
        <v>Electricity Consumption, MWh/MWh Total Input</v>
      </c>
      <c r="X64" s="43"/>
      <c r="Y64" s="43"/>
    </row>
    <row r="65" spans="3:25">
      <c r="C65" s="43"/>
      <c r="D65" s="17"/>
      <c r="E65" s="17" t="str">
        <f>E60</f>
        <v>SUPNGA,SUPSNG,SUPH2</v>
      </c>
      <c r="F65" s="43"/>
      <c r="G65" s="43"/>
      <c r="H65" s="43"/>
      <c r="I65" s="43"/>
      <c r="J65" s="43"/>
      <c r="K65" s="33">
        <f>(INDEX('89 Vegetable oil FAME'!$D$4:$H$59,MATCH(SUP_Biofuels!W65,'89 Vegetable oil FAME'!$B$4:$B$59,0),MATCH(SUP_Biofuels!$I62,'89 Vegetable oil FAME'!$D$3:$H$3,0)))/INDEX('89 Vegetable oil FAME'!$D$4:$H$59,MATCH(SUP_Biofuels!X62,'89 Vegetable oil FAME'!$B$4:$B$59,0),MATCH(SUP_Biofuels!$I62,'89 Vegetable oil FAME'!$D$3:$H$3,0))</f>
        <v>1.9933554817275746E-2</v>
      </c>
      <c r="L65" s="43"/>
      <c r="M65" s="43"/>
      <c r="N65" s="43"/>
      <c r="O65" s="43"/>
      <c r="P65" s="40"/>
      <c r="Q65" s="43"/>
      <c r="R65" s="43"/>
      <c r="S65" s="43"/>
      <c r="T65" s="43"/>
      <c r="U65" s="43"/>
      <c r="V65" s="43"/>
      <c r="W65" s="17" t="str">
        <f>W60</f>
        <v>Natural Gas Consumption, MWh/MWh Total Input</v>
      </c>
      <c r="X65" s="43"/>
      <c r="Y65" s="43"/>
    </row>
    <row r="66" spans="3:25" ht="15" thickBot="1">
      <c r="C66" s="46"/>
      <c r="D66" s="46"/>
      <c r="E66" s="46"/>
      <c r="F66" s="46"/>
      <c r="G66" s="47" t="str">
        <f>G61</f>
        <v>GLY</v>
      </c>
      <c r="H66" s="46"/>
      <c r="I66" s="46"/>
      <c r="J66" s="46"/>
      <c r="K66" s="46"/>
      <c r="L66" s="48">
        <f>INDEX('89 Vegetable oil FAME'!$D$4:$H$59,MATCH(SUP_Biofuels!Y66,'89 Vegetable oil FAME'!$B$4:$B$59,0),MATCH(SUP_Biofuels!$I62,'89 Vegetable oil FAME'!$D$3:$H$3,0))*(SUM(K62:K65))</f>
        <v>4.3146179401993348E-2</v>
      </c>
      <c r="M66" s="46"/>
      <c r="N66" s="46"/>
      <c r="O66" s="46"/>
      <c r="P66" s="49"/>
      <c r="Q66" s="46"/>
      <c r="R66" s="46"/>
      <c r="S66" s="46"/>
      <c r="T66" s="46"/>
      <c r="U66" s="46"/>
      <c r="V66" s="46"/>
      <c r="W66" s="46"/>
      <c r="X66" s="46"/>
      <c r="Y66" s="47" t="str">
        <f>Y61</f>
        <v>Glycerine  Output, MWh/MWh Total Input</v>
      </c>
    </row>
    <row r="67" spans="3:25" ht="15.6">
      <c r="C67" s="54" t="str">
        <f>"SUP"&amp;F67&amp;RIGHT(E67,3)&amp;IF(RIGHT(D67,7)="Central","C1","D1")</f>
        <v>SUPDSB1CRBC1</v>
      </c>
      <c r="D67" s="32" t="str">
        <f>'89 Vegetable oil FAME'!D2&amp;" Central"</f>
        <v>Vegetable Oil FAME Central</v>
      </c>
      <c r="E67" s="17" t="s">
        <v>1761</v>
      </c>
      <c r="F67" s="17" t="s">
        <v>73</v>
      </c>
      <c r="G67" s="17"/>
      <c r="H67" s="17" t="s">
        <v>70</v>
      </c>
      <c r="I67" s="17">
        <f>'93 1st generation ethanol'!$D$3</f>
        <v>2015</v>
      </c>
      <c r="J67" s="19">
        <v>2030</v>
      </c>
      <c r="K67" s="33">
        <f>(INDEX('89 Vegetable oil FAME'!$D$4:$H$59,MATCH(SUP_Biofuels!W67,'89 Vegetable oil FAME'!$B$4:$B$59,0),MATCH(SUP_Biofuels!$I67,'89 Vegetable oil FAME'!$D$3:$H$3,0)))/INDEX('89 Vegetable oil FAME'!$D$4:$H$59,MATCH(SUP_Biofuels!X67,'89 Vegetable oil FAME'!$B$4:$B$59,0),MATCH(SUP_Biofuels!$I67,'89 Vegetable oil FAME'!$D$3:$H$3,0))</f>
        <v>1.0243632336655593</v>
      </c>
      <c r="L67" s="33"/>
      <c r="M67" s="34">
        <f>INDEX('89 Vegetable oil FAME'!$D$4:$H$59,MATCH(SUP_Biofuels!M$8,'89 Vegetable oil FAME'!$B$4:$B$59,0),MATCH(SUP_Biofuels!$I67,'89 Vegetable oil FAME'!$D$3:$H$3,0))</f>
        <v>25</v>
      </c>
      <c r="N67" s="35">
        <f>INDEX('89 Vegetable oil FAME'!$D$4:$H$59,MATCH(SUP_Biofuels!N$8,'89 Vegetable oil FAME'!$B$4:$B$59,0),MATCH(SUP_Biofuels!$I67,'89 Vegetable oil FAME'!$D$3:$H$3,0))*7.45</f>
        <v>3.8144</v>
      </c>
      <c r="O67" s="35">
        <f>INDEX('89 Vegetable oil FAME'!$D$4:$H$59,MATCH(SUP_Biofuels!O$8,'89 Vegetable oil FAME'!$B$4:$B$59,0),MATCH(SUP_Biofuels!$I67,'89 Vegetable oil FAME'!$D$3:$H$3,0))*7.45</f>
        <v>0.13112000000000001</v>
      </c>
      <c r="P67" s="35">
        <f>INDEX('89 Vegetable oil FAME'!$D$4:$H$59,MATCH(SUP_Biofuels!P$8,'89 Vegetable oil FAME'!$B$4:$B$59,0),MATCH(SUP_Biofuels!$I67,'89 Vegetable oil FAME'!$D$3:$H$3,0))*7.45/3.6</f>
        <v>14.010138888888887</v>
      </c>
      <c r="Q67" s="33">
        <f>1-INDEX('89 Vegetable oil FAME'!$D$4:$H$59,MATCH(SUP_Biofuels!Q$7,'89 Vegetable oil FAME'!$B$4:$B$59,0),MATCH(SUP_Biofuels!$I67,'89 Vegetable oil FAME'!$D$3:$H$3,0))/52-INDEX('89 Vegetable oil FAME'!$D$4:$H$59,MATCH(SUP_Biofuels!Q$8,'89 Vegetable oil FAME'!$B$4:$B$59,0),MATCH(SUP_Biofuels!$I67,'89 Vegetable oil FAME'!$D$3:$H$3,0))/100</f>
        <v>0.96153846153846156</v>
      </c>
      <c r="R67" s="36">
        <f>$R$39</f>
        <v>3.1536000000000002E-2</v>
      </c>
      <c r="S67" s="34">
        <f>INDEX('89 Vegetable oil FAME'!$D$4:$H$59,MATCH(SUP_Biofuels!S$8,'89 Vegetable oil FAME'!$B$4:$B$59,0),MATCH(SUP_Biofuels!$I67,'89 Vegetable oil FAME'!$D$3:$H$3,0))</f>
        <v>1.5</v>
      </c>
      <c r="T67" s="34"/>
      <c r="U67" s="37"/>
      <c r="V67" s="38" t="s">
        <v>74</v>
      </c>
      <c r="W67" s="17" t="str">
        <f>W42</f>
        <v>Veg Oil Consumption, MWh/MWh Total Input</v>
      </c>
      <c r="X67" s="17" t="str">
        <f>X42</f>
        <v>Biodiesel Output, MWh/MWh Total Input</v>
      </c>
      <c r="Y67" s="17"/>
    </row>
    <row r="68" spans="3:25">
      <c r="C68" s="17"/>
      <c r="D68" s="17"/>
      <c r="E68" s="17" t="s">
        <v>1419</v>
      </c>
      <c r="F68" s="17"/>
      <c r="G68" s="17"/>
      <c r="H68" s="17"/>
      <c r="I68" s="17"/>
      <c r="J68" s="17"/>
      <c r="K68" s="33">
        <f>(INDEX('89 Vegetable oil FAME'!$D$4:$H$59,MATCH(SUP_Biofuels!W68,'89 Vegetable oil FAME'!$B$4:$B$59,0),MATCH(SUP_Biofuels!$I67,'89 Vegetable oil FAME'!$D$3:$H$3,0)))/INDEX('89 Vegetable oil FAME'!$D$4:$H$59,MATCH(SUP_Biofuels!X67,'89 Vegetable oil FAME'!$B$4:$B$59,0),MATCH(SUP_Biofuels!$I67,'89 Vegetable oil FAME'!$D$3:$H$3,0))</f>
        <v>5.0941306755260242E-2</v>
      </c>
      <c r="L68" s="33"/>
      <c r="M68" s="39"/>
      <c r="N68" s="40"/>
      <c r="O68" s="40"/>
      <c r="P68" s="40"/>
      <c r="Q68" s="41"/>
      <c r="R68" s="42"/>
      <c r="S68" s="39"/>
      <c r="T68" s="39"/>
      <c r="U68" s="43"/>
      <c r="V68" s="43"/>
      <c r="W68" s="17" t="str">
        <f>W43</f>
        <v>Methanol Consumption, MWh/MWh Total Input</v>
      </c>
      <c r="X68" s="17"/>
      <c r="Y68" s="17"/>
    </row>
    <row r="69" spans="3:25">
      <c r="C69" s="43"/>
      <c r="D69" s="43"/>
      <c r="E69" s="43" t="s">
        <v>71</v>
      </c>
      <c r="F69" s="43"/>
      <c r="G69" s="43"/>
      <c r="H69" s="43"/>
      <c r="I69" s="43"/>
      <c r="J69" s="43"/>
      <c r="K69" s="33">
        <f>(INDEX('89 Vegetable oil FAME'!$D$4:$H$59,MATCH(SUP_Biofuels!W69,'89 Vegetable oil FAME'!$B$4:$B$59,0),MATCH(SUP_Biofuels!$I67,'89 Vegetable oil FAME'!$D$3:$H$3,0)))/INDEX('89 Vegetable oil FAME'!$D$4:$H$59,MATCH(SUP_Biofuels!X67,'89 Vegetable oil FAME'!$B$4:$B$59,0),MATCH(SUP_Biofuels!$I67,'89 Vegetable oil FAME'!$D$3:$H$3,0))</f>
        <v>4.4296788482834993E-3</v>
      </c>
      <c r="L69" s="43"/>
      <c r="M69" s="43"/>
      <c r="N69" s="43"/>
      <c r="O69" s="43"/>
      <c r="P69" s="40"/>
      <c r="Q69" s="43"/>
      <c r="R69" s="43"/>
      <c r="S69" s="43"/>
      <c r="T69" s="43"/>
      <c r="U69" s="43"/>
      <c r="V69" s="43"/>
      <c r="W69" s="17" t="str">
        <f>W44</f>
        <v>Electricity Consumption, MWh/MWh Total Input</v>
      </c>
      <c r="X69" s="43"/>
      <c r="Y69" s="43"/>
    </row>
    <row r="70" spans="3:25">
      <c r="C70" s="43"/>
      <c r="D70" s="43"/>
      <c r="E70" s="43" t="s">
        <v>1760</v>
      </c>
      <c r="F70" s="43"/>
      <c r="G70" s="43"/>
      <c r="H70" s="43"/>
      <c r="I70" s="43"/>
      <c r="J70" s="43"/>
      <c r="K70" s="33">
        <f>(INDEX('89 Vegetable oil FAME'!$D$4:$H$59,MATCH(SUP_Biofuels!W70,'89 Vegetable oil FAME'!$B$4:$B$59,0),MATCH(SUP_Biofuels!$I67,'89 Vegetable oil FAME'!$D$3:$H$3,0)))/INDEX('89 Vegetable oil FAME'!$D$4:$H$59,MATCH(SUP_Biofuels!X67,'89 Vegetable oil FAME'!$B$4:$B$59,0),MATCH(SUP_Biofuels!$I67,'89 Vegetable oil FAME'!$D$3:$H$3,0))</f>
        <v>2.7685492801771874E-2</v>
      </c>
      <c r="L70" s="43"/>
      <c r="M70" s="43"/>
      <c r="N70" s="43"/>
      <c r="O70" s="43"/>
      <c r="P70" s="40"/>
      <c r="Q70" s="43"/>
      <c r="R70" s="43"/>
      <c r="S70" s="43"/>
      <c r="T70" s="43"/>
      <c r="U70" s="43"/>
      <c r="V70" s="43"/>
      <c r="W70" s="17" t="str">
        <f>W45</f>
        <v>Natural Gas Consumption, MWh/MWh Total Input</v>
      </c>
      <c r="X70" s="43"/>
      <c r="Y70" s="43"/>
    </row>
    <row r="71" spans="3:25">
      <c r="C71" s="43"/>
      <c r="D71" s="43"/>
      <c r="E71" s="43"/>
      <c r="F71" s="43"/>
      <c r="G71" s="43" t="s">
        <v>75</v>
      </c>
      <c r="H71" s="43"/>
      <c r="I71" s="43"/>
      <c r="J71" s="43"/>
      <c r="K71" s="43"/>
      <c r="L71" s="33">
        <f>INDEX('89 Vegetable oil FAME'!$D$4:$H$59,MATCH(SUP_Biofuels!Y71,'89 Vegetable oil FAME'!$B$4:$B$59,0),MATCH(SUP_Biofuels!$I67,'89 Vegetable oil FAME'!$D$3:$H$3,0))*(SUM(K67:K70))</f>
        <v>4.3189368770764118E-2</v>
      </c>
      <c r="M71" s="43"/>
      <c r="N71" s="43"/>
      <c r="O71" s="43"/>
      <c r="P71" s="40"/>
      <c r="Q71" s="43"/>
      <c r="R71" s="43"/>
      <c r="S71" s="43"/>
      <c r="T71" s="43"/>
      <c r="U71" s="43"/>
      <c r="V71" s="43"/>
      <c r="W71" s="43"/>
      <c r="X71" s="43"/>
      <c r="Y71" s="17" t="str">
        <f>Y46</f>
        <v>Glycerine  Output, MWh/MWh Total Input</v>
      </c>
    </row>
    <row r="72" spans="3:25" ht="15.6">
      <c r="C72" s="17"/>
      <c r="D72" s="32"/>
      <c r="E72" s="17" t="str">
        <f>E67</f>
        <v>SUPCRB</v>
      </c>
      <c r="F72" s="17" t="str">
        <f>F67</f>
        <v>DSB1</v>
      </c>
      <c r="G72" s="17"/>
      <c r="H72" s="17" t="s">
        <v>70</v>
      </c>
      <c r="I72" s="17">
        <v>2020</v>
      </c>
      <c r="J72" s="17"/>
      <c r="K72" s="33">
        <f>(INDEX('89 Vegetable oil FAME'!$D$4:$H$59,MATCH(SUP_Biofuels!W72,'89 Vegetable oil FAME'!$B$4:$B$59,0),MATCH(SUP_Biofuels!$I72,'89 Vegetable oil FAME'!$D$3:$H$3,0)))/INDEX('89 Vegetable oil FAME'!$D$4:$H$59,MATCH(SUP_Biofuels!X72,'89 Vegetable oil FAME'!$B$4:$B$59,0),MATCH(SUP_Biofuels!$I72,'89 Vegetable oil FAME'!$D$3:$H$3,0))</f>
        <v>1.0254706533776301</v>
      </c>
      <c r="L72" s="33"/>
      <c r="M72" s="34">
        <f>INDEX('89 Vegetable oil FAME'!$D$4:$H$59,MATCH(SUP_Biofuels!M$8,'89 Vegetable oil FAME'!$B$4:$B$59,0),MATCH(SUP_Biofuels!$I72,'89 Vegetable oil FAME'!$D$3:$H$3,0))</f>
        <v>25</v>
      </c>
      <c r="N72" s="35">
        <f>INDEX('89 Vegetable oil FAME'!$D$4:$H$59,MATCH(SUP_Biofuels!N$8,'89 Vegetable oil FAME'!$B$4:$B$59,0),MATCH(SUP_Biofuels!$I72,'89 Vegetable oil FAME'!$D$3:$H$3,0))*7.45</f>
        <v>3.7547999999999999</v>
      </c>
      <c r="O72" s="35">
        <f>INDEX('89 Vegetable oil FAME'!$D$4:$H$59,MATCH(SUP_Biofuels!O$8,'89 Vegetable oil FAME'!$B$4:$B$59,0),MATCH(SUP_Biofuels!$I72,'89 Vegetable oil FAME'!$D$3:$H$3,0))*7.45</f>
        <v>0.13112000000000001</v>
      </c>
      <c r="P72" s="35">
        <f>INDEX('89 Vegetable oil FAME'!$D$4:$H$59,MATCH(SUP_Biofuels!P$8,'89 Vegetable oil FAME'!$B$4:$B$59,0),MATCH(SUP_Biofuels!$I72,'89 Vegetable oil FAME'!$D$3:$H$3,0))*7.45/3.6</f>
        <v>14.010138888888887</v>
      </c>
      <c r="Q72" s="33">
        <f>1-INDEX('89 Vegetable oil FAME'!$D$4:$H$59,MATCH(SUP_Biofuels!Q$7,'89 Vegetable oil FAME'!$B$4:$B$59,0),MATCH(SUP_Biofuels!$I72,'89 Vegetable oil FAME'!$D$3:$H$3,0))/52-INDEX('89 Vegetable oil FAME'!$D$4:$H$59,MATCH(SUP_Biofuels!Q$8,'89 Vegetable oil FAME'!$B$4:$B$59,0),MATCH(SUP_Biofuels!$I72,'89 Vegetable oil FAME'!$D$3:$H$3,0))/100</f>
        <v>0.96153846153846156</v>
      </c>
      <c r="R72" s="36">
        <f>$R$39</f>
        <v>3.1536000000000002E-2</v>
      </c>
      <c r="S72" s="34">
        <f>INDEX('89 Vegetable oil FAME'!$D$4:$H$59,MATCH(SUP_Biofuels!S$8,'89 Vegetable oil FAME'!$B$4:$B$59,0),MATCH(SUP_Biofuels!$I72,'89 Vegetable oil FAME'!$D$3:$H$3,0))</f>
        <v>1.5</v>
      </c>
      <c r="T72" s="34"/>
      <c r="U72" s="44"/>
      <c r="V72" s="45"/>
      <c r="W72" s="17" t="str">
        <f>W67</f>
        <v>Veg Oil Consumption, MWh/MWh Total Input</v>
      </c>
      <c r="X72" s="17" t="str">
        <f>X67</f>
        <v>Biodiesel Output, MWh/MWh Total Input</v>
      </c>
      <c r="Y72" s="17"/>
    </row>
    <row r="73" spans="3:25">
      <c r="C73" s="17"/>
      <c r="D73" s="17"/>
      <c r="E73" s="17" t="str">
        <f>E68</f>
        <v>SUPMOB</v>
      </c>
      <c r="F73" s="17"/>
      <c r="G73" s="17"/>
      <c r="H73" s="17"/>
      <c r="I73" s="17"/>
      <c r="J73" s="17"/>
      <c r="K73" s="33">
        <f>(INDEX('89 Vegetable oil FAME'!$D$4:$H$59,MATCH(SUP_Biofuels!W73,'89 Vegetable oil FAME'!$B$4:$B$59,0),MATCH(SUP_Biofuels!$I72,'89 Vegetable oil FAME'!$D$3:$H$3,0)))/INDEX('89 Vegetable oil FAME'!$D$4:$H$59,MATCH(SUP_Biofuels!X72,'89 Vegetable oil FAME'!$B$4:$B$59,0),MATCH(SUP_Biofuels!$I72,'89 Vegetable oil FAME'!$D$3:$H$3,0))</f>
        <v>5.0941306755260242E-2</v>
      </c>
      <c r="L73" s="33"/>
      <c r="M73" s="39"/>
      <c r="N73" s="40"/>
      <c r="O73" s="40"/>
      <c r="P73" s="40"/>
      <c r="Q73" s="41"/>
      <c r="R73" s="42"/>
      <c r="S73" s="39"/>
      <c r="T73" s="39"/>
      <c r="U73" s="43"/>
      <c r="V73" s="43"/>
      <c r="W73" s="17" t="str">
        <f>W68</f>
        <v>Methanol Consumption, MWh/MWh Total Input</v>
      </c>
      <c r="X73" s="17"/>
      <c r="Y73" s="17"/>
    </row>
    <row r="74" spans="3:25">
      <c r="C74" s="43"/>
      <c r="D74" s="43"/>
      <c r="E74" s="17" t="str">
        <f>E69</f>
        <v>SUPELC</v>
      </c>
      <c r="F74" s="43"/>
      <c r="G74" s="43"/>
      <c r="H74" s="43"/>
      <c r="I74" s="43"/>
      <c r="J74" s="43"/>
      <c r="K74" s="33">
        <f>(INDEX('89 Vegetable oil FAME'!$D$4:$H$59,MATCH(SUP_Biofuels!W74,'89 Vegetable oil FAME'!$B$4:$B$59,0),MATCH(SUP_Biofuels!$I72,'89 Vegetable oil FAME'!$D$3:$H$3,0)))/INDEX('89 Vegetable oil FAME'!$D$4:$H$59,MATCH(SUP_Biofuels!X72,'89 Vegetable oil FAME'!$B$4:$B$59,0),MATCH(SUP_Biofuels!$I72,'89 Vegetable oil FAME'!$D$3:$H$3,0))</f>
        <v>4.4296788482834993E-3</v>
      </c>
      <c r="L74" s="43"/>
      <c r="M74" s="43"/>
      <c r="N74" s="43"/>
      <c r="O74" s="43"/>
      <c r="P74" s="40"/>
      <c r="Q74" s="43"/>
      <c r="R74" s="43"/>
      <c r="S74" s="43"/>
      <c r="T74" s="43"/>
      <c r="U74" s="43"/>
      <c r="V74" s="43"/>
      <c r="W74" s="17" t="str">
        <f>W69</f>
        <v>Electricity Consumption, MWh/MWh Total Input</v>
      </c>
      <c r="X74" s="43"/>
      <c r="Y74" s="43"/>
    </row>
    <row r="75" spans="3:25">
      <c r="C75" s="43"/>
      <c r="D75" s="43"/>
      <c r="E75" s="17" t="str">
        <f>E70</f>
        <v>SUPNGA,SUPSNG,SUPH2</v>
      </c>
      <c r="F75" s="43"/>
      <c r="G75" s="43"/>
      <c r="H75" s="43"/>
      <c r="I75" s="43"/>
      <c r="J75" s="43"/>
      <c r="K75" s="33">
        <f>(INDEX('89 Vegetable oil FAME'!$D$4:$H$59,MATCH(SUP_Biofuels!W75,'89 Vegetable oil FAME'!$B$4:$B$59,0),MATCH(SUP_Biofuels!$I72,'89 Vegetable oil FAME'!$D$3:$H$3,0)))/INDEX('89 Vegetable oil FAME'!$D$4:$H$59,MATCH(SUP_Biofuels!X72,'89 Vegetable oil FAME'!$B$4:$B$59,0),MATCH(SUP_Biofuels!$I72,'89 Vegetable oil FAME'!$D$3:$H$3,0))</f>
        <v>2.6578073089700997E-2</v>
      </c>
      <c r="L75" s="43"/>
      <c r="M75" s="43"/>
      <c r="N75" s="43"/>
      <c r="O75" s="43"/>
      <c r="P75" s="40"/>
      <c r="Q75" s="43"/>
      <c r="R75" s="43"/>
      <c r="S75" s="43"/>
      <c r="T75" s="43"/>
      <c r="U75" s="43"/>
      <c r="V75" s="43"/>
      <c r="W75" s="17" t="str">
        <f>W70</f>
        <v>Natural Gas Consumption, MWh/MWh Total Input</v>
      </c>
      <c r="X75" s="43"/>
      <c r="Y75" s="43"/>
    </row>
    <row r="76" spans="3:25" ht="15.6">
      <c r="C76" s="43"/>
      <c r="D76" s="32"/>
      <c r="E76" s="43"/>
      <c r="F76" s="43"/>
      <c r="G76" s="17" t="str">
        <f>G71</f>
        <v>GLY</v>
      </c>
      <c r="H76" s="43"/>
      <c r="I76" s="43"/>
      <c r="J76" s="43"/>
      <c r="K76" s="43"/>
      <c r="L76" s="33">
        <f>INDEX('89 Vegetable oil FAME'!$D$4:$H$59,MATCH(SUP_Biofuels!Y76,'89 Vegetable oil FAME'!$B$4:$B$59,0),MATCH(SUP_Biofuels!$I72,'89 Vegetable oil FAME'!$D$3:$H$3,0))*(SUM(K72:K75))</f>
        <v>4.3189368770764118E-2</v>
      </c>
      <c r="M76" s="43"/>
      <c r="N76" s="43"/>
      <c r="O76" s="43"/>
      <c r="P76" s="40"/>
      <c r="Q76" s="43"/>
      <c r="R76" s="43"/>
      <c r="S76" s="43"/>
      <c r="T76" s="43"/>
      <c r="U76" s="43"/>
      <c r="V76" s="45"/>
      <c r="W76" s="43"/>
      <c r="X76" s="43"/>
      <c r="Y76" s="17" t="str">
        <f>Y71</f>
        <v>Glycerine  Output, MWh/MWh Total Input</v>
      </c>
    </row>
    <row r="77" spans="3:25">
      <c r="C77" s="43"/>
      <c r="D77" s="17"/>
      <c r="E77" s="17" t="str">
        <f>E72</f>
        <v>SUPCRB</v>
      </c>
      <c r="F77" s="17" t="str">
        <f>F72</f>
        <v>DSB1</v>
      </c>
      <c r="G77" s="17"/>
      <c r="H77" s="17" t="s">
        <v>70</v>
      </c>
      <c r="I77" s="17">
        <v>2030</v>
      </c>
      <c r="J77" s="17"/>
      <c r="K77" s="33">
        <f>(INDEX('89 Vegetable oil FAME'!$D$4:$H$59,MATCH(SUP_Biofuels!W77,'89 Vegetable oil FAME'!$B$4:$B$59,0),MATCH(SUP_Biofuels!$I77,'89 Vegetable oil FAME'!$D$3:$H$3,0)))/INDEX('89 Vegetable oil FAME'!$D$4:$H$59,MATCH(SUP_Biofuels!X77,'89 Vegetable oil FAME'!$B$4:$B$59,0),MATCH(SUP_Biofuels!$I77,'89 Vegetable oil FAME'!$D$3:$H$3,0))</f>
        <v>1.0287929125138429</v>
      </c>
      <c r="L77" s="33"/>
      <c r="M77" s="34">
        <f>INDEX('89 Vegetable oil FAME'!$D$4:$H$59,MATCH(SUP_Biofuels!M$8,'89 Vegetable oil FAME'!$B$4:$B$59,0),MATCH(SUP_Biofuels!$I77,'89 Vegetable oil FAME'!$D$3:$H$3,0))</f>
        <v>25</v>
      </c>
      <c r="N77" s="35">
        <f>INDEX('89 Vegetable oil FAME'!$D$4:$H$59,MATCH(SUP_Biofuels!N$8,'89 Vegetable oil FAME'!$B$4:$B$59,0),MATCH(SUP_Biofuels!$I77,'89 Vegetable oil FAME'!$D$3:$H$3,0))*7.45</f>
        <v>3.6952000000000003</v>
      </c>
      <c r="O77" s="35">
        <f>INDEX('89 Vegetable oil FAME'!$D$4:$H$59,MATCH(SUP_Biofuels!O$8,'89 Vegetable oil FAME'!$B$4:$B$59,0),MATCH(SUP_Biofuels!$I77,'89 Vegetable oil FAME'!$D$3:$H$3,0))*7.45</f>
        <v>0.13112000000000001</v>
      </c>
      <c r="P77" s="35">
        <f>INDEX('89 Vegetable oil FAME'!$D$4:$H$59,MATCH(SUP_Biofuels!P$8,'89 Vegetable oil FAME'!$B$4:$B$59,0),MATCH(SUP_Biofuels!$I77,'89 Vegetable oil FAME'!$D$3:$H$3,0))*7.45/3.6</f>
        <v>14.010138888888887</v>
      </c>
      <c r="Q77" s="33">
        <f>1-INDEX('89 Vegetable oil FAME'!$D$4:$H$59,MATCH(SUP_Biofuels!Q$7,'89 Vegetable oil FAME'!$B$4:$B$59,0),MATCH(SUP_Biofuels!$I77,'89 Vegetable oil FAME'!$D$3:$H$3,0))/52-INDEX('89 Vegetable oil FAME'!$D$4:$H$59,MATCH(SUP_Biofuels!Q$8,'89 Vegetable oil FAME'!$B$4:$B$59,0),MATCH(SUP_Biofuels!$I77,'89 Vegetable oil FAME'!$D$3:$H$3,0))/100</f>
        <v>0.96153846153846156</v>
      </c>
      <c r="R77" s="36">
        <f>$R$39</f>
        <v>3.1536000000000002E-2</v>
      </c>
      <c r="S77" s="34">
        <f>INDEX('89 Vegetable oil FAME'!$D$4:$H$59,MATCH(SUP_Biofuels!S$8,'89 Vegetable oil FAME'!$B$4:$B$59,0),MATCH(SUP_Biofuels!$I77,'89 Vegetable oil FAME'!$D$3:$H$3,0))</f>
        <v>1.5</v>
      </c>
      <c r="T77" s="34"/>
      <c r="U77" s="44"/>
      <c r="V77" s="43"/>
      <c r="W77" s="17" t="str">
        <f>W72</f>
        <v>Veg Oil Consumption, MWh/MWh Total Input</v>
      </c>
      <c r="X77" s="17" t="str">
        <f>X72</f>
        <v>Biodiesel Output, MWh/MWh Total Input</v>
      </c>
      <c r="Y77" s="17"/>
    </row>
    <row r="78" spans="3:25">
      <c r="C78" s="43"/>
      <c r="D78" s="43"/>
      <c r="E78" s="17" t="str">
        <f>E73</f>
        <v>SUPMOB</v>
      </c>
      <c r="F78" s="17"/>
      <c r="G78" s="17"/>
      <c r="H78" s="17"/>
      <c r="I78" s="17"/>
      <c r="J78" s="17"/>
      <c r="K78" s="33">
        <f>(INDEX('89 Vegetable oil FAME'!$D$4:$H$59,MATCH(SUP_Biofuels!W78,'89 Vegetable oil FAME'!$B$4:$B$59,0),MATCH(SUP_Biofuels!$I77,'89 Vegetable oil FAME'!$D$3:$H$3,0)))/INDEX('89 Vegetable oil FAME'!$D$4:$H$59,MATCH(SUP_Biofuels!X77,'89 Vegetable oil FAME'!$B$4:$B$59,0),MATCH(SUP_Biofuels!$I77,'89 Vegetable oil FAME'!$D$3:$H$3,0))</f>
        <v>5.0941306755260242E-2</v>
      </c>
      <c r="L78" s="33"/>
      <c r="M78" s="39"/>
      <c r="N78" s="40"/>
      <c r="O78" s="40"/>
      <c r="P78" s="40"/>
      <c r="Q78" s="41"/>
      <c r="R78" s="42"/>
      <c r="S78" s="39"/>
      <c r="T78" s="39"/>
      <c r="U78" s="43"/>
      <c r="V78" s="43"/>
      <c r="W78" s="17" t="str">
        <f>W73</f>
        <v>Methanol Consumption, MWh/MWh Total Input</v>
      </c>
      <c r="X78" s="17"/>
      <c r="Y78" s="17"/>
    </row>
    <row r="79" spans="3:25">
      <c r="C79" s="43"/>
      <c r="D79" s="43"/>
      <c r="E79" s="17" t="str">
        <f>E74</f>
        <v>SUPELC</v>
      </c>
      <c r="F79" s="43"/>
      <c r="G79" s="43"/>
      <c r="H79" s="43"/>
      <c r="I79" s="43"/>
      <c r="J79" s="43"/>
      <c r="K79" s="33">
        <f>(INDEX('89 Vegetable oil FAME'!$D$4:$H$59,MATCH(SUP_Biofuels!W79,'89 Vegetable oil FAME'!$B$4:$B$59,0),MATCH(SUP_Biofuels!$I77,'89 Vegetable oil FAME'!$D$3:$H$3,0)))/INDEX('89 Vegetable oil FAME'!$D$4:$H$59,MATCH(SUP_Biofuels!X77,'89 Vegetable oil FAME'!$B$4:$B$59,0),MATCH(SUP_Biofuels!$I77,'89 Vegetable oil FAME'!$D$3:$H$3,0))</f>
        <v>3.3222591362126247E-3</v>
      </c>
      <c r="L79" s="43"/>
      <c r="M79" s="43"/>
      <c r="N79" s="43"/>
      <c r="O79" s="43"/>
      <c r="P79" s="40"/>
      <c r="Q79" s="43"/>
      <c r="R79" s="43"/>
      <c r="S79" s="43"/>
      <c r="T79" s="43"/>
      <c r="U79" s="43"/>
      <c r="V79" s="43"/>
      <c r="W79" s="17" t="str">
        <f>W74</f>
        <v>Electricity Consumption, MWh/MWh Total Input</v>
      </c>
      <c r="X79" s="43"/>
      <c r="Y79" s="43"/>
    </row>
    <row r="80" spans="3:25" ht="15.6">
      <c r="C80" s="43"/>
      <c r="D80" s="32"/>
      <c r="E80" s="17" t="str">
        <f>E75</f>
        <v>SUPNGA,SUPSNG,SUPH2</v>
      </c>
      <c r="F80" s="43"/>
      <c r="G80" s="43"/>
      <c r="H80" s="43"/>
      <c r="I80" s="43"/>
      <c r="J80" s="43"/>
      <c r="K80" s="33">
        <f>(INDEX('89 Vegetable oil FAME'!$D$4:$H$59,MATCH(SUP_Biofuels!W80,'89 Vegetable oil FAME'!$B$4:$B$59,0),MATCH(SUP_Biofuels!$I77,'89 Vegetable oil FAME'!$D$3:$H$3,0)))/INDEX('89 Vegetable oil FAME'!$D$4:$H$59,MATCH(SUP_Biofuels!X77,'89 Vegetable oil FAME'!$B$4:$B$59,0),MATCH(SUP_Biofuels!$I77,'89 Vegetable oil FAME'!$D$3:$H$3,0))</f>
        <v>2.4363233665559245E-2</v>
      </c>
      <c r="L80" s="43"/>
      <c r="M80" s="43"/>
      <c r="N80" s="43"/>
      <c r="O80" s="43"/>
      <c r="P80" s="40"/>
      <c r="Q80" s="43"/>
      <c r="R80" s="43"/>
      <c r="S80" s="43"/>
      <c r="T80" s="43"/>
      <c r="U80" s="43"/>
      <c r="V80" s="45"/>
      <c r="W80" s="17" t="str">
        <f>W75</f>
        <v>Natural Gas Consumption, MWh/MWh Total Input</v>
      </c>
      <c r="X80" s="43"/>
      <c r="Y80" s="43"/>
    </row>
    <row r="81" spans="3:25">
      <c r="C81" s="43"/>
      <c r="D81" s="17"/>
      <c r="E81" s="43"/>
      <c r="F81" s="43"/>
      <c r="G81" s="17" t="str">
        <f>G76</f>
        <v>GLY</v>
      </c>
      <c r="H81" s="43"/>
      <c r="I81" s="43"/>
      <c r="J81" s="43"/>
      <c r="K81" s="43"/>
      <c r="L81" s="33">
        <f>INDEX('89 Vegetable oil FAME'!$D$4:$H$59,MATCH(SUP_Biofuels!Y81,'89 Vegetable oil FAME'!$B$4:$B$59,0),MATCH(SUP_Biofuels!$I77,'89 Vegetable oil FAME'!$D$3:$H$3,0))*(SUM(K77:K80))</f>
        <v>4.3189368770764118E-2</v>
      </c>
      <c r="M81" s="43"/>
      <c r="N81" s="43"/>
      <c r="O81" s="43"/>
      <c r="P81" s="40"/>
      <c r="Q81" s="43"/>
      <c r="R81" s="43"/>
      <c r="S81" s="43"/>
      <c r="T81" s="43"/>
      <c r="U81" s="43"/>
      <c r="V81" s="43"/>
      <c r="W81" s="43"/>
      <c r="X81" s="43"/>
      <c r="Y81" s="17" t="str">
        <f>Y76</f>
        <v>Glycerine  Output, MWh/MWh Total Input</v>
      </c>
    </row>
    <row r="82" spans="3:25">
      <c r="C82" s="43"/>
      <c r="D82" s="43"/>
      <c r="E82" s="17" t="str">
        <f>E77</f>
        <v>SUPCRB</v>
      </c>
      <c r="F82" s="17" t="str">
        <f>F77</f>
        <v>DSB1</v>
      </c>
      <c r="G82" s="17"/>
      <c r="H82" s="17" t="s">
        <v>70</v>
      </c>
      <c r="I82" s="17">
        <v>2040</v>
      </c>
      <c r="J82" s="17"/>
      <c r="K82" s="33">
        <f>(INDEX('89 Vegetable oil FAME'!$D$4:$H$59,MATCH(SUP_Biofuels!W82,'89 Vegetable oil FAME'!$B$4:$B$59,0),MATCH(SUP_Biofuels!$I82,'89 Vegetable oil FAME'!$D$3:$H$3,0)))/INDEX('89 Vegetable oil FAME'!$D$4:$H$59,MATCH(SUP_Biofuels!X82,'89 Vegetable oil FAME'!$B$4:$B$59,0),MATCH(SUP_Biofuels!$I82,'89 Vegetable oil FAME'!$D$3:$H$3,0))</f>
        <v>1.0310077519379846</v>
      </c>
      <c r="L82" s="33"/>
      <c r="M82" s="34">
        <f>INDEX('89 Vegetable oil FAME'!$D$4:$H$59,MATCH(SUP_Biofuels!M$8,'89 Vegetable oil FAME'!$B$4:$B$59,0),MATCH(SUP_Biofuels!$I82,'89 Vegetable oil FAME'!$D$3:$H$3,0))</f>
        <v>25</v>
      </c>
      <c r="N82" s="35">
        <f>INDEX('89 Vegetable oil FAME'!$D$4:$H$59,MATCH(SUP_Biofuels!N$8,'89 Vegetable oil FAME'!$B$4:$B$59,0),MATCH(SUP_Biofuels!$I82,'89 Vegetable oil FAME'!$D$3:$H$3,0))*7.45</f>
        <v>3.6505000000000001</v>
      </c>
      <c r="O82" s="35">
        <f>INDEX('89 Vegetable oil FAME'!$D$4:$H$59,MATCH(SUP_Biofuels!O$8,'89 Vegetable oil FAME'!$B$4:$B$59,0),MATCH(SUP_Biofuels!$I82,'89 Vegetable oil FAME'!$D$3:$H$3,0))*7.45</f>
        <v>0.13112000000000001</v>
      </c>
      <c r="P82" s="35">
        <f>INDEX('89 Vegetable oil FAME'!$D$4:$H$59,MATCH(SUP_Biofuels!P$8,'89 Vegetable oil FAME'!$B$4:$B$59,0),MATCH(SUP_Biofuels!$I82,'89 Vegetable oil FAME'!$D$3:$H$3,0))*7.45/3.6</f>
        <v>14.010138888888887</v>
      </c>
      <c r="Q82" s="33">
        <f>1-INDEX('89 Vegetable oil FAME'!$D$4:$H$59,MATCH(SUP_Biofuels!Q$7,'89 Vegetable oil FAME'!$B$4:$B$59,0),MATCH(SUP_Biofuels!$I82,'89 Vegetable oil FAME'!$D$3:$H$3,0))/52-INDEX('89 Vegetable oil FAME'!$D$4:$H$59,MATCH(SUP_Biofuels!Q$8,'89 Vegetable oil FAME'!$B$4:$B$59,0),MATCH(SUP_Biofuels!$I82,'89 Vegetable oil FAME'!$D$3:$H$3,0))/100</f>
        <v>0.96153846153846156</v>
      </c>
      <c r="R82" s="36">
        <f>$R$39</f>
        <v>3.1536000000000002E-2</v>
      </c>
      <c r="S82" s="34">
        <f>INDEX('89 Vegetable oil FAME'!$D$4:$H$59,MATCH(SUP_Biofuels!S$8,'89 Vegetable oil FAME'!$B$4:$B$59,0),MATCH(SUP_Biofuels!$I82,'89 Vegetable oil FAME'!$D$3:$H$3,0))</f>
        <v>1.5</v>
      </c>
      <c r="T82" s="34"/>
      <c r="U82" s="44"/>
      <c r="V82" s="43"/>
      <c r="W82" s="17" t="str">
        <f>W77</f>
        <v>Veg Oil Consumption, MWh/MWh Total Input</v>
      </c>
      <c r="X82" s="17" t="str">
        <f>X77</f>
        <v>Biodiesel Output, MWh/MWh Total Input</v>
      </c>
      <c r="Y82" s="17"/>
    </row>
    <row r="83" spans="3:25">
      <c r="C83" s="43"/>
      <c r="D83" s="43"/>
      <c r="E83" s="17" t="str">
        <f>E78</f>
        <v>SUPMOB</v>
      </c>
      <c r="F83" s="17"/>
      <c r="G83" s="17"/>
      <c r="H83" s="17"/>
      <c r="I83" s="17"/>
      <c r="J83" s="17"/>
      <c r="K83" s="33">
        <f>(INDEX('89 Vegetable oil FAME'!$D$4:$H$59,MATCH(SUP_Biofuels!W83,'89 Vegetable oil FAME'!$B$4:$B$59,0),MATCH(SUP_Biofuels!$I82,'89 Vegetable oil FAME'!$D$3:$H$3,0)))/INDEX('89 Vegetable oil FAME'!$D$4:$H$59,MATCH(SUP_Biofuels!X82,'89 Vegetable oil FAME'!$B$4:$B$59,0),MATCH(SUP_Biofuels!$I82,'89 Vegetable oil FAME'!$D$3:$H$3,0))</f>
        <v>5.0941306755260242E-2</v>
      </c>
      <c r="L83" s="33"/>
      <c r="M83" s="39"/>
      <c r="N83" s="40"/>
      <c r="O83" s="40"/>
      <c r="P83" s="40"/>
      <c r="Q83" s="41"/>
      <c r="R83" s="42"/>
      <c r="S83" s="39"/>
      <c r="T83" s="39"/>
      <c r="U83" s="43"/>
      <c r="V83" s="43"/>
      <c r="W83" s="17" t="str">
        <f>W78</f>
        <v>Methanol Consumption, MWh/MWh Total Input</v>
      </c>
      <c r="X83" s="17"/>
      <c r="Y83" s="17"/>
    </row>
    <row r="84" spans="3:25">
      <c r="C84" s="43"/>
      <c r="D84" s="43"/>
      <c r="E84" s="17" t="str">
        <f>E79</f>
        <v>SUPELC</v>
      </c>
      <c r="F84" s="43"/>
      <c r="G84" s="43"/>
      <c r="H84" s="43"/>
      <c r="I84" s="43"/>
      <c r="J84" s="43"/>
      <c r="K84" s="33">
        <f>(INDEX('89 Vegetable oil FAME'!$D$4:$H$59,MATCH(SUP_Biofuels!W84,'89 Vegetable oil FAME'!$B$4:$B$59,0),MATCH(SUP_Biofuels!$I82,'89 Vegetable oil FAME'!$D$3:$H$3,0)))/INDEX('89 Vegetable oil FAME'!$D$4:$H$59,MATCH(SUP_Biofuels!X82,'89 Vegetable oil FAME'!$B$4:$B$59,0),MATCH(SUP_Biofuels!$I82,'89 Vegetable oil FAME'!$D$3:$H$3,0))</f>
        <v>2.7685492801771869E-3</v>
      </c>
      <c r="L84" s="43"/>
      <c r="M84" s="43"/>
      <c r="N84" s="43"/>
      <c r="O84" s="43"/>
      <c r="P84" s="40"/>
      <c r="Q84" s="43"/>
      <c r="R84" s="43"/>
      <c r="S84" s="43"/>
      <c r="T84" s="43"/>
      <c r="U84" s="43"/>
      <c r="V84" s="43"/>
      <c r="W84" s="17" t="str">
        <f>W79</f>
        <v>Electricity Consumption, MWh/MWh Total Input</v>
      </c>
      <c r="X84" s="43"/>
      <c r="Y84" s="43"/>
    </row>
    <row r="85" spans="3:25">
      <c r="C85" s="43"/>
      <c r="D85" s="43"/>
      <c r="E85" s="17" t="str">
        <f>E80</f>
        <v>SUPNGA,SUPSNG,SUPH2</v>
      </c>
      <c r="F85" s="43"/>
      <c r="G85" s="43"/>
      <c r="H85" s="43"/>
      <c r="I85" s="43"/>
      <c r="J85" s="43"/>
      <c r="K85" s="33">
        <f>(INDEX('89 Vegetable oil FAME'!$D$4:$H$59,MATCH(SUP_Biofuels!W85,'89 Vegetable oil FAME'!$B$4:$B$59,0),MATCH(SUP_Biofuels!$I82,'89 Vegetable oil FAME'!$D$3:$H$3,0)))/INDEX('89 Vegetable oil FAME'!$D$4:$H$59,MATCH(SUP_Biofuels!X82,'89 Vegetable oil FAME'!$B$4:$B$59,0),MATCH(SUP_Biofuels!$I82,'89 Vegetable oil FAME'!$D$3:$H$3,0))</f>
        <v>2.2148394241417495E-2</v>
      </c>
      <c r="L85" s="43"/>
      <c r="M85" s="43"/>
      <c r="N85" s="43"/>
      <c r="O85" s="43"/>
      <c r="P85" s="40"/>
      <c r="Q85" s="43"/>
      <c r="R85" s="43"/>
      <c r="S85" s="43"/>
      <c r="T85" s="43"/>
      <c r="U85" s="43"/>
      <c r="V85" s="43"/>
      <c r="W85" s="17" t="str">
        <f>W80</f>
        <v>Natural Gas Consumption, MWh/MWh Total Input</v>
      </c>
      <c r="X85" s="43"/>
      <c r="Y85" s="43"/>
    </row>
    <row r="86" spans="3:25">
      <c r="C86" s="43"/>
      <c r="D86" s="43"/>
      <c r="E86" s="43"/>
      <c r="F86" s="43"/>
      <c r="G86" s="17" t="str">
        <f>G81</f>
        <v>GLY</v>
      </c>
      <c r="H86" s="43"/>
      <c r="I86" s="43"/>
      <c r="J86" s="43"/>
      <c r="K86" s="43"/>
      <c r="L86" s="33">
        <f>INDEX('89 Vegetable oil FAME'!$D$4:$H$59,MATCH(SUP_Biofuels!Y86,'89 Vegetable oil FAME'!$B$4:$B$59,0),MATCH(SUP_Biofuels!$I82,'89 Vegetable oil FAME'!$D$3:$H$3,0))*(SUM(K82:K85))</f>
        <v>4.3167774086378743E-2</v>
      </c>
      <c r="M86" s="43"/>
      <c r="N86" s="43"/>
      <c r="O86" s="43"/>
      <c r="P86" s="40"/>
      <c r="Q86" s="43"/>
      <c r="R86" s="43"/>
      <c r="S86" s="43"/>
      <c r="T86" s="43"/>
      <c r="U86" s="43"/>
      <c r="V86" s="43"/>
      <c r="W86" s="43"/>
      <c r="X86" s="43"/>
      <c r="Y86" s="17" t="str">
        <f>Y81</f>
        <v>Glycerine  Output, MWh/MWh Total Input</v>
      </c>
    </row>
    <row r="87" spans="3:25">
      <c r="C87" s="43"/>
      <c r="D87" s="43"/>
      <c r="E87" s="17" t="str">
        <f>E82</f>
        <v>SUPCRB</v>
      </c>
      <c r="F87" s="17" t="str">
        <f>F82</f>
        <v>DSB1</v>
      </c>
      <c r="G87" s="17"/>
      <c r="H87" s="17" t="s">
        <v>70</v>
      </c>
      <c r="I87" s="17">
        <v>2050</v>
      </c>
      <c r="J87" s="17"/>
      <c r="K87" s="33">
        <f>(INDEX('89 Vegetable oil FAME'!$D$4:$H$59,MATCH(SUP_Biofuels!W87,'89 Vegetable oil FAME'!$B$4:$B$59,0),MATCH(SUP_Biofuels!$I87,'89 Vegetable oil FAME'!$D$3:$H$3,0)))/INDEX('89 Vegetable oil FAME'!$D$4:$H$59,MATCH(SUP_Biofuels!X87,'89 Vegetable oil FAME'!$B$4:$B$59,0),MATCH(SUP_Biofuels!$I87,'89 Vegetable oil FAME'!$D$3:$H$3,0))</f>
        <v>1.0332225913621262</v>
      </c>
      <c r="L87" s="33"/>
      <c r="M87" s="34">
        <f>INDEX('89 Vegetable oil FAME'!$D$4:$H$59,MATCH(SUP_Biofuels!M$8,'89 Vegetable oil FAME'!$B$4:$B$59,0),MATCH(SUP_Biofuels!$I87,'89 Vegetable oil FAME'!$D$3:$H$3,0))</f>
        <v>25</v>
      </c>
      <c r="N87" s="35">
        <f>INDEX('89 Vegetable oil FAME'!$D$4:$H$59,MATCH(SUP_Biofuels!N$8,'89 Vegetable oil FAME'!$B$4:$B$59,0),MATCH(SUP_Biofuels!$I87,'89 Vegetable oil FAME'!$D$3:$H$3,0))*7.45</f>
        <v>3.5760000000000001</v>
      </c>
      <c r="O87" s="35">
        <f>INDEX('89 Vegetable oil FAME'!$D$4:$H$59,MATCH(SUP_Biofuels!O$8,'89 Vegetable oil FAME'!$B$4:$B$59,0),MATCH(SUP_Biofuels!$I87,'89 Vegetable oil FAME'!$D$3:$H$3,0))*7.45</f>
        <v>0.13112000000000001</v>
      </c>
      <c r="P87" s="35">
        <f>INDEX('89 Vegetable oil FAME'!$D$4:$H$59,MATCH(SUP_Biofuels!P$8,'89 Vegetable oil FAME'!$B$4:$B$59,0),MATCH(SUP_Biofuels!$I87,'89 Vegetable oil FAME'!$D$3:$H$3,0))*7.45/3.6</f>
        <v>14.010138888888887</v>
      </c>
      <c r="Q87" s="33">
        <f>1-INDEX('89 Vegetable oil FAME'!$D$4:$H$59,MATCH(SUP_Biofuels!Q$7,'89 Vegetable oil FAME'!$B$4:$B$59,0),MATCH(SUP_Biofuels!$I87,'89 Vegetable oil FAME'!$D$3:$H$3,0))/52-INDEX('89 Vegetable oil FAME'!$D$4:$H$59,MATCH(SUP_Biofuels!Q$8,'89 Vegetable oil FAME'!$B$4:$B$59,0),MATCH(SUP_Biofuels!$I87,'89 Vegetable oil FAME'!$D$3:$H$3,0))/100</f>
        <v>0.96153846153846156</v>
      </c>
      <c r="R87" s="36">
        <f>$R$39</f>
        <v>3.1536000000000002E-2</v>
      </c>
      <c r="S87" s="34">
        <f>INDEX('89 Vegetable oil FAME'!$D$4:$H$59,MATCH(SUP_Biofuels!S$8,'89 Vegetable oil FAME'!$B$4:$B$59,0),MATCH(SUP_Biofuels!$I87,'89 Vegetable oil FAME'!$D$3:$H$3,0))</f>
        <v>1.5</v>
      </c>
      <c r="T87" s="34"/>
      <c r="U87" s="44"/>
      <c r="V87" s="43"/>
      <c r="W87" s="17" t="str">
        <f>W82</f>
        <v>Veg Oil Consumption, MWh/MWh Total Input</v>
      </c>
      <c r="X87" s="17" t="str">
        <f>X82</f>
        <v>Biodiesel Output, MWh/MWh Total Input</v>
      </c>
      <c r="Y87" s="17"/>
    </row>
    <row r="88" spans="3:25">
      <c r="C88" s="43"/>
      <c r="D88" s="43"/>
      <c r="E88" s="17" t="str">
        <f>E83</f>
        <v>SUPMOB</v>
      </c>
      <c r="F88" s="17"/>
      <c r="G88" s="17"/>
      <c r="H88" s="17"/>
      <c r="I88" s="17"/>
      <c r="J88" s="17"/>
      <c r="K88" s="33">
        <f>(INDEX('89 Vegetable oil FAME'!$D$4:$H$59,MATCH(SUP_Biofuels!W88,'89 Vegetable oil FAME'!$B$4:$B$59,0),MATCH(SUP_Biofuels!$I87,'89 Vegetable oil FAME'!$D$3:$H$3,0)))/INDEX('89 Vegetable oil FAME'!$D$4:$H$59,MATCH(SUP_Biofuels!X87,'89 Vegetable oil FAME'!$B$4:$B$59,0),MATCH(SUP_Biofuels!$I87,'89 Vegetable oil FAME'!$D$3:$H$3,0))</f>
        <v>5.0941306755260242E-2</v>
      </c>
      <c r="L88" s="33"/>
      <c r="M88" s="39"/>
      <c r="N88" s="40"/>
      <c r="O88" s="40"/>
      <c r="P88" s="40"/>
      <c r="Q88" s="41"/>
      <c r="R88" s="42"/>
      <c r="S88" s="39"/>
      <c r="T88" s="39"/>
      <c r="U88" s="43"/>
      <c r="V88" s="43"/>
      <c r="W88" s="17" t="str">
        <f>W83</f>
        <v>Methanol Consumption, MWh/MWh Total Input</v>
      </c>
      <c r="X88" s="17"/>
      <c r="Y88" s="17"/>
    </row>
    <row r="89" spans="3:25" ht="15.6">
      <c r="C89" s="43"/>
      <c r="D89" s="32"/>
      <c r="E89" s="17" t="str">
        <f>E84</f>
        <v>SUPELC</v>
      </c>
      <c r="F89" s="43"/>
      <c r="G89" s="43"/>
      <c r="H89" s="43"/>
      <c r="I89" s="43"/>
      <c r="J89" s="43"/>
      <c r="K89" s="33">
        <f>(INDEX('89 Vegetable oil FAME'!$D$4:$H$59,MATCH(SUP_Biofuels!W89,'89 Vegetable oil FAME'!$B$4:$B$59,0),MATCH(SUP_Biofuels!$I87,'89 Vegetable oil FAME'!$D$3:$H$3,0)))/INDEX('89 Vegetable oil FAME'!$D$4:$H$59,MATCH(SUP_Biofuels!X87,'89 Vegetable oil FAME'!$B$4:$B$59,0),MATCH(SUP_Biofuels!$I87,'89 Vegetable oil FAME'!$D$3:$H$3,0))</f>
        <v>2.2148394241417496E-3</v>
      </c>
      <c r="L89" s="43"/>
      <c r="M89" s="43"/>
      <c r="N89" s="43"/>
      <c r="O89" s="43"/>
      <c r="P89" s="40"/>
      <c r="Q89" s="43"/>
      <c r="R89" s="43"/>
      <c r="S89" s="43"/>
      <c r="T89" s="43"/>
      <c r="U89" s="43"/>
      <c r="V89" s="43"/>
      <c r="W89" s="17" t="str">
        <f>W84</f>
        <v>Electricity Consumption, MWh/MWh Total Input</v>
      </c>
      <c r="X89" s="43"/>
      <c r="Y89" s="43"/>
    </row>
    <row r="90" spans="3:25">
      <c r="C90" s="43"/>
      <c r="D90" s="17"/>
      <c r="E90" s="17" t="str">
        <f>E85</f>
        <v>SUPNGA,SUPSNG,SUPH2</v>
      </c>
      <c r="F90" s="43"/>
      <c r="G90" s="43"/>
      <c r="H90" s="43"/>
      <c r="I90" s="43"/>
      <c r="J90" s="43"/>
      <c r="K90" s="33">
        <f>(INDEX('89 Vegetable oil FAME'!$D$4:$H$59,MATCH(SUP_Biofuels!W90,'89 Vegetable oil FAME'!$B$4:$B$59,0),MATCH(SUP_Biofuels!$I87,'89 Vegetable oil FAME'!$D$3:$H$3,0)))/INDEX('89 Vegetable oil FAME'!$D$4:$H$59,MATCH(SUP_Biofuels!X87,'89 Vegetable oil FAME'!$B$4:$B$59,0),MATCH(SUP_Biofuels!$I87,'89 Vegetable oil FAME'!$D$3:$H$3,0))</f>
        <v>1.9933554817275746E-2</v>
      </c>
      <c r="L90" s="43"/>
      <c r="M90" s="43"/>
      <c r="N90" s="43"/>
      <c r="O90" s="43"/>
      <c r="P90" s="40"/>
      <c r="Q90" s="43"/>
      <c r="R90" s="43"/>
      <c r="S90" s="43"/>
      <c r="T90" s="43"/>
      <c r="U90" s="43"/>
      <c r="V90" s="43"/>
      <c r="W90" s="17" t="str">
        <f>W85</f>
        <v>Natural Gas Consumption, MWh/MWh Total Input</v>
      </c>
      <c r="X90" s="43"/>
      <c r="Y90" s="43"/>
    </row>
    <row r="91" spans="3:25" ht="15" thickBot="1">
      <c r="C91" s="46"/>
      <c r="D91" s="46"/>
      <c r="E91" s="46"/>
      <c r="F91" s="46"/>
      <c r="G91" s="47" t="str">
        <f>G86</f>
        <v>GLY</v>
      </c>
      <c r="H91" s="46"/>
      <c r="I91" s="46"/>
      <c r="J91" s="46"/>
      <c r="K91" s="46"/>
      <c r="L91" s="48">
        <f>INDEX('89 Vegetable oil FAME'!$D$4:$H$59,MATCH(SUP_Biofuels!Y91,'89 Vegetable oil FAME'!$B$4:$B$59,0),MATCH(SUP_Biofuels!$I87,'89 Vegetable oil FAME'!$D$3:$H$3,0))*(SUM(K87:K90))</f>
        <v>4.3146179401993348E-2</v>
      </c>
      <c r="M91" s="46"/>
      <c r="N91" s="46"/>
      <c r="O91" s="46"/>
      <c r="P91" s="49"/>
      <c r="Q91" s="46"/>
      <c r="R91" s="46"/>
      <c r="S91" s="46"/>
      <c r="T91" s="46"/>
      <c r="U91" s="46"/>
      <c r="V91" s="46"/>
      <c r="W91" s="46"/>
      <c r="X91" s="46"/>
      <c r="Y91" s="47" t="str">
        <f>Y86</f>
        <v>Glycerine  Output, MWh/MWh Total Input</v>
      </c>
    </row>
    <row r="92" spans="3:25" ht="15.6">
      <c r="C92" s="17" t="str">
        <f>"SUP"&amp;F92&amp;RIGHT(E92,3)&amp;IF(RIGHT(D92,7)="Central","C2","D2")</f>
        <v>SUPDSB1RPSC2</v>
      </c>
      <c r="D92" s="32" t="str">
        <f>'90 UCO &amp; animal fat FAME'!D2&amp;" Central"</f>
        <v>UCO and Animal Fat FAME Central</v>
      </c>
      <c r="E92" s="17" t="s">
        <v>72</v>
      </c>
      <c r="F92" s="17" t="s">
        <v>73</v>
      </c>
      <c r="G92" s="17"/>
      <c r="H92" s="17" t="s">
        <v>70</v>
      </c>
      <c r="I92" s="17">
        <f>'93 1st generation ethanol'!$D$3</f>
        <v>2015</v>
      </c>
      <c r="J92" s="19">
        <v>2030</v>
      </c>
      <c r="K92" s="33">
        <f>(INDEX('90 UCO &amp; animal fat FAME'!$D$4:$H$59,MATCH(SUP_Biofuels!W92,'90 UCO &amp; animal fat FAME'!$B$4:$B$59,0),MATCH(SUP_Biofuels!$I92,'90 UCO &amp; animal fat FAME'!$D$3:$H$3,0)))/INDEX('90 UCO &amp; animal fat FAME'!$D$4:$H$59,MATCH(SUP_Biofuels!X92,'90 UCO &amp; animal fat FAME'!$B$4:$B$59,0),MATCH(SUP_Biofuels!$I92,'90 UCO &amp; animal fat FAME'!$D$3:$H$3,0))</f>
        <v>1.0785714285714287</v>
      </c>
      <c r="L92" s="33"/>
      <c r="M92" s="34">
        <f>INDEX('90 UCO &amp; animal fat FAME'!$D$4:$H$59,MATCH(SUP_Biofuels!M$8,'90 UCO &amp; animal fat FAME'!$B$4:$B$59,0),MATCH(SUP_Biofuels!$I92,'90 UCO &amp; animal fat FAME'!$D$3:$H$3,0))</f>
        <v>25</v>
      </c>
      <c r="N92" s="35">
        <f>INDEX('90 UCO &amp; animal fat FAME'!$D$4:$H$59,MATCH(SUP_Biofuels!N$8,'90 UCO &amp; animal fat FAME'!$B$4:$B$59,0),MATCH(SUP_Biofuels!$I92,'90 UCO &amp; animal fat FAME'!$D$3:$H$3,0))*7.45</f>
        <v>8.0545871762058141</v>
      </c>
      <c r="O92" s="35">
        <f>INDEX('90 UCO &amp; animal fat FAME'!$D$4:$H$59,MATCH(SUP_Biofuels!O$8,'90 UCO &amp; animal fat FAME'!$B$4:$B$59,0),MATCH(SUP_Biofuels!$I92,'90 UCO &amp; animal fat FAME'!$D$3:$H$3,0))*7.45</f>
        <v>0.91195856873822978</v>
      </c>
      <c r="P92" s="35">
        <f>INDEX('90 UCO &amp; animal fat FAME'!$D$4:$H$59,MATCH(SUP_Biofuels!P$8,'90 UCO &amp; animal fat FAME'!$B$4:$B$59,0),MATCH(SUP_Biofuels!$I92,'90 UCO &amp; animal fat FAME'!$D$3:$H$3,0))*7.45/3.6</f>
        <v>15.840344694531794</v>
      </c>
      <c r="Q92" s="33">
        <f>1-INDEX('90 UCO &amp; animal fat FAME'!$D$4:$H$59,MATCH(SUP_Biofuels!Q$7,'90 UCO &amp; animal fat FAME'!$B$4:$B$59,0),MATCH(SUP_Biofuels!$I92,'90 UCO &amp; animal fat FAME'!$D$3:$H$3,0))/52-INDEX('90 UCO &amp; animal fat FAME'!$D$4:$H$59,MATCH(SUP_Biofuels!Q$8,'90 UCO &amp; animal fat FAME'!$B$4:$B$59,0),MATCH(SUP_Biofuels!$I92,'90 UCO &amp; animal fat FAME'!$D$3:$H$3,0))/100</f>
        <v>0.96153846153846156</v>
      </c>
      <c r="R92" s="36">
        <f>$R$39</f>
        <v>3.1536000000000002E-2</v>
      </c>
      <c r="S92" s="34">
        <f>INDEX('90 UCO &amp; animal fat FAME'!$D$4:$H$59,MATCH(SUP_Biofuels!S$8,'90 UCO &amp; animal fat FAME'!$B$4:$B$59,0),MATCH(SUP_Biofuels!$I92,'90 UCO &amp; animal fat FAME'!$D$3:$H$3,0))</f>
        <v>1.5</v>
      </c>
      <c r="T92" s="34"/>
      <c r="U92" s="37"/>
      <c r="V92" s="38" t="s">
        <v>74</v>
      </c>
      <c r="W92" s="17" t="str">
        <f>'90 UCO &amp; animal fat FAME'!B9</f>
        <v>Veg Oil Consumption, MWh/MWh Total Input</v>
      </c>
      <c r="X92" s="17" t="str">
        <f>'90 UCO &amp; animal fat FAME'!B14</f>
        <v xml:space="preserve">Biodiesel Output, MWH/MWh </v>
      </c>
      <c r="Y92" s="17"/>
    </row>
    <row r="93" spans="3:25">
      <c r="C93" s="17"/>
      <c r="D93" s="17"/>
      <c r="E93" s="17" t="s">
        <v>1419</v>
      </c>
      <c r="F93" s="17"/>
      <c r="G93" s="17"/>
      <c r="H93" s="17"/>
      <c r="I93" s="17"/>
      <c r="J93" s="17"/>
      <c r="K93" s="33">
        <f>(INDEX('90 UCO &amp; animal fat FAME'!$D$4:$H$59,MATCH(SUP_Biofuels!W93,'90 UCO &amp; animal fat FAME'!$B$4:$B$59,0),MATCH(SUP_Biofuels!$I92,'90 UCO &amp; animal fat FAME'!$D$3:$H$3,0)))/INDEX('90 UCO &amp; animal fat FAME'!$D$4:$H$59,MATCH(SUP_Biofuels!X92,'90 UCO &amp; animal fat FAME'!$B$4:$B$59,0),MATCH(SUP_Biofuels!$I92,'90 UCO &amp; animal fat FAME'!$D$3:$H$3,0))</f>
        <v>5.2380952380952382E-2</v>
      </c>
      <c r="L93" s="33"/>
      <c r="M93" s="39"/>
      <c r="N93" s="40"/>
      <c r="O93" s="40"/>
      <c r="P93" s="40"/>
      <c r="Q93" s="41"/>
      <c r="R93" s="42"/>
      <c r="S93" s="39"/>
      <c r="T93" s="39"/>
      <c r="U93" s="43"/>
      <c r="V93" s="43"/>
      <c r="W93" s="17" t="str">
        <f>'90 UCO &amp; animal fat FAME'!B10</f>
        <v>Methanol Consumption, MWh/MWh Total Input</v>
      </c>
      <c r="X93" s="17"/>
      <c r="Y93" s="17"/>
    </row>
    <row r="94" spans="3:25">
      <c r="C94" s="43"/>
      <c r="D94" s="43"/>
      <c r="E94" s="43" t="s">
        <v>71</v>
      </c>
      <c r="F94" s="43"/>
      <c r="G94" s="43"/>
      <c r="H94" s="43"/>
      <c r="I94" s="43"/>
      <c r="J94" s="43"/>
      <c r="K94" s="33">
        <f>(INDEX('90 UCO &amp; animal fat FAME'!$D$4:$H$59,MATCH(SUP_Biofuels!W94,'90 UCO &amp; animal fat FAME'!$B$4:$B$59,0),MATCH(SUP_Biofuels!$I92,'90 UCO &amp; animal fat FAME'!$D$3:$H$3,0)))/INDEX('90 UCO &amp; animal fat FAME'!$D$4:$H$59,MATCH(SUP_Biofuels!X92,'90 UCO &amp; animal fat FAME'!$B$4:$B$59,0),MATCH(SUP_Biofuels!$I92,'90 UCO &amp; animal fat FAME'!$D$3:$H$3,0))</f>
        <v>8.3333333333333332E-3</v>
      </c>
      <c r="L94" s="43"/>
      <c r="M94" s="43"/>
      <c r="N94" s="43"/>
      <c r="O94" s="43"/>
      <c r="P94" s="40"/>
      <c r="Q94" s="43"/>
      <c r="R94" s="43"/>
      <c r="S94" s="43"/>
      <c r="T94" s="43"/>
      <c r="U94" s="43"/>
      <c r="V94" s="43"/>
      <c r="W94" s="17" t="str">
        <f>'90 UCO &amp; animal fat FAME'!B11</f>
        <v>Electricity Consumption, MWh/MWh Total Input</v>
      </c>
      <c r="X94" s="43"/>
      <c r="Y94" s="43"/>
    </row>
    <row r="95" spans="3:25">
      <c r="C95" s="43"/>
      <c r="D95" s="43"/>
      <c r="E95" s="43" t="s">
        <v>1760</v>
      </c>
      <c r="F95" s="43"/>
      <c r="G95" s="43"/>
      <c r="H95" s="43"/>
      <c r="I95" s="43"/>
      <c r="J95" s="43"/>
      <c r="K95" s="33">
        <f>(INDEX('90 UCO &amp; animal fat FAME'!$D$4:$H$59,MATCH(SUP_Biofuels!W95,'90 UCO &amp; animal fat FAME'!$B$4:$B$59,0),MATCH(SUP_Biofuels!$I92,'90 UCO &amp; animal fat FAME'!$D$3:$H$3,0)))/INDEX('90 UCO &amp; animal fat FAME'!$D$4:$H$59,MATCH(SUP_Biofuels!X92,'90 UCO &amp; animal fat FAME'!$B$4:$B$59,0),MATCH(SUP_Biofuels!$I92,'90 UCO &amp; animal fat FAME'!$D$3:$H$3,0))</f>
        <v>5.2380952380952382E-2</v>
      </c>
      <c r="L95" s="43"/>
      <c r="M95" s="43"/>
      <c r="N95" s="43"/>
      <c r="O95" s="43"/>
      <c r="P95" s="40"/>
      <c r="Q95" s="43"/>
      <c r="R95" s="43"/>
      <c r="S95" s="43"/>
      <c r="T95" s="43"/>
      <c r="U95" s="43"/>
      <c r="V95" s="43"/>
      <c r="W95" s="17" t="str">
        <f>'90 UCO &amp; animal fat FAME'!B12</f>
        <v>Natural Gas Consumption, MWh/MWh Total Input</v>
      </c>
      <c r="X95" s="43"/>
      <c r="Y95" s="43"/>
    </row>
    <row r="96" spans="3:25">
      <c r="C96" s="43"/>
      <c r="D96" s="43"/>
      <c r="E96" s="43"/>
      <c r="F96" s="43"/>
      <c r="G96" s="43" t="s">
        <v>75</v>
      </c>
      <c r="H96" s="43"/>
      <c r="I96" s="43"/>
      <c r="J96" s="43"/>
      <c r="K96" s="43"/>
      <c r="L96" s="33">
        <f>INDEX('90 UCO &amp; animal fat FAME'!$D$4:$H$59,MATCH(SUP_Biofuels!Y96,'90 UCO &amp; animal fat FAME'!$B$4:$B$59,0),MATCH(SUP_Biofuels!$I92,'90 UCO &amp; animal fat FAME'!$D$3:$H$3,0))*(SUM(K92:K95))</f>
        <v>4.7666666666666677E-2</v>
      </c>
      <c r="M96" s="43"/>
      <c r="N96" s="43"/>
      <c r="O96" s="43"/>
      <c r="P96" s="40"/>
      <c r="Q96" s="43"/>
      <c r="R96" s="43"/>
      <c r="S96" s="43"/>
      <c r="T96" s="43"/>
      <c r="U96" s="43"/>
      <c r="V96" s="43"/>
      <c r="W96" s="43"/>
      <c r="X96" s="43"/>
      <c r="Y96" s="43" t="str">
        <f>'90 UCO &amp; animal fat FAME'!B15</f>
        <v>Glycerine  Output, MWH/MWh Total Input</v>
      </c>
    </row>
    <row r="97" spans="3:25" ht="15.6">
      <c r="C97" s="17"/>
      <c r="D97" s="32"/>
      <c r="E97" s="17" t="str">
        <f>E92</f>
        <v>SUPRPS</v>
      </c>
      <c r="F97" s="17" t="str">
        <f>F92</f>
        <v>DSB1</v>
      </c>
      <c r="G97" s="17"/>
      <c r="H97" s="17" t="s">
        <v>70</v>
      </c>
      <c r="I97" s="17">
        <v>2020</v>
      </c>
      <c r="J97" s="17"/>
      <c r="K97" s="33">
        <f>(INDEX('90 UCO &amp; animal fat FAME'!$D$4:$H$59,MATCH(SUP_Biofuels!W97,'90 UCO &amp; animal fat FAME'!$B$4:$B$59,0),MATCH(SUP_Biofuels!$I97,'90 UCO &amp; animal fat FAME'!$D$3:$H$3,0)))/INDEX('90 UCO &amp; animal fat FAME'!$D$4:$H$59,MATCH(SUP_Biofuels!X97,'90 UCO &amp; animal fat FAME'!$B$4:$B$59,0),MATCH(SUP_Biofuels!$I97,'90 UCO &amp; animal fat FAME'!$D$3:$H$3,0))</f>
        <v>1.0694117647058825</v>
      </c>
      <c r="L97" s="33"/>
      <c r="M97" s="34">
        <f>INDEX('90 UCO &amp; animal fat FAME'!$D$4:$H$59,MATCH(SUP_Biofuels!M$8,'90 UCO &amp; animal fat FAME'!$B$4:$B$59,0),MATCH(SUP_Biofuels!$I97,'90 UCO &amp; animal fat FAME'!$D$3:$H$3,0))</f>
        <v>25</v>
      </c>
      <c r="N97" s="35">
        <f>INDEX('90 UCO &amp; animal fat FAME'!$D$4:$H$59,MATCH(SUP_Biofuels!N$8,'90 UCO &amp; animal fat FAME'!$B$4:$B$59,0),MATCH(SUP_Biofuels!$I97,'90 UCO &amp; animal fat FAME'!$D$3:$H$3,0))*7.45</f>
        <v>7.570100729516744</v>
      </c>
      <c r="O97" s="35">
        <f>INDEX('90 UCO &amp; animal fat FAME'!$D$4:$H$59,MATCH(SUP_Biofuels!O$8,'90 UCO &amp; animal fat FAME'!$B$4:$B$59,0),MATCH(SUP_Biofuels!$I97,'90 UCO &amp; animal fat FAME'!$D$3:$H$3,0))*7.45</f>
        <v>0.91195856873822978</v>
      </c>
      <c r="P97" s="35">
        <f>INDEX('90 UCO &amp; animal fat FAME'!$D$4:$H$59,MATCH(SUP_Biofuels!P$8,'90 UCO &amp; animal fat FAME'!$B$4:$B$59,0),MATCH(SUP_Biofuels!$I97,'90 UCO &amp; animal fat FAME'!$D$3:$H$3,0))*7.45/3.6</f>
        <v>15.840344694531794</v>
      </c>
      <c r="Q97" s="33">
        <f>1-INDEX('90 UCO &amp; animal fat FAME'!$D$4:$H$59,MATCH(SUP_Biofuels!Q$7,'90 UCO &amp; animal fat FAME'!$B$4:$B$59,0),MATCH(SUP_Biofuels!$I97,'90 UCO &amp; animal fat FAME'!$D$3:$H$3,0))/52-INDEX('90 UCO &amp; animal fat FAME'!$D$4:$H$59,MATCH(SUP_Biofuels!Q$8,'90 UCO &amp; animal fat FAME'!$B$4:$B$59,0),MATCH(SUP_Biofuels!$I97,'90 UCO &amp; animal fat FAME'!$D$3:$H$3,0))/100</f>
        <v>0.96153846153846156</v>
      </c>
      <c r="R97" s="36">
        <f>$R$39</f>
        <v>3.1536000000000002E-2</v>
      </c>
      <c r="S97" s="34">
        <f>INDEX('90 UCO &amp; animal fat FAME'!$D$4:$H$59,MATCH(SUP_Biofuels!S$8,'90 UCO &amp; animal fat FAME'!$B$4:$B$59,0),MATCH(SUP_Biofuels!$I97,'90 UCO &amp; animal fat FAME'!$D$3:$H$3,0))</f>
        <v>1.5</v>
      </c>
      <c r="T97" s="34"/>
      <c r="U97" s="44"/>
      <c r="V97" s="45"/>
      <c r="W97" s="17" t="str">
        <f>W92</f>
        <v>Veg Oil Consumption, MWh/MWh Total Input</v>
      </c>
      <c r="X97" s="17" t="str">
        <f>X92</f>
        <v xml:space="preserve">Biodiesel Output, MWH/MWh </v>
      </c>
      <c r="Y97" s="17"/>
    </row>
    <row r="98" spans="3:25">
      <c r="C98" s="17"/>
      <c r="D98" s="17"/>
      <c r="E98" s="17" t="str">
        <f>E93</f>
        <v>SUPMOB</v>
      </c>
      <c r="F98" s="17"/>
      <c r="G98" s="17"/>
      <c r="H98" s="17"/>
      <c r="I98" s="17"/>
      <c r="J98" s="17"/>
      <c r="K98" s="33">
        <f>(INDEX('90 UCO &amp; animal fat FAME'!$D$4:$H$59,MATCH(SUP_Biofuels!W98,'90 UCO &amp; animal fat FAME'!$B$4:$B$59,0),MATCH(SUP_Biofuels!$I97,'90 UCO &amp; animal fat FAME'!$D$3:$H$3,0)))/INDEX('90 UCO &amp; animal fat FAME'!$D$4:$H$59,MATCH(SUP_Biofuels!X97,'90 UCO &amp; animal fat FAME'!$B$4:$B$59,0),MATCH(SUP_Biofuels!$I97,'90 UCO &amp; animal fat FAME'!$D$3:$H$3,0))</f>
        <v>5.1764705882352942E-2</v>
      </c>
      <c r="L98" s="33"/>
      <c r="M98" s="39"/>
      <c r="N98" s="40"/>
      <c r="O98" s="40"/>
      <c r="P98" s="40"/>
      <c r="Q98" s="41"/>
      <c r="R98" s="42"/>
      <c r="S98" s="39"/>
      <c r="T98" s="39"/>
      <c r="U98" s="43"/>
      <c r="V98" s="43"/>
      <c r="W98" s="17" t="str">
        <f>W93</f>
        <v>Methanol Consumption, MWh/MWh Total Input</v>
      </c>
      <c r="X98" s="17"/>
      <c r="Y98" s="17"/>
    </row>
    <row r="99" spans="3:25">
      <c r="C99" s="43"/>
      <c r="D99" s="43"/>
      <c r="E99" s="17" t="str">
        <f>E94</f>
        <v>SUPELC</v>
      </c>
      <c r="F99" s="43"/>
      <c r="G99" s="43"/>
      <c r="H99" s="43"/>
      <c r="I99" s="43"/>
      <c r="J99" s="43"/>
      <c r="K99" s="33">
        <f>(INDEX('90 UCO &amp; animal fat FAME'!$D$4:$H$59,MATCH(SUP_Biofuels!W99,'90 UCO &amp; animal fat FAME'!$B$4:$B$59,0),MATCH(SUP_Biofuels!$I97,'90 UCO &amp; animal fat FAME'!$D$3:$H$3,0)))/INDEX('90 UCO &amp; animal fat FAME'!$D$4:$H$59,MATCH(SUP_Biofuels!X97,'90 UCO &amp; animal fat FAME'!$B$4:$B$59,0),MATCH(SUP_Biofuels!$I97,'90 UCO &amp; animal fat FAME'!$D$3:$H$3,0))</f>
        <v>7.058823529411765E-3</v>
      </c>
      <c r="L99" s="43"/>
      <c r="M99" s="43"/>
      <c r="N99" s="43"/>
      <c r="O99" s="43"/>
      <c r="P99" s="40"/>
      <c r="Q99" s="43"/>
      <c r="R99" s="43"/>
      <c r="S99" s="43"/>
      <c r="T99" s="43"/>
      <c r="U99" s="43"/>
      <c r="V99" s="43"/>
      <c r="W99" s="17" t="str">
        <f>W94</f>
        <v>Electricity Consumption, MWh/MWh Total Input</v>
      </c>
      <c r="X99" s="43"/>
      <c r="Y99" s="43"/>
    </row>
    <row r="100" spans="3:25">
      <c r="C100" s="43"/>
      <c r="D100" s="43"/>
      <c r="E100" s="17" t="str">
        <f>E95</f>
        <v>SUPNGA,SUPSNG,SUPH2</v>
      </c>
      <c r="F100" s="43"/>
      <c r="G100" s="43"/>
      <c r="H100" s="43"/>
      <c r="I100" s="43"/>
      <c r="J100" s="43"/>
      <c r="K100" s="33">
        <f>(INDEX('90 UCO &amp; animal fat FAME'!$D$4:$H$59,MATCH(SUP_Biofuels!W100,'90 UCO &amp; animal fat FAME'!$B$4:$B$59,0),MATCH(SUP_Biofuels!$I97,'90 UCO &amp; animal fat FAME'!$D$3:$H$3,0)))/INDEX('90 UCO &amp; animal fat FAME'!$D$4:$H$59,MATCH(SUP_Biofuels!X97,'90 UCO &amp; animal fat FAME'!$B$4:$B$59,0),MATCH(SUP_Biofuels!$I97,'90 UCO &amp; animal fat FAME'!$D$3:$H$3,0))</f>
        <v>4.7058823529411764E-2</v>
      </c>
      <c r="L100" s="43"/>
      <c r="M100" s="43"/>
      <c r="N100" s="43"/>
      <c r="O100" s="43"/>
      <c r="P100" s="40"/>
      <c r="Q100" s="43"/>
      <c r="R100" s="43"/>
      <c r="S100" s="43"/>
      <c r="T100" s="43"/>
      <c r="U100" s="43"/>
      <c r="V100" s="43"/>
      <c r="W100" s="17" t="str">
        <f>W95</f>
        <v>Natural Gas Consumption, MWh/MWh Total Input</v>
      </c>
      <c r="X100" s="43"/>
      <c r="Y100" s="43"/>
    </row>
    <row r="101" spans="3:25" ht="15.6">
      <c r="C101" s="43"/>
      <c r="D101" s="32"/>
      <c r="E101" s="43"/>
      <c r="F101" s="43"/>
      <c r="G101" s="17" t="str">
        <f>G96</f>
        <v>GLY</v>
      </c>
      <c r="H101" s="43"/>
      <c r="I101" s="43"/>
      <c r="J101" s="43"/>
      <c r="K101" s="43"/>
      <c r="L101" s="33">
        <f>INDEX('90 UCO &amp; animal fat FAME'!$D$4:$H$59,MATCH(SUP_Biofuels!Y101,'90 UCO &amp; animal fat FAME'!$B$4:$B$59,0),MATCH(SUP_Biofuels!$I97,'90 UCO &amp; animal fat FAME'!$D$3:$H$3,0))*(SUM(K97:K100))</f>
        <v>4.7011764705882364E-2</v>
      </c>
      <c r="M101" s="43"/>
      <c r="N101" s="43"/>
      <c r="O101" s="43"/>
      <c r="P101" s="40"/>
      <c r="Q101" s="43"/>
      <c r="R101" s="43"/>
      <c r="S101" s="43"/>
      <c r="T101" s="43"/>
      <c r="U101" s="43"/>
      <c r="V101" s="45"/>
      <c r="W101" s="43"/>
      <c r="X101" s="43"/>
      <c r="Y101" s="17" t="str">
        <f>Y96</f>
        <v>Glycerine  Output, MWH/MWh Total Input</v>
      </c>
    </row>
    <row r="102" spans="3:25">
      <c r="C102" s="43"/>
      <c r="D102" s="17"/>
      <c r="E102" s="17" t="str">
        <f>E97</f>
        <v>SUPRPS</v>
      </c>
      <c r="F102" s="17" t="str">
        <f>F97</f>
        <v>DSB1</v>
      </c>
      <c r="G102" s="17"/>
      <c r="H102" s="17" t="s">
        <v>70</v>
      </c>
      <c r="I102" s="17">
        <v>2030</v>
      </c>
      <c r="J102" s="17"/>
      <c r="K102" s="33">
        <f>(INDEX('90 UCO &amp; animal fat FAME'!$D$4:$H$59,MATCH(SUP_Biofuels!W102,'90 UCO &amp; animal fat FAME'!$B$4:$B$59,0),MATCH(SUP_Biofuels!$I102,'90 UCO &amp; animal fat FAME'!$D$3:$H$3,0)))/INDEX('90 UCO &amp; animal fat FAME'!$D$4:$H$59,MATCH(SUP_Biofuels!X102,'90 UCO &amp; animal fat FAME'!$B$4:$B$59,0),MATCH(SUP_Biofuels!$I102,'90 UCO &amp; animal fat FAME'!$D$3:$H$3,0))</f>
        <v>1.0604651162790699</v>
      </c>
      <c r="L102" s="33"/>
      <c r="M102" s="34">
        <f>INDEX('90 UCO &amp; animal fat FAME'!$D$4:$H$59,MATCH(SUP_Biofuels!M$8,'90 UCO &amp; animal fat FAME'!$B$4:$B$59,0),MATCH(SUP_Biofuels!$I102,'90 UCO &amp; animal fat FAME'!$D$3:$H$3,0))</f>
        <v>25</v>
      </c>
      <c r="N102" s="35">
        <f>INDEX('90 UCO &amp; animal fat FAME'!$D$4:$H$59,MATCH(SUP_Biofuels!N$8,'90 UCO &amp; animal fat FAME'!$B$4:$B$59,0),MATCH(SUP_Biofuels!$I102,'90 UCO &amp; animal fat FAME'!$D$3:$H$3,0))*7.45</f>
        <v>6.9644926711554032</v>
      </c>
      <c r="O102" s="35">
        <f>INDEX('90 UCO &amp; animal fat FAME'!$D$4:$H$59,MATCH(SUP_Biofuels!O$8,'90 UCO &amp; animal fat FAME'!$B$4:$B$59,0),MATCH(SUP_Biofuels!$I102,'90 UCO &amp; animal fat FAME'!$D$3:$H$3,0))*7.45</f>
        <v>0.91195856873822978</v>
      </c>
      <c r="P102" s="35">
        <f>INDEX('90 UCO &amp; animal fat FAME'!$D$4:$H$59,MATCH(SUP_Biofuels!P$8,'90 UCO &amp; animal fat FAME'!$B$4:$B$59,0),MATCH(SUP_Biofuels!$I102,'90 UCO &amp; animal fat FAME'!$D$3:$H$3,0))*7.45/3.6</f>
        <v>15.840344694531794</v>
      </c>
      <c r="Q102" s="33">
        <f>1-INDEX('90 UCO &amp; animal fat FAME'!$D$4:$H$59,MATCH(SUP_Biofuels!Q$7,'90 UCO &amp; animal fat FAME'!$B$4:$B$59,0),MATCH(SUP_Biofuels!$I102,'90 UCO &amp; animal fat FAME'!$D$3:$H$3,0))/52-INDEX('90 UCO &amp; animal fat FAME'!$D$4:$H$59,MATCH(SUP_Biofuels!Q$8,'90 UCO &amp; animal fat FAME'!$B$4:$B$59,0),MATCH(SUP_Biofuels!$I102,'90 UCO &amp; animal fat FAME'!$D$3:$H$3,0))/100</f>
        <v>0.96153846153846156</v>
      </c>
      <c r="R102" s="36">
        <f>$R$39</f>
        <v>3.1536000000000002E-2</v>
      </c>
      <c r="S102" s="34">
        <f>INDEX('90 UCO &amp; animal fat FAME'!$D$4:$H$59,MATCH(SUP_Biofuels!S$8,'90 UCO &amp; animal fat FAME'!$B$4:$B$59,0),MATCH(SUP_Biofuels!$I102,'90 UCO &amp; animal fat FAME'!$D$3:$H$3,0))</f>
        <v>1.5</v>
      </c>
      <c r="T102" s="34"/>
      <c r="U102" s="44"/>
      <c r="V102" s="43"/>
      <c r="W102" s="17" t="str">
        <f>W97</f>
        <v>Veg Oil Consumption, MWh/MWh Total Input</v>
      </c>
      <c r="X102" s="17" t="str">
        <f>X97</f>
        <v xml:space="preserve">Biodiesel Output, MWH/MWh </v>
      </c>
      <c r="Y102" s="17"/>
    </row>
    <row r="103" spans="3:25">
      <c r="C103" s="43"/>
      <c r="D103" s="43"/>
      <c r="E103" s="17" t="str">
        <f>E98</f>
        <v>SUPMOB</v>
      </c>
      <c r="F103" s="17"/>
      <c r="G103" s="17"/>
      <c r="H103" s="17"/>
      <c r="I103" s="17"/>
      <c r="J103" s="17"/>
      <c r="K103" s="33">
        <f>(INDEX('90 UCO &amp; animal fat FAME'!$D$4:$H$59,MATCH(SUP_Biofuels!W103,'90 UCO &amp; animal fat FAME'!$B$4:$B$59,0),MATCH(SUP_Biofuels!$I102,'90 UCO &amp; animal fat FAME'!$D$3:$H$3,0)))/INDEX('90 UCO &amp; animal fat FAME'!$D$4:$H$59,MATCH(SUP_Biofuels!X102,'90 UCO &amp; animal fat FAME'!$B$4:$B$59,0),MATCH(SUP_Biofuels!$I102,'90 UCO &amp; animal fat FAME'!$D$3:$H$3,0))</f>
        <v>5.1162790697674418E-2</v>
      </c>
      <c r="L103" s="33"/>
      <c r="M103" s="39"/>
      <c r="N103" s="40"/>
      <c r="O103" s="40"/>
      <c r="P103" s="40"/>
      <c r="Q103" s="41"/>
      <c r="R103" s="42"/>
      <c r="S103" s="39"/>
      <c r="T103" s="39"/>
      <c r="U103" s="43"/>
      <c r="V103" s="43"/>
      <c r="W103" s="17" t="str">
        <f>W98</f>
        <v>Methanol Consumption, MWh/MWh Total Input</v>
      </c>
      <c r="X103" s="17"/>
      <c r="Y103" s="17"/>
    </row>
    <row r="104" spans="3:25">
      <c r="C104" s="43"/>
      <c r="D104" s="43"/>
      <c r="E104" s="17" t="str">
        <f>E99</f>
        <v>SUPELC</v>
      </c>
      <c r="F104" s="43"/>
      <c r="G104" s="43"/>
      <c r="H104" s="43"/>
      <c r="I104" s="43"/>
      <c r="J104" s="43"/>
      <c r="K104" s="33">
        <f>(INDEX('90 UCO &amp; animal fat FAME'!$D$4:$H$59,MATCH(SUP_Biofuels!W104,'90 UCO &amp; animal fat FAME'!$B$4:$B$59,0),MATCH(SUP_Biofuels!$I102,'90 UCO &amp; animal fat FAME'!$D$3:$H$3,0)))/INDEX('90 UCO &amp; animal fat FAME'!$D$4:$H$59,MATCH(SUP_Biofuels!X102,'90 UCO &amp; animal fat FAME'!$B$4:$B$59,0),MATCH(SUP_Biofuels!$I102,'90 UCO &amp; animal fat FAME'!$D$3:$H$3,0))</f>
        <v>5.8139534883720929E-3</v>
      </c>
      <c r="L104" s="43"/>
      <c r="M104" s="43"/>
      <c r="N104" s="43"/>
      <c r="O104" s="43"/>
      <c r="P104" s="40"/>
      <c r="Q104" s="43"/>
      <c r="R104" s="43"/>
      <c r="S104" s="43"/>
      <c r="T104" s="43"/>
      <c r="U104" s="43"/>
      <c r="V104" s="43"/>
      <c r="W104" s="17" t="str">
        <f>W99</f>
        <v>Electricity Consumption, MWh/MWh Total Input</v>
      </c>
      <c r="X104" s="43"/>
      <c r="Y104" s="43"/>
    </row>
    <row r="105" spans="3:25" ht="15.6">
      <c r="C105" s="43"/>
      <c r="D105" s="32"/>
      <c r="E105" s="17" t="str">
        <f>E100</f>
        <v>SUPNGA,SUPSNG,SUPH2</v>
      </c>
      <c r="F105" s="43"/>
      <c r="G105" s="43"/>
      <c r="H105" s="43"/>
      <c r="I105" s="43"/>
      <c r="J105" s="43"/>
      <c r="K105" s="33">
        <f>(INDEX('90 UCO &amp; animal fat FAME'!$D$4:$H$59,MATCH(SUP_Biofuels!W105,'90 UCO &amp; animal fat FAME'!$B$4:$B$59,0),MATCH(SUP_Biofuels!$I102,'90 UCO &amp; animal fat FAME'!$D$3:$H$3,0)))/INDEX('90 UCO &amp; animal fat FAME'!$D$4:$H$59,MATCH(SUP_Biofuels!X102,'90 UCO &amp; animal fat FAME'!$B$4:$B$59,0),MATCH(SUP_Biofuels!$I102,'90 UCO &amp; animal fat FAME'!$D$3:$H$3,0))</f>
        <v>4.1860465116279069E-2</v>
      </c>
      <c r="L105" s="43"/>
      <c r="M105" s="43"/>
      <c r="N105" s="43"/>
      <c r="O105" s="43"/>
      <c r="P105" s="40"/>
      <c r="Q105" s="43"/>
      <c r="R105" s="43"/>
      <c r="S105" s="43"/>
      <c r="T105" s="43"/>
      <c r="U105" s="43"/>
      <c r="V105" s="45"/>
      <c r="W105" s="17" t="str">
        <f>W100</f>
        <v>Natural Gas Consumption, MWh/MWh Total Input</v>
      </c>
      <c r="X105" s="43"/>
      <c r="Y105" s="43"/>
    </row>
    <row r="106" spans="3:25">
      <c r="C106" s="43"/>
      <c r="D106" s="17"/>
      <c r="E106" s="43"/>
      <c r="F106" s="43"/>
      <c r="G106" s="17" t="str">
        <f>G101</f>
        <v>GLY</v>
      </c>
      <c r="H106" s="43"/>
      <c r="I106" s="43"/>
      <c r="J106" s="43"/>
      <c r="K106" s="43"/>
      <c r="L106" s="33">
        <f>INDEX('90 UCO &amp; animal fat FAME'!$D$4:$H$59,MATCH(SUP_Biofuels!Y106,'90 UCO &amp; animal fat FAME'!$B$4:$B$59,0),MATCH(SUP_Biofuels!$I102,'90 UCO &amp; animal fat FAME'!$D$3:$H$3,0))*(SUM(K102:K105))</f>
        <v>4.6372093023255817E-2</v>
      </c>
      <c r="M106" s="43"/>
      <c r="N106" s="43"/>
      <c r="O106" s="43"/>
      <c r="P106" s="40"/>
      <c r="Q106" s="43"/>
      <c r="R106" s="43"/>
      <c r="S106" s="43"/>
      <c r="T106" s="43"/>
      <c r="U106" s="43"/>
      <c r="V106" s="43"/>
      <c r="W106" s="43"/>
      <c r="X106" s="43"/>
      <c r="Y106" s="17" t="str">
        <f>Y101</f>
        <v>Glycerine  Output, MWH/MWh Total Input</v>
      </c>
    </row>
    <row r="107" spans="3:25">
      <c r="C107" s="43"/>
      <c r="D107" s="43"/>
      <c r="E107" s="17" t="str">
        <f>E102</f>
        <v>SUPRPS</v>
      </c>
      <c r="F107" s="17" t="str">
        <f>F102</f>
        <v>DSB1</v>
      </c>
      <c r="G107" s="17"/>
      <c r="H107" s="17" t="s">
        <v>70</v>
      </c>
      <c r="I107" s="17">
        <v>2040</v>
      </c>
      <c r="J107" s="17"/>
      <c r="K107" s="33">
        <f>(INDEX('90 UCO &amp; animal fat FAME'!$D$4:$H$59,MATCH(SUP_Biofuels!W107,'90 UCO &amp; animal fat FAME'!$B$4:$B$59,0),MATCH(SUP_Biofuels!$I107,'90 UCO &amp; animal fat FAME'!$D$3:$H$3,0)))/INDEX('90 UCO &amp; animal fat FAME'!$D$4:$H$59,MATCH(SUP_Biofuels!X107,'90 UCO &amp; animal fat FAME'!$B$4:$B$59,0),MATCH(SUP_Biofuels!$I107,'90 UCO &amp; animal fat FAME'!$D$3:$H$3,0))</f>
        <v>1.0604651162790699</v>
      </c>
      <c r="L107" s="33"/>
      <c r="M107" s="34">
        <f>INDEX('90 UCO &amp; animal fat FAME'!$D$4:$H$59,MATCH(SUP_Biofuels!M$8,'90 UCO &amp; animal fat FAME'!$B$4:$B$59,0),MATCH(SUP_Biofuels!$I107,'90 UCO &amp; animal fat FAME'!$D$3:$H$3,0))</f>
        <v>25</v>
      </c>
      <c r="N107" s="35">
        <f>INDEX('90 UCO &amp; animal fat FAME'!$D$4:$H$59,MATCH(SUP_Biofuels!N$8,'90 UCO &amp; animal fat FAME'!$B$4:$B$59,0),MATCH(SUP_Biofuels!$I107,'90 UCO &amp; animal fat FAME'!$D$3:$H$3,0))*7.45</f>
        <v>6.6616886419747345</v>
      </c>
      <c r="O107" s="35">
        <f>INDEX('90 UCO &amp; animal fat FAME'!$D$4:$H$59,MATCH(SUP_Biofuels!O$8,'90 UCO &amp; animal fat FAME'!$B$4:$B$59,0),MATCH(SUP_Biofuels!$I107,'90 UCO &amp; animal fat FAME'!$D$3:$H$3,0))*7.45</f>
        <v>0.91195856873822978</v>
      </c>
      <c r="P107" s="35">
        <f>INDEX('90 UCO &amp; animal fat FAME'!$D$4:$H$59,MATCH(SUP_Biofuels!P$8,'90 UCO &amp; animal fat FAME'!$B$4:$B$59,0),MATCH(SUP_Biofuels!$I107,'90 UCO &amp; animal fat FAME'!$D$3:$H$3,0))*7.45/3.6</f>
        <v>15.840344694531794</v>
      </c>
      <c r="Q107" s="33">
        <f>1-INDEX('90 UCO &amp; animal fat FAME'!$D$4:$H$59,MATCH(SUP_Biofuels!Q$7,'90 UCO &amp; animal fat FAME'!$B$4:$B$59,0),MATCH(SUP_Biofuels!$I107,'90 UCO &amp; animal fat FAME'!$D$3:$H$3,0))/52-INDEX('90 UCO &amp; animal fat FAME'!$D$4:$H$59,MATCH(SUP_Biofuels!Q$8,'90 UCO &amp; animal fat FAME'!$B$4:$B$59,0),MATCH(SUP_Biofuels!$I107,'90 UCO &amp; animal fat FAME'!$D$3:$H$3,0))/100</f>
        <v>0.96153846153846156</v>
      </c>
      <c r="R107" s="36">
        <f>$R$39</f>
        <v>3.1536000000000002E-2</v>
      </c>
      <c r="S107" s="34">
        <f>INDEX('90 UCO &amp; animal fat FAME'!$D$4:$H$59,MATCH(SUP_Biofuels!S$8,'90 UCO &amp; animal fat FAME'!$B$4:$B$59,0),MATCH(SUP_Biofuels!$I107,'90 UCO &amp; animal fat FAME'!$D$3:$H$3,0))</f>
        <v>1.5</v>
      </c>
      <c r="T107" s="34"/>
      <c r="U107" s="44"/>
      <c r="V107" s="43"/>
      <c r="W107" s="17" t="str">
        <f>W102</f>
        <v>Veg Oil Consumption, MWh/MWh Total Input</v>
      </c>
      <c r="X107" s="17" t="str">
        <f>X102</f>
        <v xml:space="preserve">Biodiesel Output, MWH/MWh </v>
      </c>
      <c r="Y107" s="17"/>
    </row>
    <row r="108" spans="3:25">
      <c r="C108" s="43"/>
      <c r="D108" s="43"/>
      <c r="E108" s="17" t="str">
        <f>E103</f>
        <v>SUPMOB</v>
      </c>
      <c r="F108" s="17"/>
      <c r="G108" s="17"/>
      <c r="H108" s="17"/>
      <c r="I108" s="17"/>
      <c r="J108" s="17"/>
      <c r="K108" s="33">
        <f>(INDEX('90 UCO &amp; animal fat FAME'!$D$4:$H$59,MATCH(SUP_Biofuels!W108,'90 UCO &amp; animal fat FAME'!$B$4:$B$59,0),MATCH(SUP_Biofuels!$I107,'90 UCO &amp; animal fat FAME'!$D$3:$H$3,0)))/INDEX('90 UCO &amp; animal fat FAME'!$D$4:$H$59,MATCH(SUP_Biofuels!X107,'90 UCO &amp; animal fat FAME'!$B$4:$B$59,0),MATCH(SUP_Biofuels!$I107,'90 UCO &amp; animal fat FAME'!$D$3:$H$3,0))</f>
        <v>5.1162790697674418E-2</v>
      </c>
      <c r="L108" s="33"/>
      <c r="M108" s="39"/>
      <c r="N108" s="40"/>
      <c r="O108" s="40"/>
      <c r="P108" s="40"/>
      <c r="Q108" s="41"/>
      <c r="R108" s="42"/>
      <c r="S108" s="39"/>
      <c r="T108" s="39"/>
      <c r="U108" s="43"/>
      <c r="V108" s="43"/>
      <c r="W108" s="17" t="str">
        <f>W103</f>
        <v>Methanol Consumption, MWh/MWh Total Input</v>
      </c>
      <c r="X108" s="17"/>
      <c r="Y108" s="17"/>
    </row>
    <row r="109" spans="3:25">
      <c r="C109" s="43"/>
      <c r="D109" s="43"/>
      <c r="E109" s="17" t="str">
        <f>E104</f>
        <v>SUPELC</v>
      </c>
      <c r="F109" s="43"/>
      <c r="G109" s="43"/>
      <c r="H109" s="43"/>
      <c r="I109" s="43"/>
      <c r="J109" s="43"/>
      <c r="K109" s="33">
        <f>(INDEX('90 UCO &amp; animal fat FAME'!$D$4:$H$59,MATCH(SUP_Biofuels!W109,'90 UCO &amp; animal fat FAME'!$B$4:$B$59,0),MATCH(SUP_Biofuels!$I107,'90 UCO &amp; animal fat FAME'!$D$3:$H$3,0)))/INDEX('90 UCO &amp; animal fat FAME'!$D$4:$H$59,MATCH(SUP_Biofuels!X107,'90 UCO &amp; animal fat FAME'!$B$4:$B$59,0),MATCH(SUP_Biofuels!$I107,'90 UCO &amp; animal fat FAME'!$D$3:$H$3,0))</f>
        <v>5.8139534883720929E-3</v>
      </c>
      <c r="L109" s="43"/>
      <c r="M109" s="43"/>
      <c r="N109" s="43"/>
      <c r="O109" s="43"/>
      <c r="P109" s="40"/>
      <c r="Q109" s="43"/>
      <c r="R109" s="43"/>
      <c r="S109" s="43"/>
      <c r="T109" s="43"/>
      <c r="U109" s="43"/>
      <c r="V109" s="43"/>
      <c r="W109" s="17" t="str">
        <f>W104</f>
        <v>Electricity Consumption, MWh/MWh Total Input</v>
      </c>
      <c r="X109" s="43"/>
      <c r="Y109" s="43"/>
    </row>
    <row r="110" spans="3:25">
      <c r="C110" s="43"/>
      <c r="D110" s="43"/>
      <c r="E110" s="17" t="str">
        <f>E105</f>
        <v>SUPNGA,SUPSNG,SUPH2</v>
      </c>
      <c r="F110" s="43"/>
      <c r="G110" s="43"/>
      <c r="H110" s="43"/>
      <c r="I110" s="43"/>
      <c r="J110" s="43"/>
      <c r="K110" s="33">
        <f>(INDEX('90 UCO &amp; animal fat FAME'!$D$4:$H$59,MATCH(SUP_Biofuels!W110,'90 UCO &amp; animal fat FAME'!$B$4:$B$59,0),MATCH(SUP_Biofuels!$I107,'90 UCO &amp; animal fat FAME'!$D$3:$H$3,0)))/INDEX('90 UCO &amp; animal fat FAME'!$D$4:$H$59,MATCH(SUP_Biofuels!X107,'90 UCO &amp; animal fat FAME'!$B$4:$B$59,0),MATCH(SUP_Biofuels!$I107,'90 UCO &amp; animal fat FAME'!$D$3:$H$3,0))</f>
        <v>3.9534883720930239E-2</v>
      </c>
      <c r="L110" s="43"/>
      <c r="M110" s="43"/>
      <c r="N110" s="43"/>
      <c r="O110" s="43"/>
      <c r="P110" s="40"/>
      <c r="Q110" s="43"/>
      <c r="R110" s="43"/>
      <c r="S110" s="43"/>
      <c r="T110" s="43"/>
      <c r="U110" s="43"/>
      <c r="V110" s="43"/>
      <c r="W110" s="17" t="str">
        <f>W105</f>
        <v>Natural Gas Consumption, MWh/MWh Total Input</v>
      </c>
      <c r="X110" s="43"/>
      <c r="Y110" s="43"/>
    </row>
    <row r="111" spans="3:25">
      <c r="C111" s="43"/>
      <c r="D111" s="43"/>
      <c r="E111" s="43"/>
      <c r="F111" s="43"/>
      <c r="G111" s="17" t="str">
        <f>G106</f>
        <v>GLY</v>
      </c>
      <c r="H111" s="43"/>
      <c r="I111" s="43"/>
      <c r="J111" s="43"/>
      <c r="K111" s="43"/>
      <c r="L111" s="33">
        <f>INDEX('90 UCO &amp; animal fat FAME'!$D$4:$H$59,MATCH(SUP_Biofuels!Y111,'90 UCO &amp; animal fat FAME'!$B$4:$B$59,0),MATCH(SUP_Biofuels!$I107,'90 UCO &amp; animal fat FAME'!$D$3:$H$3,0))*(SUM(K107:K110))</f>
        <v>4.6279069767441866E-2</v>
      </c>
      <c r="M111" s="43"/>
      <c r="N111" s="43"/>
      <c r="O111" s="43"/>
      <c r="P111" s="40"/>
      <c r="Q111" s="43"/>
      <c r="R111" s="43"/>
      <c r="S111" s="43"/>
      <c r="T111" s="43"/>
      <c r="U111" s="43"/>
      <c r="V111" s="43"/>
      <c r="W111" s="43"/>
      <c r="X111" s="43"/>
      <c r="Y111" s="17" t="str">
        <f>Y106</f>
        <v>Glycerine  Output, MWH/MWh Total Input</v>
      </c>
    </row>
    <row r="112" spans="3:25">
      <c r="C112" s="43"/>
      <c r="D112" s="43"/>
      <c r="E112" s="17" t="str">
        <f>E107</f>
        <v>SUPRPS</v>
      </c>
      <c r="F112" s="17" t="str">
        <f>F107</f>
        <v>DSB1</v>
      </c>
      <c r="G112" s="17"/>
      <c r="H112" s="17" t="s">
        <v>70</v>
      </c>
      <c r="I112" s="17">
        <v>2050</v>
      </c>
      <c r="J112" s="17"/>
      <c r="K112" s="33">
        <f>(INDEX('90 UCO &amp; animal fat FAME'!$D$4:$H$59,MATCH(SUP_Biofuels!W112,'90 UCO &amp; animal fat FAME'!$B$4:$B$59,0),MATCH(SUP_Biofuels!$I112,'90 UCO &amp; animal fat FAME'!$D$3:$H$3,0)))/INDEX('90 UCO &amp; animal fat FAME'!$D$4:$H$59,MATCH(SUP_Biofuels!X112,'90 UCO &amp; animal fat FAME'!$B$4:$B$59,0),MATCH(SUP_Biofuels!$I112,'90 UCO &amp; animal fat FAME'!$D$3:$H$3,0))</f>
        <v>1.0482758620689656</v>
      </c>
      <c r="L112" s="33"/>
      <c r="M112" s="34">
        <f>INDEX('90 UCO &amp; animal fat FAME'!$D$4:$H$59,MATCH(SUP_Biofuels!M$8,'90 UCO &amp; animal fat FAME'!$B$4:$B$59,0),MATCH(SUP_Biofuels!$I112,'90 UCO &amp; animal fat FAME'!$D$3:$H$3,0))</f>
        <v>25</v>
      </c>
      <c r="N112" s="35">
        <f>INDEX('90 UCO &amp; animal fat FAME'!$D$4:$H$59,MATCH(SUP_Biofuels!N$8,'90 UCO &amp; animal fat FAME'!$B$4:$B$59,0),MATCH(SUP_Biofuels!$I112,'90 UCO &amp; animal fat FAME'!$D$3:$H$3,0))*7.45</f>
        <v>6.258</v>
      </c>
      <c r="O112" s="35">
        <f>INDEX('90 UCO &amp; animal fat FAME'!$D$4:$H$59,MATCH(SUP_Biofuels!O$8,'90 UCO &amp; animal fat FAME'!$B$4:$B$59,0),MATCH(SUP_Biofuels!$I112,'90 UCO &amp; animal fat FAME'!$D$3:$H$3,0))*7.45</f>
        <v>0.91195856873822978</v>
      </c>
      <c r="P112" s="35">
        <f>INDEX('90 UCO &amp; animal fat FAME'!$D$4:$H$59,MATCH(SUP_Biofuels!P$8,'90 UCO &amp; animal fat FAME'!$B$4:$B$59,0),MATCH(SUP_Biofuels!$I112,'90 UCO &amp; animal fat FAME'!$D$3:$H$3,0))*7.45/3.6</f>
        <v>15.840344694531794</v>
      </c>
      <c r="Q112" s="33">
        <f>1-INDEX('90 UCO &amp; animal fat FAME'!$D$4:$H$59,MATCH(SUP_Biofuels!Q$7,'90 UCO &amp; animal fat FAME'!$B$4:$B$59,0),MATCH(SUP_Biofuels!$I112,'90 UCO &amp; animal fat FAME'!$D$3:$H$3,0))/52-INDEX('90 UCO &amp; animal fat FAME'!$D$4:$H$59,MATCH(SUP_Biofuels!Q$8,'90 UCO &amp; animal fat FAME'!$B$4:$B$59,0),MATCH(SUP_Biofuels!$I112,'90 UCO &amp; animal fat FAME'!$D$3:$H$3,0))/100</f>
        <v>0.96153846153846156</v>
      </c>
      <c r="R112" s="36">
        <f>$R$39</f>
        <v>3.1536000000000002E-2</v>
      </c>
      <c r="S112" s="34">
        <f>INDEX('90 UCO &amp; animal fat FAME'!$D$4:$H$59,MATCH(SUP_Biofuels!S$8,'90 UCO &amp; animal fat FAME'!$B$4:$B$59,0),MATCH(SUP_Biofuels!$I112,'90 UCO &amp; animal fat FAME'!$D$3:$H$3,0))</f>
        <v>1.5</v>
      </c>
      <c r="T112" s="34"/>
      <c r="U112" s="44"/>
      <c r="V112" s="43"/>
      <c r="W112" s="17" t="str">
        <f>W107</f>
        <v>Veg Oil Consumption, MWh/MWh Total Input</v>
      </c>
      <c r="X112" s="17" t="str">
        <f>X107</f>
        <v xml:space="preserve">Biodiesel Output, MWH/MWh </v>
      </c>
      <c r="Y112" s="17"/>
    </row>
    <row r="113" spans="3:25">
      <c r="C113" s="43"/>
      <c r="D113" s="43"/>
      <c r="E113" s="17" t="str">
        <f>E108</f>
        <v>SUPMOB</v>
      </c>
      <c r="F113" s="17"/>
      <c r="G113" s="17"/>
      <c r="H113" s="17"/>
      <c r="I113" s="17"/>
      <c r="J113" s="17"/>
      <c r="K113" s="33">
        <f>(INDEX('90 UCO &amp; animal fat FAME'!$D$4:$H$59,MATCH(SUP_Biofuels!W113,'90 UCO &amp; animal fat FAME'!$B$4:$B$59,0),MATCH(SUP_Biofuels!$I112,'90 UCO &amp; animal fat FAME'!$D$3:$H$3,0)))/INDEX('90 UCO &amp; animal fat FAME'!$D$4:$H$59,MATCH(SUP_Biofuels!X112,'90 UCO &amp; animal fat FAME'!$B$4:$B$59,0),MATCH(SUP_Biofuels!$I112,'90 UCO &amp; animal fat FAME'!$D$3:$H$3,0))</f>
        <v>5.057471264367816E-2</v>
      </c>
      <c r="L113" s="33"/>
      <c r="M113" s="39"/>
      <c r="N113" s="40"/>
      <c r="O113" s="40"/>
      <c r="P113" s="40"/>
      <c r="Q113" s="41"/>
      <c r="R113" s="42"/>
      <c r="S113" s="39"/>
      <c r="T113" s="39"/>
      <c r="U113" s="43"/>
      <c r="V113" s="43"/>
      <c r="W113" s="17" t="str">
        <f>W108</f>
        <v>Methanol Consumption, MWh/MWh Total Input</v>
      </c>
      <c r="X113" s="17"/>
      <c r="Y113" s="17"/>
    </row>
    <row r="114" spans="3:25" ht="15.6">
      <c r="C114" s="43"/>
      <c r="D114" s="32"/>
      <c r="E114" s="17" t="str">
        <f>E109</f>
        <v>SUPELC</v>
      </c>
      <c r="F114" s="43"/>
      <c r="G114" s="43"/>
      <c r="H114" s="43"/>
      <c r="I114" s="43"/>
      <c r="J114" s="43"/>
      <c r="K114" s="33">
        <f>(INDEX('90 UCO &amp; animal fat FAME'!$D$4:$H$59,MATCH(SUP_Biofuels!W114,'90 UCO &amp; animal fat FAME'!$B$4:$B$59,0),MATCH(SUP_Biofuels!$I112,'90 UCO &amp; animal fat FAME'!$D$3:$H$3,0)))/INDEX('90 UCO &amp; animal fat FAME'!$D$4:$H$59,MATCH(SUP_Biofuels!X112,'90 UCO &amp; animal fat FAME'!$B$4:$B$59,0),MATCH(SUP_Biofuels!$I112,'90 UCO &amp; animal fat FAME'!$D$3:$H$3,0))</f>
        <v>4.5977011494252873E-3</v>
      </c>
      <c r="L114" s="43"/>
      <c r="M114" s="43"/>
      <c r="N114" s="43"/>
      <c r="O114" s="43"/>
      <c r="P114" s="40"/>
      <c r="Q114" s="43"/>
      <c r="R114" s="43"/>
      <c r="S114" s="43"/>
      <c r="T114" s="43"/>
      <c r="U114" s="43"/>
      <c r="V114" s="43"/>
      <c r="W114" s="17" t="str">
        <f>W109</f>
        <v>Electricity Consumption, MWh/MWh Total Input</v>
      </c>
      <c r="X114" s="43"/>
      <c r="Y114" s="43"/>
    </row>
    <row r="115" spans="3:25">
      <c r="C115" s="43"/>
      <c r="D115" s="17"/>
      <c r="E115" s="17" t="str">
        <f>E110</f>
        <v>SUPNGA,SUPSNG,SUPH2</v>
      </c>
      <c r="F115" s="43"/>
      <c r="G115" s="43"/>
      <c r="H115" s="43"/>
      <c r="I115" s="43"/>
      <c r="J115" s="43"/>
      <c r="K115" s="33">
        <f>(INDEX('90 UCO &amp; animal fat FAME'!$D$4:$H$59,MATCH(SUP_Biofuels!W115,'90 UCO &amp; animal fat FAME'!$B$4:$B$59,0),MATCH(SUP_Biofuels!$I112,'90 UCO &amp; animal fat FAME'!$D$3:$H$3,0)))/INDEX('90 UCO &amp; animal fat FAME'!$D$4:$H$59,MATCH(SUP_Biofuels!X112,'90 UCO &amp; animal fat FAME'!$B$4:$B$59,0),MATCH(SUP_Biofuels!$I112,'90 UCO &amp; animal fat FAME'!$D$3:$H$3,0))</f>
        <v>3.6781609195402298E-2</v>
      </c>
      <c r="L115" s="43"/>
      <c r="M115" s="43"/>
      <c r="N115" s="43"/>
      <c r="O115" s="43"/>
      <c r="P115" s="40"/>
      <c r="Q115" s="43"/>
      <c r="R115" s="43"/>
      <c r="S115" s="43"/>
      <c r="T115" s="43"/>
      <c r="U115" s="43"/>
      <c r="V115" s="43"/>
      <c r="W115" s="17" t="str">
        <f>W110</f>
        <v>Natural Gas Consumption, MWh/MWh Total Input</v>
      </c>
      <c r="X115" s="43"/>
      <c r="Y115" s="43"/>
    </row>
    <row r="116" spans="3:25" ht="15" thickBot="1">
      <c r="C116" s="46"/>
      <c r="D116" s="46"/>
      <c r="E116" s="46"/>
      <c r="F116" s="46"/>
      <c r="G116" s="47" t="str">
        <f>G111</f>
        <v>GLY</v>
      </c>
      <c r="H116" s="46"/>
      <c r="I116" s="46"/>
      <c r="J116" s="46"/>
      <c r="K116" s="46"/>
      <c r="L116" s="48">
        <f>INDEX('90 UCO &amp; animal fat FAME'!$D$4:$H$59,MATCH(SUP_Biofuels!Y116,'90 UCO &amp; animal fat FAME'!$B$4:$B$59,0),MATCH(SUP_Biofuels!$I112,'90 UCO &amp; animal fat FAME'!$D$3:$H$3,0))*(SUM(K112:K115))</f>
        <v>4.5609195402298859E-2</v>
      </c>
      <c r="M116" s="46"/>
      <c r="N116" s="46"/>
      <c r="O116" s="46"/>
      <c r="P116" s="49"/>
      <c r="Q116" s="46"/>
      <c r="R116" s="46"/>
      <c r="S116" s="46"/>
      <c r="T116" s="46"/>
      <c r="U116" s="46"/>
      <c r="V116" s="46"/>
      <c r="W116" s="46"/>
      <c r="X116" s="46"/>
      <c r="Y116" s="47" t="str">
        <f>Y111</f>
        <v>Glycerine  Output, MWH/MWh Total Input</v>
      </c>
    </row>
    <row r="117" spans="3:25" ht="15.6">
      <c r="C117" s="17" t="str">
        <f>"SUP"&amp;F117&amp;RIGHT(E117,3)&amp;IF(RIGHT(D117,7)="Central","C3","D3")</f>
        <v>SUPDSB1RPSC3</v>
      </c>
      <c r="D117" s="32" t="str">
        <f>'91 Hydrogenated veg oil'!D2&amp;" Central"</f>
        <v>HVO / renwable diesel Central</v>
      </c>
      <c r="E117" s="17" t="s">
        <v>72</v>
      </c>
      <c r="F117" s="17" t="s">
        <v>73</v>
      </c>
      <c r="G117" s="17"/>
      <c r="H117" s="17" t="s">
        <v>70</v>
      </c>
      <c r="I117" s="17">
        <f>'93 1st generation ethanol'!$D$3</f>
        <v>2015</v>
      </c>
      <c r="J117" s="19">
        <v>2030</v>
      </c>
      <c r="K117" s="33">
        <f>(INDEX('91 Hydrogenated veg oil'!$D$4:$H$59,MATCH(SUP_Biofuels!W117,'91 Hydrogenated veg oil'!$B$4:$B$59,0),MATCH(SUP_Biofuels!$I117,'91 Hydrogenated veg oil'!$D$3:$H$3,0)))/INDEX('91 Hydrogenated veg oil'!$D$4:$H$59,MATCH(SUP_Biofuels!X117,'91 Hydrogenated veg oil'!$B$4:$B$59,0),MATCH(SUP_Biofuels!$I117,'91 Hydrogenated veg oil'!$D$3:$H$3,0))</f>
        <v>1.0364705882352943</v>
      </c>
      <c r="L117" s="33"/>
      <c r="M117" s="34">
        <f>INDEX('91 Hydrogenated veg oil'!$D$4:$H$59,MATCH(SUP_Biofuels!M$8,'91 Hydrogenated veg oil'!$B$4:$B$59,0),MATCH(SUP_Biofuels!$I117,'91 Hydrogenated veg oil'!$D$3:$H$3,0))</f>
        <v>25</v>
      </c>
      <c r="N117" s="35">
        <f>INDEX('91 Hydrogenated veg oil'!$D$4:$H$59,MATCH(SUP_Biofuels!N$8,'91 Hydrogenated veg oil'!$B$4:$B$59,0),MATCH(SUP_Biofuels!$I117,'91 Hydrogenated veg oil'!$D$3:$H$3,0))*7.45</f>
        <v>5.6991638498487811</v>
      </c>
      <c r="O117" s="35">
        <f>INDEX('91 Hydrogenated veg oil'!$D$4:$H$59,MATCH(SUP_Biofuels!O$8,'91 Hydrogenated veg oil'!$B$4:$B$59,0),MATCH(SUP_Biofuels!$I117,'91 Hydrogenated veg oil'!$D$3:$H$3,0))*7.45</f>
        <v>0.26507738836505962</v>
      </c>
      <c r="P117" s="35">
        <f>INDEX('91 Hydrogenated veg oil'!$D$4:$H$59,MATCH(SUP_Biofuels!P$8,'91 Hydrogenated veg oil'!$B$4:$B$59,0),MATCH(SUP_Biofuels!$I117,'91 Hydrogenated veg oil'!$D$3:$H$3,0))*7.45/3.6</f>
        <v>17.551468976592265</v>
      </c>
      <c r="Q117" s="33">
        <f>1-INDEX('91 Hydrogenated veg oil'!$D$4:$H$59,MATCH(SUP_Biofuels!Q$7,'91 Hydrogenated veg oil'!$B$4:$B$59,0),MATCH(SUP_Biofuels!$I117,'91 Hydrogenated veg oil'!$D$3:$H$3,0))/52-INDEX('91 Hydrogenated veg oil'!$D$4:$H$59,MATCH(SUP_Biofuels!Q$8,'91 Hydrogenated veg oil'!$B$4:$B$59,0),MATCH(SUP_Biofuels!$I117,'91 Hydrogenated veg oil'!$D$3:$H$3,0))/100</f>
        <v>0.96153846153846156</v>
      </c>
      <c r="R117" s="36">
        <f>$R$39</f>
        <v>3.1536000000000002E-2</v>
      </c>
      <c r="S117" s="34">
        <f>INDEX('91 Hydrogenated veg oil'!$D$4:$H$59,MATCH(SUP_Biofuels!S$8,'91 Hydrogenated veg oil'!$B$4:$B$59,0),MATCH(SUP_Biofuels!$I117,'91 Hydrogenated veg oil'!$D$3:$H$3,0))</f>
        <v>2</v>
      </c>
      <c r="T117" s="34"/>
      <c r="U117" s="37"/>
      <c r="V117" s="38" t="s">
        <v>74</v>
      </c>
      <c r="W117" s="17" t="str">
        <f>'91 Hydrogenated veg oil'!B9</f>
        <v>Feedstock Consumption, MWh/MWh Total Inputs</v>
      </c>
      <c r="X117" s="17" t="str">
        <f>'91 Hydrogenated veg oil'!B14</f>
        <v>HVO Output, MWh/MWh Total Input</v>
      </c>
      <c r="Y117" s="17"/>
    </row>
    <row r="118" spans="3:25">
      <c r="C118" s="17"/>
      <c r="D118" s="17"/>
      <c r="E118" s="17" t="s">
        <v>1386</v>
      </c>
      <c r="F118" s="17"/>
      <c r="G118" s="17"/>
      <c r="H118" s="17"/>
      <c r="I118" s="17"/>
      <c r="J118" s="17"/>
      <c r="K118" s="33">
        <f>(INDEX('91 Hydrogenated veg oil'!$D$4:$H$59,MATCH(SUP_Biofuels!W118,'91 Hydrogenated veg oil'!$B$4:$B$59,0),MATCH(SUP_Biofuels!$I117,'91 Hydrogenated veg oil'!$D$3:$H$3,0)))/INDEX('91 Hydrogenated veg oil'!$D$4:$H$59,MATCH(SUP_Biofuels!X117,'91 Hydrogenated veg oil'!$B$4:$B$59,0),MATCH(SUP_Biofuels!$I117,'91 Hydrogenated veg oil'!$D$3:$H$3,0))</f>
        <v>0.12352941176470589</v>
      </c>
      <c r="L118" s="33"/>
      <c r="M118" s="39"/>
      <c r="N118" s="40"/>
      <c r="O118" s="40"/>
      <c r="P118" s="40"/>
      <c r="Q118" s="41"/>
      <c r="R118" s="42"/>
      <c r="S118" s="39"/>
      <c r="T118" s="39"/>
      <c r="U118" s="43"/>
      <c r="V118" s="43"/>
      <c r="W118" s="17" t="str">
        <f>'91 Hydrogenated veg oil'!B10</f>
        <v>Hydrogen Consumption, MWh/MWh Total Inputs</v>
      </c>
      <c r="X118" s="17"/>
      <c r="Y118" s="17"/>
    </row>
    <row r="119" spans="3:25">
      <c r="C119" s="43"/>
      <c r="D119" s="43"/>
      <c r="E119" s="43" t="s">
        <v>71</v>
      </c>
      <c r="F119" s="43"/>
      <c r="G119" s="43"/>
      <c r="H119" s="43"/>
      <c r="I119" s="43"/>
      <c r="J119" s="43"/>
      <c r="K119" s="33">
        <f>(INDEX('91 Hydrogenated veg oil'!$D$4:$H$59,MATCH(SUP_Biofuels!W119,'91 Hydrogenated veg oil'!$B$4:$B$59,0),MATCH(SUP_Biofuels!$I117,'91 Hydrogenated veg oil'!$D$3:$H$3,0)))/INDEX('91 Hydrogenated veg oil'!$D$4:$H$59,MATCH(SUP_Biofuels!X117,'91 Hydrogenated veg oil'!$B$4:$B$59,0),MATCH(SUP_Biofuels!$I117,'91 Hydrogenated veg oil'!$D$3:$H$3,0))</f>
        <v>9.4117647058823539E-3</v>
      </c>
      <c r="L119" s="43"/>
      <c r="M119" s="43"/>
      <c r="N119" s="43"/>
      <c r="O119" s="43"/>
      <c r="P119" s="40"/>
      <c r="Q119" s="43"/>
      <c r="R119" s="43"/>
      <c r="S119" s="43"/>
      <c r="T119" s="43"/>
      <c r="U119" s="43"/>
      <c r="V119" s="43"/>
      <c r="W119" s="17" t="str">
        <f>'91 Hydrogenated veg oil'!B11</f>
        <v>Electricity Consumption, MWh/MWh Total Inputs</v>
      </c>
      <c r="X119" s="43"/>
      <c r="Y119" s="43"/>
    </row>
    <row r="120" spans="3:25">
      <c r="C120" s="43"/>
      <c r="D120" s="43"/>
      <c r="E120" s="43" t="s">
        <v>1760</v>
      </c>
      <c r="F120" s="43"/>
      <c r="G120" s="43"/>
      <c r="H120" s="43"/>
      <c r="I120" s="43"/>
      <c r="J120" s="43"/>
      <c r="K120" s="33">
        <f>(INDEX('91 Hydrogenated veg oil'!$D$4:$H$59,MATCH(SUP_Biofuels!W120,'91 Hydrogenated veg oil'!$B$4:$B$59,0),MATCH(SUP_Biofuels!$I117,'91 Hydrogenated veg oil'!$D$3:$H$3,0)))/INDEX('91 Hydrogenated veg oil'!$D$4:$H$59,MATCH(SUP_Biofuels!X117,'91 Hydrogenated veg oil'!$B$4:$B$59,0),MATCH(SUP_Biofuels!$I117,'91 Hydrogenated veg oil'!$D$3:$H$3,0))</f>
        <v>8.2352941176470594E-3</v>
      </c>
      <c r="L120" s="43"/>
      <c r="M120" s="43"/>
      <c r="N120" s="43"/>
      <c r="O120" s="43"/>
      <c r="P120" s="40"/>
      <c r="Q120" s="43"/>
      <c r="R120" s="43"/>
      <c r="S120" s="43"/>
      <c r="T120" s="43"/>
      <c r="U120" s="43"/>
      <c r="V120" s="43"/>
      <c r="W120" s="17" t="str">
        <f>'91 Hydrogenated veg oil'!B12</f>
        <v>Natural Gas Consumption, MWh/MWh Total Inputs</v>
      </c>
      <c r="X120" s="43"/>
      <c r="Y120" s="43"/>
    </row>
    <row r="121" spans="3:25">
      <c r="C121" s="43"/>
      <c r="D121" s="43"/>
      <c r="E121" s="43"/>
      <c r="F121" s="43"/>
      <c r="G121" s="43" t="s">
        <v>76</v>
      </c>
      <c r="H121" s="43"/>
      <c r="I121" s="43"/>
      <c r="J121" s="43"/>
      <c r="K121" s="43"/>
      <c r="L121" s="33">
        <f>INDEX('91 Hydrogenated veg oil'!$D$4:$H$59,MATCH(SUP_Biofuels!Y121,'91 Hydrogenated veg oil'!$B$4:$B$59,0),MATCH(SUP_Biofuels!$I117,'91 Hydrogenated veg oil'!$D$3:$H$3,0))*(SUM(K117:K120))</f>
        <v>7.772470588235296E-2</v>
      </c>
      <c r="M121" s="43"/>
      <c r="N121" s="43"/>
      <c r="O121" s="43"/>
      <c r="P121" s="40"/>
      <c r="Q121" s="43"/>
      <c r="R121" s="43"/>
      <c r="S121" s="43"/>
      <c r="T121" s="43"/>
      <c r="U121" s="43"/>
      <c r="V121" s="43"/>
      <c r="W121" s="43"/>
      <c r="X121" s="43"/>
      <c r="Y121" s="43" t="str">
        <f>'91 Hydrogenated veg oil'!B15</f>
        <v>Naphta Output, MWh/MWh Total Input</v>
      </c>
    </row>
    <row r="122" spans="3:25">
      <c r="C122" s="43"/>
      <c r="D122" s="43"/>
      <c r="E122" s="43"/>
      <c r="F122" s="43"/>
      <c r="G122" s="43" t="s">
        <v>77</v>
      </c>
      <c r="H122" s="43"/>
      <c r="I122" s="43"/>
      <c r="J122" s="43"/>
      <c r="K122" s="43"/>
      <c r="L122" s="33">
        <f>INDEX('91 Hydrogenated veg oil'!$D$4:$H$59,MATCH(SUP_Biofuels!Y122,'91 Hydrogenated veg oil'!$B$4:$B$59,0),MATCH(SUP_Biofuels!$I117,'91 Hydrogenated veg oil'!$D$3:$H$3,0))*(SUM(K117:K120))</f>
        <v>3.886235294117648E-2</v>
      </c>
      <c r="M122" s="43"/>
      <c r="N122" s="43"/>
      <c r="O122" s="43"/>
      <c r="P122" s="40"/>
      <c r="Q122" s="43"/>
      <c r="R122" s="43"/>
      <c r="S122" s="43"/>
      <c r="T122" s="43"/>
      <c r="U122" s="43"/>
      <c r="V122" s="43"/>
      <c r="W122" s="43"/>
      <c r="X122" s="43"/>
      <c r="Y122" s="43" t="str">
        <f>'91 Hydrogenated veg oil'!B16</f>
        <v>Fuel Gas Output, MWh/MWh Total Input</v>
      </c>
    </row>
    <row r="123" spans="3:25">
      <c r="C123" s="43"/>
      <c r="D123" s="43"/>
      <c r="E123" s="43"/>
      <c r="F123" s="43"/>
      <c r="G123" s="43" t="s">
        <v>78</v>
      </c>
      <c r="H123" s="43"/>
      <c r="I123" s="43"/>
      <c r="J123" s="43"/>
      <c r="K123" s="43"/>
      <c r="L123" s="33">
        <f>INDEX('91 Hydrogenated veg oil'!$D$4:$H$59,MATCH(SUP_Biofuels!Y123,'91 Hydrogenated veg oil'!$B$4:$B$59,0),MATCH(SUP_Biofuels!$I117,'91 Hydrogenated veg oil'!$D$3:$H$3,0))*(SUM(K117:K120))</f>
        <v>3.2385294117647068E-2</v>
      </c>
      <c r="M123" s="43"/>
      <c r="N123" s="43"/>
      <c r="O123" s="43"/>
      <c r="P123" s="40"/>
      <c r="Q123" s="43"/>
      <c r="R123" s="43"/>
      <c r="S123" s="43"/>
      <c r="T123" s="43"/>
      <c r="U123" s="43"/>
      <c r="V123" s="43"/>
      <c r="W123" s="43"/>
      <c r="X123" s="43"/>
      <c r="Y123" s="43" t="str">
        <f>'91 Hydrogenated veg oil'!B17</f>
        <v>LPG Output, MWh/MWh Total Input</v>
      </c>
    </row>
    <row r="124" spans="3:25">
      <c r="C124" s="43"/>
      <c r="D124" s="43"/>
      <c r="E124" s="43"/>
      <c r="F124" s="43"/>
      <c r="G124" s="7" t="s">
        <v>216</v>
      </c>
      <c r="H124" s="43"/>
      <c r="I124" s="43"/>
      <c r="J124" s="43"/>
      <c r="K124" s="43"/>
      <c r="L124" s="33">
        <f>INDEX('91 Hydrogenated veg oil'!$D$4:$H$59,MATCH(SUP_Biofuels!Y124,'91 Hydrogenated veg oil'!$B$4:$B$59,0),MATCH(SUP_Biofuels!$I117,'91 Hydrogenated veg oil'!$D$3:$H$3,0))*(SUM(K117:K120))</f>
        <v>4.1865352941176477E-3</v>
      </c>
      <c r="M124" s="43"/>
      <c r="N124" s="43"/>
      <c r="O124" s="43"/>
      <c r="P124" s="40"/>
      <c r="Q124" s="43"/>
      <c r="R124" s="43"/>
      <c r="S124" s="43"/>
      <c r="T124" s="43"/>
      <c r="U124" s="43"/>
      <c r="V124" s="43"/>
      <c r="W124" s="43"/>
      <c r="X124" s="43"/>
      <c r="Y124" s="43" t="str">
        <f>'91 Hydrogenated veg oil'!B18</f>
        <v>District Heating Output, MWh/MWh Total input</v>
      </c>
    </row>
    <row r="125" spans="3:25" ht="15.6">
      <c r="C125" s="17"/>
      <c r="D125" s="32"/>
      <c r="E125" s="17" t="str">
        <f>E117</f>
        <v>SUPRPS</v>
      </c>
      <c r="F125" s="17" t="str">
        <f>F117</f>
        <v>DSB1</v>
      </c>
      <c r="G125" s="17"/>
      <c r="H125" s="17" t="s">
        <v>70</v>
      </c>
      <c r="I125" s="17">
        <v>2020</v>
      </c>
      <c r="J125" s="17"/>
      <c r="K125" s="33">
        <f>(INDEX('91 Hydrogenated veg oil'!$D$4:$H$59,MATCH(SUP_Biofuels!W125,'91 Hydrogenated veg oil'!$B$4:$B$59,0),MATCH(SUP_Biofuels!$I125,'91 Hydrogenated veg oil'!$D$3:$H$3,0)))/INDEX('91 Hydrogenated veg oil'!$D$4:$H$59,MATCH(SUP_Biofuels!X125,'91 Hydrogenated veg oil'!$B$4:$B$59,0),MATCH(SUP_Biofuels!$I125,'91 Hydrogenated veg oil'!$D$3:$H$3,0))</f>
        <v>1.0364705882352943</v>
      </c>
      <c r="L125" s="33"/>
      <c r="M125" s="34">
        <f>INDEX('91 Hydrogenated veg oil'!$D$4:$H$59,MATCH(SUP_Biofuels!M$8,'91 Hydrogenated veg oil'!$B$4:$B$59,0),MATCH(SUP_Biofuels!$I125,'91 Hydrogenated veg oil'!$D$3:$H$3,0))</f>
        <v>25</v>
      </c>
      <c r="N125" s="35">
        <f>INDEX('91 Hydrogenated veg oil'!$D$4:$H$59,MATCH(SUP_Biofuels!N$8,'91 Hydrogenated veg oil'!$B$4:$B$59,0),MATCH(SUP_Biofuels!$I125,'91 Hydrogenated veg oil'!$D$3:$H$3,0))*7.45</f>
        <v>5.6328945027575177</v>
      </c>
      <c r="O125" s="35">
        <f>INDEX('91 Hydrogenated veg oil'!$D$4:$H$59,MATCH(SUP_Biofuels!O$8,'91 Hydrogenated veg oil'!$B$4:$B$59,0),MATCH(SUP_Biofuels!$I125,'91 Hydrogenated veg oil'!$D$3:$H$3,0))*7.45</f>
        <v>0.26507738836505962</v>
      </c>
      <c r="P125" s="35">
        <f>INDEX('91 Hydrogenated veg oil'!$D$4:$H$59,MATCH(SUP_Biofuels!P$8,'91 Hydrogenated veg oil'!$B$4:$B$59,0),MATCH(SUP_Biofuels!$I125,'91 Hydrogenated veg oil'!$D$3:$H$3,0))*7.45/3.6</f>
        <v>17.551468976592265</v>
      </c>
      <c r="Q125" s="33">
        <f>1-INDEX('91 Hydrogenated veg oil'!$D$4:$H$59,MATCH(SUP_Biofuels!Q$7,'91 Hydrogenated veg oil'!$B$4:$B$59,0),MATCH(SUP_Biofuels!$I125,'91 Hydrogenated veg oil'!$D$3:$H$3,0))/52-INDEX('91 Hydrogenated veg oil'!$D$4:$H$59,MATCH(SUP_Biofuels!Q$8,'91 Hydrogenated veg oil'!$B$4:$B$59,0),MATCH(SUP_Biofuels!$I125,'91 Hydrogenated veg oil'!$D$3:$H$3,0))/100</f>
        <v>0.96153846153846156</v>
      </c>
      <c r="R125" s="36">
        <f>$R$39</f>
        <v>3.1536000000000002E-2</v>
      </c>
      <c r="S125" s="34">
        <f>INDEX('91 Hydrogenated veg oil'!$D$4:$H$59,MATCH(SUP_Biofuels!S$8,'91 Hydrogenated veg oil'!$B$4:$B$59,0),MATCH(SUP_Biofuels!$I125,'91 Hydrogenated veg oil'!$D$3:$H$3,0))</f>
        <v>2</v>
      </c>
      <c r="T125" s="34"/>
      <c r="U125" s="44"/>
      <c r="V125" s="45"/>
      <c r="W125" s="17" t="str">
        <f>W117</f>
        <v>Feedstock Consumption, MWh/MWh Total Inputs</v>
      </c>
      <c r="X125" s="17" t="str">
        <f>X117</f>
        <v>HVO Output, MWh/MWh Total Input</v>
      </c>
      <c r="Y125" s="17"/>
    </row>
    <row r="126" spans="3:25">
      <c r="C126" s="17"/>
      <c r="D126" s="17"/>
      <c r="E126" s="17" t="str">
        <f>E118</f>
        <v>SUPH2</v>
      </c>
      <c r="F126" s="17"/>
      <c r="G126" s="17"/>
      <c r="H126" s="17"/>
      <c r="I126" s="17"/>
      <c r="J126" s="17"/>
      <c r="K126" s="33">
        <f>(INDEX('91 Hydrogenated veg oil'!$D$4:$H$59,MATCH(SUP_Biofuels!W126,'91 Hydrogenated veg oil'!$B$4:$B$59,0),MATCH(SUP_Biofuels!$I125,'91 Hydrogenated veg oil'!$D$3:$H$3,0)))/INDEX('91 Hydrogenated veg oil'!$D$4:$H$59,MATCH(SUP_Biofuels!X125,'91 Hydrogenated veg oil'!$B$4:$B$59,0),MATCH(SUP_Biofuels!$I125,'91 Hydrogenated veg oil'!$D$3:$H$3,0))</f>
        <v>0.12352941176470589</v>
      </c>
      <c r="L126" s="33"/>
      <c r="M126" s="39"/>
      <c r="N126" s="40"/>
      <c r="O126" s="40"/>
      <c r="P126" s="40"/>
      <c r="Q126" s="41"/>
      <c r="R126" s="42"/>
      <c r="S126" s="39"/>
      <c r="T126" s="39"/>
      <c r="U126" s="43"/>
      <c r="V126" s="43"/>
      <c r="W126" s="17" t="str">
        <f>W118</f>
        <v>Hydrogen Consumption, MWh/MWh Total Inputs</v>
      </c>
      <c r="X126" s="17"/>
      <c r="Y126" s="17"/>
    </row>
    <row r="127" spans="3:25">
      <c r="C127" s="43"/>
      <c r="D127" s="43"/>
      <c r="E127" s="17" t="str">
        <f>E119</f>
        <v>SUPELC</v>
      </c>
      <c r="F127" s="43"/>
      <c r="G127" s="43"/>
      <c r="H127" s="43"/>
      <c r="I127" s="43"/>
      <c r="J127" s="43"/>
      <c r="K127" s="33">
        <f>(INDEX('91 Hydrogenated veg oil'!$D$4:$H$59,MATCH(SUP_Biofuels!W127,'91 Hydrogenated veg oil'!$B$4:$B$59,0),MATCH(SUP_Biofuels!$I125,'91 Hydrogenated veg oil'!$D$3:$H$3,0)))/INDEX('91 Hydrogenated veg oil'!$D$4:$H$59,MATCH(SUP_Biofuels!X125,'91 Hydrogenated veg oil'!$B$4:$B$59,0),MATCH(SUP_Biofuels!$I125,'91 Hydrogenated veg oil'!$D$3:$H$3,0))</f>
        <v>9.4117647058823539E-3</v>
      </c>
      <c r="L127" s="43"/>
      <c r="M127" s="43"/>
      <c r="N127" s="43"/>
      <c r="O127" s="43"/>
      <c r="P127" s="40"/>
      <c r="Q127" s="43"/>
      <c r="R127" s="43"/>
      <c r="S127" s="43"/>
      <c r="T127" s="43"/>
      <c r="U127" s="43"/>
      <c r="V127" s="43"/>
      <c r="W127" s="17" t="str">
        <f>W119</f>
        <v>Electricity Consumption, MWh/MWh Total Inputs</v>
      </c>
      <c r="X127" s="43"/>
      <c r="Y127" s="43"/>
    </row>
    <row r="128" spans="3:25">
      <c r="C128" s="43"/>
      <c r="D128" s="43"/>
      <c r="E128" s="17" t="str">
        <f>E120</f>
        <v>SUPNGA,SUPSNG,SUPH2</v>
      </c>
      <c r="F128" s="43"/>
      <c r="G128" s="43"/>
      <c r="H128" s="43"/>
      <c r="I128" s="43"/>
      <c r="J128" s="43"/>
      <c r="K128" s="33">
        <f>(INDEX('91 Hydrogenated veg oil'!$D$4:$H$59,MATCH(SUP_Biofuels!W128,'91 Hydrogenated veg oil'!$B$4:$B$59,0),MATCH(SUP_Biofuels!$I125,'91 Hydrogenated veg oil'!$D$3:$H$3,0)))/INDEX('91 Hydrogenated veg oil'!$D$4:$H$59,MATCH(SUP_Biofuels!X125,'91 Hydrogenated veg oil'!$B$4:$B$59,0),MATCH(SUP_Biofuels!$I125,'91 Hydrogenated veg oil'!$D$3:$H$3,0))</f>
        <v>8.2352941176470594E-3</v>
      </c>
      <c r="L128" s="43"/>
      <c r="M128" s="43"/>
      <c r="N128" s="43"/>
      <c r="O128" s="43"/>
      <c r="P128" s="40"/>
      <c r="Q128" s="43"/>
      <c r="R128" s="43"/>
      <c r="S128" s="43"/>
      <c r="T128" s="43"/>
      <c r="U128" s="43"/>
      <c r="V128" s="43"/>
      <c r="W128" s="17" t="str">
        <f>W120</f>
        <v>Natural Gas Consumption, MWh/MWh Total Inputs</v>
      </c>
      <c r="X128" s="43"/>
      <c r="Y128" s="43"/>
    </row>
    <row r="129" spans="3:25" ht="15.6">
      <c r="C129" s="43"/>
      <c r="D129" s="32"/>
      <c r="E129" s="43"/>
      <c r="F129" s="43"/>
      <c r="G129" s="17" t="str">
        <f>G121</f>
        <v>LVN</v>
      </c>
      <c r="H129" s="43"/>
      <c r="I129" s="43"/>
      <c r="J129" s="43"/>
      <c r="K129" s="43"/>
      <c r="L129" s="33">
        <f>INDEX('91 Hydrogenated veg oil'!$D$4:$H$59,MATCH(SUP_Biofuels!Y129,'91 Hydrogenated veg oil'!$B$4:$B$59,0),MATCH(SUP_Biofuels!$I125,'91 Hydrogenated veg oil'!$D$3:$H$3,0))*(SUM(K125:K128))</f>
        <v>7.772470588235296E-2</v>
      </c>
      <c r="M129" s="43"/>
      <c r="N129" s="43"/>
      <c r="O129" s="43"/>
      <c r="P129" s="40"/>
      <c r="Q129" s="43"/>
      <c r="R129" s="43"/>
      <c r="S129" s="43"/>
      <c r="T129" s="43"/>
      <c r="U129" s="43"/>
      <c r="V129" s="45"/>
      <c r="W129" s="43"/>
      <c r="X129" s="43"/>
      <c r="Y129" s="17" t="str">
        <f>Y121</f>
        <v>Naphta Output, MWh/MWh Total Input</v>
      </c>
    </row>
    <row r="130" spans="3:25">
      <c r="C130" s="43"/>
      <c r="D130" s="43"/>
      <c r="E130" s="43"/>
      <c r="F130" s="43"/>
      <c r="G130" s="43" t="s">
        <v>77</v>
      </c>
      <c r="H130" s="43"/>
      <c r="I130" s="43"/>
      <c r="J130" s="43"/>
      <c r="K130" s="43"/>
      <c r="L130" s="33">
        <f>INDEX('91 Hydrogenated veg oil'!$D$4:$H$59,MATCH(SUP_Biofuels!Y130,'91 Hydrogenated veg oil'!$B$4:$B$59,0),MATCH(SUP_Biofuels!$I125,'91 Hydrogenated veg oil'!$D$3:$H$3,0))*(SUM(K125:K128))</f>
        <v>3.886235294117648E-2</v>
      </c>
      <c r="M130" s="43"/>
      <c r="N130" s="43"/>
      <c r="O130" s="43"/>
      <c r="P130" s="40"/>
      <c r="Q130" s="43"/>
      <c r="R130" s="43"/>
      <c r="S130" s="43"/>
      <c r="T130" s="43"/>
      <c r="U130" s="43"/>
      <c r="V130" s="43"/>
      <c r="W130" s="43"/>
      <c r="X130" s="43"/>
      <c r="Y130" s="17" t="str">
        <f>Y122</f>
        <v>Fuel Gas Output, MWh/MWh Total Input</v>
      </c>
    </row>
    <row r="131" spans="3:25">
      <c r="C131" s="43"/>
      <c r="D131" s="43"/>
      <c r="E131" s="43"/>
      <c r="F131" s="43"/>
      <c r="G131" s="43" t="s">
        <v>78</v>
      </c>
      <c r="H131" s="43"/>
      <c r="I131" s="43"/>
      <c r="J131" s="43"/>
      <c r="K131" s="43"/>
      <c r="L131" s="33">
        <f>INDEX('91 Hydrogenated veg oil'!$D$4:$H$59,MATCH(SUP_Biofuels!Y131,'91 Hydrogenated veg oil'!$B$4:$B$59,0),MATCH(SUP_Biofuels!$I125,'91 Hydrogenated veg oil'!$D$3:$H$3,0))*(SUM(K125:K128))</f>
        <v>3.2385294117647068E-2</v>
      </c>
      <c r="M131" s="43"/>
      <c r="N131" s="43"/>
      <c r="O131" s="43"/>
      <c r="P131" s="40"/>
      <c r="Q131" s="43"/>
      <c r="R131" s="43"/>
      <c r="S131" s="43"/>
      <c r="T131" s="43"/>
      <c r="U131" s="43"/>
      <c r="V131" s="43"/>
      <c r="W131" s="43"/>
      <c r="X131" s="43"/>
      <c r="Y131" s="17" t="str">
        <f>Y123</f>
        <v>LPG Output, MWh/MWh Total Input</v>
      </c>
    </row>
    <row r="132" spans="3:25">
      <c r="C132" s="43"/>
      <c r="D132" s="43"/>
      <c r="E132" s="43"/>
      <c r="F132" s="43"/>
      <c r="G132" s="7" t="s">
        <v>216</v>
      </c>
      <c r="H132" s="43"/>
      <c r="I132" s="43"/>
      <c r="J132" s="43"/>
      <c r="K132" s="43"/>
      <c r="L132" s="33">
        <f>INDEX('91 Hydrogenated veg oil'!$D$4:$H$59,MATCH(SUP_Biofuels!Y132,'91 Hydrogenated veg oil'!$B$4:$B$59,0),MATCH(SUP_Biofuels!$I125,'91 Hydrogenated veg oil'!$D$3:$H$3,0))*(SUM(K125:K128))</f>
        <v>4.1865352941176477E-3</v>
      </c>
      <c r="M132" s="43"/>
      <c r="N132" s="43"/>
      <c r="O132" s="43"/>
      <c r="P132" s="40"/>
      <c r="Q132" s="43"/>
      <c r="R132" s="43"/>
      <c r="S132" s="43"/>
      <c r="T132" s="43"/>
      <c r="U132" s="43"/>
      <c r="V132" s="43"/>
      <c r="W132" s="43"/>
      <c r="X132" s="43"/>
      <c r="Y132" s="17" t="str">
        <f>Y124</f>
        <v>District Heating Output, MWh/MWh Total input</v>
      </c>
    </row>
    <row r="133" spans="3:25">
      <c r="C133" s="43"/>
      <c r="D133" s="17"/>
      <c r="E133" s="17" t="str">
        <f>E125</f>
        <v>SUPRPS</v>
      </c>
      <c r="F133" s="17" t="str">
        <f>F125</f>
        <v>DSB1</v>
      </c>
      <c r="G133" s="17"/>
      <c r="H133" s="17" t="s">
        <v>70</v>
      </c>
      <c r="I133" s="17">
        <v>2030</v>
      </c>
      <c r="J133" s="17"/>
      <c r="K133" s="33">
        <f>(INDEX('91 Hydrogenated veg oil'!$D$4:$H$59,MATCH(SUP_Biofuels!W133,'91 Hydrogenated veg oil'!$B$4:$B$59,0),MATCH(SUP_Biofuels!$I133,'91 Hydrogenated veg oil'!$D$3:$H$3,0)))/INDEX('91 Hydrogenated veg oil'!$D$4:$H$59,MATCH(SUP_Biofuels!X133,'91 Hydrogenated veg oil'!$B$4:$B$59,0),MATCH(SUP_Biofuels!$I133,'91 Hydrogenated veg oil'!$D$3:$H$3,0))</f>
        <v>1.0364705882352943</v>
      </c>
      <c r="L133" s="33"/>
      <c r="M133" s="34">
        <f>INDEX('91 Hydrogenated veg oil'!$D$4:$H$59,MATCH(SUP_Biofuels!M$8,'91 Hydrogenated veg oil'!$B$4:$B$59,0),MATCH(SUP_Biofuels!$I133,'91 Hydrogenated veg oil'!$D$3:$H$3,0))</f>
        <v>25</v>
      </c>
      <c r="N133" s="35">
        <f>INDEX('91 Hydrogenated veg oil'!$D$4:$H$59,MATCH(SUP_Biofuels!N$8,'91 Hydrogenated veg oil'!$B$4:$B$59,0),MATCH(SUP_Biofuels!$I133,'91 Hydrogenated veg oil'!$D$3:$H$3,0))*7.45</f>
        <v>4.7497048406139317</v>
      </c>
      <c r="O133" s="35">
        <f>INDEX('91 Hydrogenated veg oil'!$D$4:$H$59,MATCH(SUP_Biofuels!O$8,'91 Hydrogenated veg oil'!$B$4:$B$59,0),MATCH(SUP_Biofuels!$I133,'91 Hydrogenated veg oil'!$D$3:$H$3,0))*7.45</f>
        <v>0.26387249114521838</v>
      </c>
      <c r="P133" s="35">
        <f>INDEX('91 Hydrogenated veg oil'!$D$4:$H$59,MATCH(SUP_Biofuels!P$8,'91 Hydrogenated veg oil'!$B$4:$B$59,0),MATCH(SUP_Biofuels!$I133,'91 Hydrogenated veg oil'!$D$3:$H$3,0))*7.45/3.6</f>
        <v>17.551468976592272</v>
      </c>
      <c r="Q133" s="33">
        <f>1-INDEX('91 Hydrogenated veg oil'!$D$4:$H$59,MATCH(SUP_Biofuels!Q$7,'91 Hydrogenated veg oil'!$B$4:$B$59,0),MATCH(SUP_Biofuels!$I133,'91 Hydrogenated veg oil'!$D$3:$H$3,0))/52-INDEX('91 Hydrogenated veg oil'!$D$4:$H$59,MATCH(SUP_Biofuels!Q$8,'91 Hydrogenated veg oil'!$B$4:$B$59,0),MATCH(SUP_Biofuels!$I133,'91 Hydrogenated veg oil'!$D$3:$H$3,0))/100</f>
        <v>0.96153846153846156</v>
      </c>
      <c r="R133" s="36">
        <f>$R$39</f>
        <v>3.1536000000000002E-2</v>
      </c>
      <c r="S133" s="34">
        <f>INDEX('91 Hydrogenated veg oil'!$D$4:$H$59,MATCH(SUP_Biofuels!S$8,'91 Hydrogenated veg oil'!$B$4:$B$59,0),MATCH(SUP_Biofuels!$I133,'91 Hydrogenated veg oil'!$D$3:$H$3,0))</f>
        <v>2</v>
      </c>
      <c r="T133" s="34"/>
      <c r="U133" s="44"/>
      <c r="V133" s="43"/>
      <c r="W133" s="17" t="str">
        <f>W125</f>
        <v>Feedstock Consumption, MWh/MWh Total Inputs</v>
      </c>
      <c r="X133" s="17" t="str">
        <f>X125</f>
        <v>HVO Output, MWh/MWh Total Input</v>
      </c>
      <c r="Y133" s="17"/>
    </row>
    <row r="134" spans="3:25">
      <c r="C134" s="43"/>
      <c r="D134" s="43"/>
      <c r="E134" s="17" t="str">
        <f>E126</f>
        <v>SUPH2</v>
      </c>
      <c r="F134" s="17"/>
      <c r="G134" s="17"/>
      <c r="H134" s="17"/>
      <c r="I134" s="17"/>
      <c r="J134" s="17"/>
      <c r="K134" s="33">
        <f>(INDEX('91 Hydrogenated veg oil'!$D$4:$H$59,MATCH(SUP_Biofuels!W134,'91 Hydrogenated veg oil'!$B$4:$B$59,0),MATCH(SUP_Biofuels!$I133,'91 Hydrogenated veg oil'!$D$3:$H$3,0)))/INDEX('91 Hydrogenated veg oil'!$D$4:$H$59,MATCH(SUP_Biofuels!X133,'91 Hydrogenated veg oil'!$B$4:$B$59,0),MATCH(SUP_Biofuels!$I133,'91 Hydrogenated veg oil'!$D$3:$H$3,0))</f>
        <v>0.12352941176470589</v>
      </c>
      <c r="L134" s="33"/>
      <c r="M134" s="39"/>
      <c r="N134" s="40"/>
      <c r="O134" s="40"/>
      <c r="P134" s="40"/>
      <c r="Q134" s="41"/>
      <c r="R134" s="42"/>
      <c r="S134" s="39"/>
      <c r="T134" s="39"/>
      <c r="U134" s="43"/>
      <c r="V134" s="43"/>
      <c r="W134" s="17" t="str">
        <f>W126</f>
        <v>Hydrogen Consumption, MWh/MWh Total Inputs</v>
      </c>
      <c r="X134" s="17"/>
      <c r="Y134" s="17"/>
    </row>
    <row r="135" spans="3:25">
      <c r="C135" s="43"/>
      <c r="D135" s="43"/>
      <c r="E135" s="17" t="str">
        <f>E127</f>
        <v>SUPELC</v>
      </c>
      <c r="F135" s="43"/>
      <c r="G135" s="43"/>
      <c r="H135" s="43"/>
      <c r="I135" s="43"/>
      <c r="J135" s="43"/>
      <c r="K135" s="33">
        <f>(INDEX('91 Hydrogenated veg oil'!$D$4:$H$59,MATCH(SUP_Biofuels!W135,'91 Hydrogenated veg oil'!$B$4:$B$59,0),MATCH(SUP_Biofuels!$I133,'91 Hydrogenated veg oil'!$D$3:$H$3,0)))/INDEX('91 Hydrogenated veg oil'!$D$4:$H$59,MATCH(SUP_Biofuels!X133,'91 Hydrogenated veg oil'!$B$4:$B$59,0),MATCH(SUP_Biofuels!$I133,'91 Hydrogenated veg oil'!$D$3:$H$3,0))</f>
        <v>9.4117647058823539E-3</v>
      </c>
      <c r="L135" s="43"/>
      <c r="M135" s="43"/>
      <c r="N135" s="43"/>
      <c r="O135" s="43"/>
      <c r="P135" s="40"/>
      <c r="Q135" s="43"/>
      <c r="R135" s="43"/>
      <c r="S135" s="43"/>
      <c r="T135" s="43"/>
      <c r="U135" s="43"/>
      <c r="V135" s="43"/>
      <c r="W135" s="17" t="str">
        <f>W127</f>
        <v>Electricity Consumption, MWh/MWh Total Inputs</v>
      </c>
      <c r="X135" s="43"/>
      <c r="Y135" s="43"/>
    </row>
    <row r="136" spans="3:25" ht="15.6">
      <c r="C136" s="43"/>
      <c r="D136" s="32"/>
      <c r="E136" s="17" t="str">
        <f>E128</f>
        <v>SUPNGA,SUPSNG,SUPH2</v>
      </c>
      <c r="F136" s="43"/>
      <c r="G136" s="43"/>
      <c r="H136" s="43"/>
      <c r="I136" s="43"/>
      <c r="J136" s="43"/>
      <c r="K136" s="33">
        <f>(INDEX('91 Hydrogenated veg oil'!$D$4:$H$59,MATCH(SUP_Biofuels!W136,'91 Hydrogenated veg oil'!$B$4:$B$59,0),MATCH(SUP_Biofuels!$I133,'91 Hydrogenated veg oil'!$D$3:$H$3,0)))/INDEX('91 Hydrogenated veg oil'!$D$4:$H$59,MATCH(SUP_Biofuels!X133,'91 Hydrogenated veg oil'!$B$4:$B$59,0),MATCH(SUP_Biofuels!$I133,'91 Hydrogenated veg oil'!$D$3:$H$3,0))</f>
        <v>8.2352941176470594E-3</v>
      </c>
      <c r="L136" s="43"/>
      <c r="M136" s="43"/>
      <c r="N136" s="43"/>
      <c r="O136" s="43"/>
      <c r="P136" s="40"/>
      <c r="Q136" s="43"/>
      <c r="R136" s="43"/>
      <c r="S136" s="43"/>
      <c r="T136" s="43"/>
      <c r="U136" s="43"/>
      <c r="V136" s="45"/>
      <c r="W136" s="17" t="str">
        <f>W128</f>
        <v>Natural Gas Consumption, MWh/MWh Total Inputs</v>
      </c>
      <c r="X136" s="43"/>
      <c r="Y136" s="43"/>
    </row>
    <row r="137" spans="3:25">
      <c r="C137" s="43"/>
      <c r="D137" s="17"/>
      <c r="E137" s="43"/>
      <c r="F137" s="43"/>
      <c r="G137" s="17" t="str">
        <f>G129</f>
        <v>LVN</v>
      </c>
      <c r="H137" s="43"/>
      <c r="I137" s="43"/>
      <c r="J137" s="43"/>
      <c r="K137" s="43"/>
      <c r="L137" s="33">
        <f>INDEX('91 Hydrogenated veg oil'!$D$4:$H$59,MATCH(SUP_Biofuels!Y137,'91 Hydrogenated veg oil'!$B$4:$B$59,0),MATCH(SUP_Biofuels!$I133,'91 Hydrogenated veg oil'!$D$3:$H$3,0))*(SUM(K133:K136))</f>
        <v>7.772470588235296E-2</v>
      </c>
      <c r="M137" s="43"/>
      <c r="N137" s="43"/>
      <c r="O137" s="43"/>
      <c r="P137" s="40"/>
      <c r="Q137" s="43"/>
      <c r="R137" s="43"/>
      <c r="S137" s="43"/>
      <c r="T137" s="43"/>
      <c r="U137" s="43"/>
      <c r="V137" s="43"/>
      <c r="W137" s="43"/>
      <c r="X137" s="43"/>
      <c r="Y137" s="17" t="str">
        <f>Y129</f>
        <v>Naphta Output, MWh/MWh Total Input</v>
      </c>
    </row>
    <row r="138" spans="3:25">
      <c r="C138" s="43"/>
      <c r="D138" s="43"/>
      <c r="E138" s="43"/>
      <c r="F138" s="43"/>
      <c r="G138" s="43" t="s">
        <v>77</v>
      </c>
      <c r="H138" s="43"/>
      <c r="I138" s="43"/>
      <c r="J138" s="43"/>
      <c r="K138" s="43"/>
      <c r="L138" s="33">
        <f>INDEX('91 Hydrogenated veg oil'!$D$4:$H$59,MATCH(SUP_Biofuels!Y138,'91 Hydrogenated veg oil'!$B$4:$B$59,0),MATCH(SUP_Biofuels!$I133,'91 Hydrogenated veg oil'!$D$3:$H$3,0))*(SUM(K133:K136))</f>
        <v>3.886235294117648E-2</v>
      </c>
      <c r="M138" s="43"/>
      <c r="N138" s="43"/>
      <c r="O138" s="43"/>
      <c r="P138" s="40"/>
      <c r="Q138" s="43"/>
      <c r="R138" s="43"/>
      <c r="S138" s="43"/>
      <c r="T138" s="43"/>
      <c r="U138" s="43"/>
      <c r="V138" s="43"/>
      <c r="W138" s="43"/>
      <c r="X138" s="43"/>
      <c r="Y138" s="17" t="str">
        <f>Y130</f>
        <v>Fuel Gas Output, MWh/MWh Total Input</v>
      </c>
    </row>
    <row r="139" spans="3:25">
      <c r="C139" s="43"/>
      <c r="D139" s="43"/>
      <c r="E139" s="43"/>
      <c r="F139" s="43"/>
      <c r="G139" s="43" t="s">
        <v>78</v>
      </c>
      <c r="H139" s="43"/>
      <c r="I139" s="43"/>
      <c r="J139" s="43"/>
      <c r="K139" s="43"/>
      <c r="L139" s="33">
        <f>INDEX('91 Hydrogenated veg oil'!$D$4:$H$59,MATCH(SUP_Biofuels!Y139,'91 Hydrogenated veg oil'!$B$4:$B$59,0),MATCH(SUP_Biofuels!$I133,'91 Hydrogenated veg oil'!$D$3:$H$3,0))*(SUM(K133:K136))</f>
        <v>3.2385294117647068E-2</v>
      </c>
      <c r="M139" s="43"/>
      <c r="N139" s="43"/>
      <c r="O139" s="43"/>
      <c r="P139" s="40"/>
      <c r="Q139" s="43"/>
      <c r="R139" s="43"/>
      <c r="S139" s="43"/>
      <c r="T139" s="43"/>
      <c r="U139" s="43"/>
      <c r="V139" s="43"/>
      <c r="W139" s="43"/>
      <c r="X139" s="43"/>
      <c r="Y139" s="17" t="str">
        <f>Y131</f>
        <v>LPG Output, MWh/MWh Total Input</v>
      </c>
    </row>
    <row r="140" spans="3:25">
      <c r="C140" s="43"/>
      <c r="D140" s="43"/>
      <c r="E140" s="43"/>
      <c r="F140" s="43"/>
      <c r="G140" s="7" t="s">
        <v>216</v>
      </c>
      <c r="H140" s="43"/>
      <c r="I140" s="43"/>
      <c r="J140" s="43"/>
      <c r="K140" s="43"/>
      <c r="L140" s="33">
        <f>INDEX('91 Hydrogenated veg oil'!$D$4:$H$59,MATCH(SUP_Biofuels!Y140,'91 Hydrogenated veg oil'!$B$4:$B$59,0),MATCH(SUP_Biofuels!$I133,'91 Hydrogenated veg oil'!$D$3:$H$3,0))*(SUM(K133:K136))</f>
        <v>4.1865352941176477E-3</v>
      </c>
      <c r="M140" s="43"/>
      <c r="N140" s="43"/>
      <c r="O140" s="43"/>
      <c r="P140" s="40"/>
      <c r="Q140" s="43"/>
      <c r="R140" s="43"/>
      <c r="S140" s="43"/>
      <c r="T140" s="43"/>
      <c r="U140" s="43"/>
      <c r="V140" s="43"/>
      <c r="W140" s="43"/>
      <c r="X140" s="43"/>
      <c r="Y140" s="17" t="str">
        <f>Y132</f>
        <v>District Heating Output, MWh/MWh Total input</v>
      </c>
    </row>
    <row r="141" spans="3:25">
      <c r="C141" s="43"/>
      <c r="D141" s="43"/>
      <c r="E141" s="17" t="str">
        <f>E133</f>
        <v>SUPRPS</v>
      </c>
      <c r="F141" s="17" t="str">
        <f>F133</f>
        <v>DSB1</v>
      </c>
      <c r="G141" s="17"/>
      <c r="H141" s="17" t="s">
        <v>70</v>
      </c>
      <c r="I141" s="17">
        <v>2040</v>
      </c>
      <c r="J141" s="17"/>
      <c r="K141" s="33">
        <f>(INDEX('91 Hydrogenated veg oil'!$D$4:$H$59,MATCH(SUP_Biofuels!W141,'91 Hydrogenated veg oil'!$B$4:$B$59,0),MATCH(SUP_Biofuels!$I141,'91 Hydrogenated veg oil'!$D$3:$H$3,0)))/INDEX('91 Hydrogenated veg oil'!$D$4:$H$59,MATCH(SUP_Biofuels!X141,'91 Hydrogenated veg oil'!$B$4:$B$59,0),MATCH(SUP_Biofuels!$I141,'91 Hydrogenated veg oil'!$D$3:$H$3,0))</f>
        <v>1.0364705882352943</v>
      </c>
      <c r="L141" s="33"/>
      <c r="M141" s="34">
        <f>INDEX('91 Hydrogenated veg oil'!$D$4:$H$59,MATCH(SUP_Biofuels!M$8,'91 Hydrogenated veg oil'!$B$4:$B$59,0),MATCH(SUP_Biofuels!$I141,'91 Hydrogenated veg oil'!$D$3:$H$3,0))</f>
        <v>25</v>
      </c>
      <c r="N141" s="35">
        <f>INDEX('91 Hydrogenated veg oil'!$D$4:$H$59,MATCH(SUP_Biofuels!N$8,'91 Hydrogenated veg oil'!$B$4:$B$59,0),MATCH(SUP_Biofuels!$I141,'91 Hydrogenated veg oil'!$D$3:$H$3,0))*7.45</f>
        <v>4.4580800000000007</v>
      </c>
      <c r="O141" s="35">
        <f>INDEX('91 Hydrogenated veg oil'!$D$4:$H$59,MATCH(SUP_Biofuels!O$8,'91 Hydrogenated veg oil'!$B$4:$B$59,0),MATCH(SUP_Biofuels!$I141,'91 Hydrogenated veg oil'!$D$3:$H$3,0))*7.45</f>
        <v>0.26316883116883116</v>
      </c>
      <c r="P141" s="35">
        <f>INDEX('91 Hydrogenated veg oil'!$D$4:$H$59,MATCH(SUP_Biofuels!P$8,'91 Hydrogenated veg oil'!$B$4:$B$59,0),MATCH(SUP_Biofuels!$I141,'91 Hydrogenated veg oil'!$D$3:$H$3,0))*7.45/3.6</f>
        <v>17.551468976592268</v>
      </c>
      <c r="Q141" s="33">
        <f>1-INDEX('91 Hydrogenated veg oil'!$D$4:$H$59,MATCH(SUP_Biofuels!Q$7,'91 Hydrogenated veg oil'!$B$4:$B$59,0),MATCH(SUP_Biofuels!$I141,'91 Hydrogenated veg oil'!$D$3:$H$3,0))/52-INDEX('91 Hydrogenated veg oil'!$D$4:$H$59,MATCH(SUP_Biofuels!Q$8,'91 Hydrogenated veg oil'!$B$4:$B$59,0),MATCH(SUP_Biofuels!$I141,'91 Hydrogenated veg oil'!$D$3:$H$3,0))/100</f>
        <v>0.96153846153846156</v>
      </c>
      <c r="R141" s="36">
        <f>$R$39</f>
        <v>3.1536000000000002E-2</v>
      </c>
      <c r="S141" s="34">
        <f>INDEX('91 Hydrogenated veg oil'!$D$4:$H$59,MATCH(SUP_Biofuels!S$8,'91 Hydrogenated veg oil'!$B$4:$B$59,0),MATCH(SUP_Biofuels!$I141,'91 Hydrogenated veg oil'!$D$3:$H$3,0))</f>
        <v>2</v>
      </c>
      <c r="T141" s="34"/>
      <c r="U141" s="44"/>
      <c r="V141" s="43"/>
      <c r="W141" s="17" t="str">
        <f>W133</f>
        <v>Feedstock Consumption, MWh/MWh Total Inputs</v>
      </c>
      <c r="X141" s="17" t="str">
        <f>X133</f>
        <v>HVO Output, MWh/MWh Total Input</v>
      </c>
      <c r="Y141" s="17"/>
    </row>
    <row r="142" spans="3:25">
      <c r="C142" s="43"/>
      <c r="D142" s="43"/>
      <c r="E142" s="17" t="str">
        <f>E134</f>
        <v>SUPH2</v>
      </c>
      <c r="F142" s="17"/>
      <c r="G142" s="17"/>
      <c r="H142" s="17"/>
      <c r="I142" s="17"/>
      <c r="J142" s="17"/>
      <c r="K142" s="33">
        <f>(INDEX('91 Hydrogenated veg oil'!$D$4:$H$59,MATCH(SUP_Biofuels!W142,'91 Hydrogenated veg oil'!$B$4:$B$59,0),MATCH(SUP_Biofuels!$I141,'91 Hydrogenated veg oil'!$D$3:$H$3,0)))/INDEX('91 Hydrogenated veg oil'!$D$4:$H$59,MATCH(SUP_Biofuels!X141,'91 Hydrogenated veg oil'!$B$4:$B$59,0),MATCH(SUP_Biofuels!$I141,'91 Hydrogenated veg oil'!$D$3:$H$3,0))</f>
        <v>0.12352941176470589</v>
      </c>
      <c r="L142" s="33"/>
      <c r="M142" s="39"/>
      <c r="N142" s="40"/>
      <c r="O142" s="40"/>
      <c r="P142" s="40"/>
      <c r="Q142" s="41"/>
      <c r="R142" s="42"/>
      <c r="S142" s="39"/>
      <c r="T142" s="39"/>
      <c r="U142" s="43"/>
      <c r="V142" s="43"/>
      <c r="W142" s="17" t="str">
        <f>W134</f>
        <v>Hydrogen Consumption, MWh/MWh Total Inputs</v>
      </c>
      <c r="X142" s="17"/>
      <c r="Y142" s="17"/>
    </row>
    <row r="143" spans="3:25">
      <c r="C143" s="43"/>
      <c r="D143" s="43"/>
      <c r="E143" s="17" t="str">
        <f>E135</f>
        <v>SUPELC</v>
      </c>
      <c r="F143" s="43"/>
      <c r="G143" s="43"/>
      <c r="H143" s="43"/>
      <c r="I143" s="43"/>
      <c r="J143" s="43"/>
      <c r="K143" s="33">
        <f>(INDEX('91 Hydrogenated veg oil'!$D$4:$H$59,MATCH(SUP_Biofuels!W143,'91 Hydrogenated veg oil'!$B$4:$B$59,0),MATCH(SUP_Biofuels!$I141,'91 Hydrogenated veg oil'!$D$3:$H$3,0)))/INDEX('91 Hydrogenated veg oil'!$D$4:$H$59,MATCH(SUP_Biofuels!X141,'91 Hydrogenated veg oil'!$B$4:$B$59,0),MATCH(SUP_Biofuels!$I141,'91 Hydrogenated veg oil'!$D$3:$H$3,0))</f>
        <v>9.4117647058823539E-3</v>
      </c>
      <c r="L143" s="43"/>
      <c r="M143" s="43"/>
      <c r="N143" s="43"/>
      <c r="O143" s="43"/>
      <c r="P143" s="40"/>
      <c r="Q143" s="43"/>
      <c r="R143" s="43"/>
      <c r="S143" s="43"/>
      <c r="T143" s="43"/>
      <c r="U143" s="43"/>
      <c r="V143" s="43"/>
      <c r="W143" s="17" t="str">
        <f>W135</f>
        <v>Electricity Consumption, MWh/MWh Total Inputs</v>
      </c>
      <c r="X143" s="43"/>
      <c r="Y143" s="43"/>
    </row>
    <row r="144" spans="3:25">
      <c r="C144" s="43"/>
      <c r="D144" s="43"/>
      <c r="E144" s="17" t="str">
        <f>E136</f>
        <v>SUPNGA,SUPSNG,SUPH2</v>
      </c>
      <c r="F144" s="43"/>
      <c r="G144" s="43"/>
      <c r="H144" s="43"/>
      <c r="I144" s="43"/>
      <c r="J144" s="43"/>
      <c r="K144" s="33">
        <f>(INDEX('91 Hydrogenated veg oil'!$D$4:$H$59,MATCH(SUP_Biofuels!W144,'91 Hydrogenated veg oil'!$B$4:$B$59,0),MATCH(SUP_Biofuels!$I141,'91 Hydrogenated veg oil'!$D$3:$H$3,0)))/INDEX('91 Hydrogenated veg oil'!$D$4:$H$59,MATCH(SUP_Biofuels!X141,'91 Hydrogenated veg oil'!$B$4:$B$59,0),MATCH(SUP_Biofuels!$I141,'91 Hydrogenated veg oil'!$D$3:$H$3,0))</f>
        <v>8.2352941176470594E-3</v>
      </c>
      <c r="L144" s="43"/>
      <c r="M144" s="43"/>
      <c r="N144" s="43"/>
      <c r="O144" s="43"/>
      <c r="P144" s="40"/>
      <c r="Q144" s="43"/>
      <c r="R144" s="43"/>
      <c r="S144" s="43"/>
      <c r="T144" s="43"/>
      <c r="U144" s="43"/>
      <c r="V144" s="43"/>
      <c r="W144" s="17" t="str">
        <f>W136</f>
        <v>Natural Gas Consumption, MWh/MWh Total Inputs</v>
      </c>
      <c r="X144" s="43"/>
      <c r="Y144" s="43"/>
    </row>
    <row r="145" spans="3:25">
      <c r="C145" s="43"/>
      <c r="D145" s="43"/>
      <c r="E145" s="43"/>
      <c r="F145" s="43"/>
      <c r="G145" s="17" t="str">
        <f>G137</f>
        <v>LVN</v>
      </c>
      <c r="H145" s="43"/>
      <c r="I145" s="43"/>
      <c r="J145" s="43"/>
      <c r="K145" s="43"/>
      <c r="L145" s="33">
        <f>INDEX('91 Hydrogenated veg oil'!$D$4:$H$59,MATCH(SUP_Biofuels!Y145,'91 Hydrogenated veg oil'!$B$4:$B$59,0),MATCH(SUP_Biofuels!$I141,'91 Hydrogenated veg oil'!$D$3:$H$3,0))*(SUM(K141:K144))</f>
        <v>7.772470588235296E-2</v>
      </c>
      <c r="M145" s="43"/>
      <c r="N145" s="43"/>
      <c r="O145" s="43"/>
      <c r="P145" s="40"/>
      <c r="Q145" s="43"/>
      <c r="R145" s="43"/>
      <c r="S145" s="43"/>
      <c r="T145" s="43"/>
      <c r="U145" s="43"/>
      <c r="V145" s="43"/>
      <c r="W145" s="43"/>
      <c r="X145" s="43"/>
      <c r="Y145" s="17" t="str">
        <f>Y137</f>
        <v>Naphta Output, MWh/MWh Total Input</v>
      </c>
    </row>
    <row r="146" spans="3:25">
      <c r="C146" s="43"/>
      <c r="D146" s="43"/>
      <c r="E146" s="43"/>
      <c r="F146" s="43"/>
      <c r="G146" s="43" t="s">
        <v>77</v>
      </c>
      <c r="H146" s="43"/>
      <c r="I146" s="43"/>
      <c r="J146" s="43"/>
      <c r="K146" s="43"/>
      <c r="L146" s="33">
        <f>INDEX('91 Hydrogenated veg oil'!$D$4:$H$59,MATCH(SUP_Biofuels!Y146,'91 Hydrogenated veg oil'!$B$4:$B$59,0),MATCH(SUP_Biofuels!$I141,'91 Hydrogenated veg oil'!$D$3:$H$3,0))*(SUM(K141:K144))</f>
        <v>3.886235294117648E-2</v>
      </c>
      <c r="M146" s="43"/>
      <c r="N146" s="43"/>
      <c r="O146" s="43"/>
      <c r="P146" s="40"/>
      <c r="Q146" s="43"/>
      <c r="R146" s="43"/>
      <c r="S146" s="43"/>
      <c r="T146" s="43"/>
      <c r="U146" s="43"/>
      <c r="V146" s="43"/>
      <c r="W146" s="43"/>
      <c r="X146" s="43"/>
      <c r="Y146" s="17" t="str">
        <f>Y138</f>
        <v>Fuel Gas Output, MWh/MWh Total Input</v>
      </c>
    </row>
    <row r="147" spans="3:25">
      <c r="C147" s="43"/>
      <c r="D147" s="43"/>
      <c r="E147" s="43"/>
      <c r="F147" s="43"/>
      <c r="G147" s="43" t="s">
        <v>78</v>
      </c>
      <c r="H147" s="43"/>
      <c r="I147" s="43"/>
      <c r="J147" s="43"/>
      <c r="K147" s="43"/>
      <c r="L147" s="33">
        <f>INDEX('91 Hydrogenated veg oil'!$D$4:$H$59,MATCH(SUP_Biofuels!Y147,'91 Hydrogenated veg oil'!$B$4:$B$59,0),MATCH(SUP_Biofuels!$I141,'91 Hydrogenated veg oil'!$D$3:$H$3,0))*(SUM(K141:K144))</f>
        <v>3.2385294117647068E-2</v>
      </c>
      <c r="M147" s="43"/>
      <c r="N147" s="43"/>
      <c r="O147" s="43"/>
      <c r="P147" s="40"/>
      <c r="Q147" s="43"/>
      <c r="R147" s="43"/>
      <c r="S147" s="43"/>
      <c r="T147" s="43"/>
      <c r="U147" s="43"/>
      <c r="V147" s="43"/>
      <c r="W147" s="43"/>
      <c r="X147" s="43"/>
      <c r="Y147" s="17" t="str">
        <f>Y139</f>
        <v>LPG Output, MWh/MWh Total Input</v>
      </c>
    </row>
    <row r="148" spans="3:25">
      <c r="C148" s="43"/>
      <c r="D148" s="43"/>
      <c r="E148" s="43"/>
      <c r="F148" s="43"/>
      <c r="G148" s="7" t="s">
        <v>216</v>
      </c>
      <c r="H148" s="43"/>
      <c r="I148" s="43"/>
      <c r="J148" s="43"/>
      <c r="K148" s="43"/>
      <c r="L148" s="33">
        <f>INDEX('91 Hydrogenated veg oil'!$D$4:$H$59,MATCH(SUP_Biofuels!Y148,'91 Hydrogenated veg oil'!$B$4:$B$59,0),MATCH(SUP_Biofuels!$I141,'91 Hydrogenated veg oil'!$D$3:$H$3,0))*(SUM(K141:K144))</f>
        <v>4.1865352941176477E-3</v>
      </c>
      <c r="M148" s="43"/>
      <c r="N148" s="43"/>
      <c r="O148" s="43"/>
      <c r="P148" s="40"/>
      <c r="Q148" s="43"/>
      <c r="R148" s="43"/>
      <c r="S148" s="43"/>
      <c r="T148" s="43"/>
      <c r="U148" s="43"/>
      <c r="V148" s="43"/>
      <c r="W148" s="43"/>
      <c r="X148" s="43"/>
      <c r="Y148" s="17" t="str">
        <f>Y140</f>
        <v>District Heating Output, MWh/MWh Total input</v>
      </c>
    </row>
    <row r="149" spans="3:25">
      <c r="C149" s="43"/>
      <c r="D149" s="43"/>
      <c r="E149" s="17" t="str">
        <f>E141</f>
        <v>SUPRPS</v>
      </c>
      <c r="F149" s="17" t="str">
        <f>F141</f>
        <v>DSB1</v>
      </c>
      <c r="G149" s="17"/>
      <c r="H149" s="17" t="s">
        <v>70</v>
      </c>
      <c r="I149" s="17">
        <v>2050</v>
      </c>
      <c r="J149" s="17"/>
      <c r="K149" s="33">
        <f>(INDEX('91 Hydrogenated veg oil'!$D$4:$H$59,MATCH(SUP_Biofuels!W149,'91 Hydrogenated veg oil'!$B$4:$B$59,0),MATCH(SUP_Biofuels!$I149,'91 Hydrogenated veg oil'!$D$3:$H$3,0)))/INDEX('91 Hydrogenated veg oil'!$D$4:$H$59,MATCH(SUP_Biofuels!X149,'91 Hydrogenated veg oil'!$B$4:$B$59,0),MATCH(SUP_Biofuels!$I149,'91 Hydrogenated veg oil'!$D$3:$H$3,0))</f>
        <v>1.0364705882352943</v>
      </c>
      <c r="L149" s="33"/>
      <c r="M149" s="34">
        <f>INDEX('91 Hydrogenated veg oil'!$D$4:$H$59,MATCH(SUP_Biofuels!M$8,'91 Hydrogenated veg oil'!$B$4:$B$59,0),MATCH(SUP_Biofuels!$I149,'91 Hydrogenated veg oil'!$D$3:$H$3,0))</f>
        <v>25</v>
      </c>
      <c r="N149" s="35">
        <f>INDEX('91 Hydrogenated veg oil'!$D$4:$H$59,MATCH(SUP_Biofuels!N$8,'91 Hydrogenated veg oil'!$B$4:$B$59,0),MATCH(SUP_Biofuels!$I149,'91 Hydrogenated veg oil'!$D$3:$H$3,0))*7.45</f>
        <v>4.3075075609322191</v>
      </c>
      <c r="O149" s="35">
        <f>INDEX('91 Hydrogenated veg oil'!$D$4:$H$59,MATCH(SUP_Biofuels!O$8,'91 Hydrogenated veg oil'!$B$4:$B$59,0),MATCH(SUP_Biofuels!$I149,'91 Hydrogenated veg oil'!$D$3:$H$3,0))*7.45</f>
        <v>0.26507738836505962</v>
      </c>
      <c r="P149" s="35">
        <f>INDEX('91 Hydrogenated veg oil'!$D$4:$H$59,MATCH(SUP_Biofuels!P$8,'91 Hydrogenated veg oil'!$B$4:$B$59,0),MATCH(SUP_Biofuels!$I149,'91 Hydrogenated veg oil'!$D$3:$H$3,0))*7.45/3.6</f>
        <v>17.551468976592265</v>
      </c>
      <c r="Q149" s="33">
        <f>1-INDEX('91 Hydrogenated veg oil'!$D$4:$H$59,MATCH(SUP_Biofuels!Q$7,'91 Hydrogenated veg oil'!$B$4:$B$59,0),MATCH(SUP_Biofuels!$I149,'91 Hydrogenated veg oil'!$D$3:$H$3,0))/52-INDEX('91 Hydrogenated veg oil'!$D$4:$H$59,MATCH(SUP_Biofuels!Q$8,'91 Hydrogenated veg oil'!$B$4:$B$59,0),MATCH(SUP_Biofuels!$I149,'91 Hydrogenated veg oil'!$D$3:$H$3,0))/100</f>
        <v>0.96153846153846156</v>
      </c>
      <c r="R149" s="36">
        <f>$R$39</f>
        <v>3.1536000000000002E-2</v>
      </c>
      <c r="S149" s="34">
        <f>INDEX('91 Hydrogenated veg oil'!$D$4:$H$59,MATCH(SUP_Biofuels!S$8,'91 Hydrogenated veg oil'!$B$4:$B$59,0),MATCH(SUP_Biofuels!$I149,'91 Hydrogenated veg oil'!$D$3:$H$3,0))</f>
        <v>2</v>
      </c>
      <c r="T149" s="34"/>
      <c r="U149" s="44"/>
      <c r="V149" s="43"/>
      <c r="W149" s="17" t="str">
        <f>W141</f>
        <v>Feedstock Consumption, MWh/MWh Total Inputs</v>
      </c>
      <c r="X149" s="17" t="str">
        <f>X141</f>
        <v>HVO Output, MWh/MWh Total Input</v>
      </c>
      <c r="Y149" s="17"/>
    </row>
    <row r="150" spans="3:25">
      <c r="C150" s="43"/>
      <c r="D150" s="43"/>
      <c r="E150" s="17" t="str">
        <f>E142</f>
        <v>SUPH2</v>
      </c>
      <c r="F150" s="17"/>
      <c r="G150" s="17"/>
      <c r="H150" s="17"/>
      <c r="I150" s="17"/>
      <c r="J150" s="17"/>
      <c r="K150" s="33">
        <f>(INDEX('91 Hydrogenated veg oil'!$D$4:$H$59,MATCH(SUP_Biofuels!W150,'91 Hydrogenated veg oil'!$B$4:$B$59,0),MATCH(SUP_Biofuels!$I149,'91 Hydrogenated veg oil'!$D$3:$H$3,0)))/INDEX('91 Hydrogenated veg oil'!$D$4:$H$59,MATCH(SUP_Biofuels!X149,'91 Hydrogenated veg oil'!$B$4:$B$59,0),MATCH(SUP_Biofuels!$I149,'91 Hydrogenated veg oil'!$D$3:$H$3,0))</f>
        <v>0.12352941176470589</v>
      </c>
      <c r="L150" s="33"/>
      <c r="M150" s="39"/>
      <c r="N150" s="40"/>
      <c r="O150" s="40"/>
      <c r="P150" s="40"/>
      <c r="Q150" s="41"/>
      <c r="R150" s="42"/>
      <c r="S150" s="39"/>
      <c r="T150" s="39"/>
      <c r="U150" s="43"/>
      <c r="V150" s="43"/>
      <c r="W150" s="17" t="str">
        <f>W142</f>
        <v>Hydrogen Consumption, MWh/MWh Total Inputs</v>
      </c>
      <c r="X150" s="17"/>
      <c r="Y150" s="17"/>
    </row>
    <row r="151" spans="3:25" ht="15.6">
      <c r="C151" s="43"/>
      <c r="D151" s="32"/>
      <c r="E151" s="17" t="str">
        <f>E143</f>
        <v>SUPELC</v>
      </c>
      <c r="F151" s="43"/>
      <c r="G151" s="43"/>
      <c r="H151" s="43"/>
      <c r="I151" s="43"/>
      <c r="J151" s="43"/>
      <c r="K151" s="33">
        <f>(INDEX('91 Hydrogenated veg oil'!$D$4:$H$59,MATCH(SUP_Biofuels!W151,'91 Hydrogenated veg oil'!$B$4:$B$59,0),MATCH(SUP_Biofuels!$I149,'91 Hydrogenated veg oil'!$D$3:$H$3,0)))/INDEX('91 Hydrogenated veg oil'!$D$4:$H$59,MATCH(SUP_Biofuels!X149,'91 Hydrogenated veg oil'!$B$4:$B$59,0),MATCH(SUP_Biofuels!$I149,'91 Hydrogenated veg oil'!$D$3:$H$3,0))</f>
        <v>9.4117647058823539E-3</v>
      </c>
      <c r="L151" s="43"/>
      <c r="M151" s="43"/>
      <c r="N151" s="43"/>
      <c r="O151" s="43"/>
      <c r="P151" s="40"/>
      <c r="Q151" s="43"/>
      <c r="R151" s="43"/>
      <c r="S151" s="43"/>
      <c r="T151" s="43"/>
      <c r="U151" s="43"/>
      <c r="V151" s="43"/>
      <c r="W151" s="17" t="str">
        <f>W143</f>
        <v>Electricity Consumption, MWh/MWh Total Inputs</v>
      </c>
      <c r="X151" s="43"/>
      <c r="Y151" s="43"/>
    </row>
    <row r="152" spans="3:25">
      <c r="C152" s="43"/>
      <c r="D152" s="17"/>
      <c r="E152" s="17" t="str">
        <f>E144</f>
        <v>SUPNGA,SUPSNG,SUPH2</v>
      </c>
      <c r="F152" s="43"/>
      <c r="G152" s="43"/>
      <c r="H152" s="43"/>
      <c r="I152" s="43"/>
      <c r="J152" s="43"/>
      <c r="K152" s="33">
        <f>(INDEX('91 Hydrogenated veg oil'!$D$4:$H$59,MATCH(SUP_Biofuels!W152,'91 Hydrogenated veg oil'!$B$4:$B$59,0),MATCH(SUP_Biofuels!$I149,'91 Hydrogenated veg oil'!$D$3:$H$3,0)))/INDEX('91 Hydrogenated veg oil'!$D$4:$H$59,MATCH(SUP_Biofuels!X149,'91 Hydrogenated veg oil'!$B$4:$B$59,0),MATCH(SUP_Biofuels!$I149,'91 Hydrogenated veg oil'!$D$3:$H$3,0))</f>
        <v>8.2352941176470594E-3</v>
      </c>
      <c r="L152" s="43"/>
      <c r="M152" s="43"/>
      <c r="N152" s="43"/>
      <c r="O152" s="43"/>
      <c r="P152" s="40"/>
      <c r="Q152" s="43"/>
      <c r="R152" s="43"/>
      <c r="S152" s="43"/>
      <c r="T152" s="43"/>
      <c r="U152" s="43"/>
      <c r="V152" s="43"/>
      <c r="W152" s="17" t="str">
        <f>W144</f>
        <v>Natural Gas Consumption, MWh/MWh Total Inputs</v>
      </c>
      <c r="X152" s="43"/>
      <c r="Y152" s="43"/>
    </row>
    <row r="153" spans="3:25">
      <c r="C153" s="43"/>
      <c r="D153" s="43"/>
      <c r="E153" s="43"/>
      <c r="F153" s="43"/>
      <c r="G153" s="17" t="str">
        <f>G145</f>
        <v>LVN</v>
      </c>
      <c r="H153" s="43"/>
      <c r="I153" s="43"/>
      <c r="J153" s="43"/>
      <c r="K153" s="43"/>
      <c r="L153" s="33">
        <f>INDEX('91 Hydrogenated veg oil'!$D$4:$H$59,MATCH(SUP_Biofuels!Y153,'91 Hydrogenated veg oil'!$B$4:$B$59,0),MATCH(SUP_Biofuels!$I149,'91 Hydrogenated veg oil'!$D$3:$H$3,0))*(SUM(K149:K152))</f>
        <v>7.772470588235296E-2</v>
      </c>
      <c r="M153" s="43"/>
      <c r="N153" s="43"/>
      <c r="O153" s="43"/>
      <c r="P153" s="40"/>
      <c r="Q153" s="43"/>
      <c r="R153" s="43"/>
      <c r="S153" s="43"/>
      <c r="T153" s="43"/>
      <c r="U153" s="43"/>
      <c r="V153" s="43"/>
      <c r="W153" s="43"/>
      <c r="X153" s="43"/>
      <c r="Y153" s="17" t="str">
        <f>Y145</f>
        <v>Naphta Output, MWh/MWh Total Input</v>
      </c>
    </row>
    <row r="154" spans="3:25">
      <c r="C154" s="43"/>
      <c r="D154" s="43"/>
      <c r="E154" s="43"/>
      <c r="F154" s="43"/>
      <c r="G154" s="43" t="s">
        <v>77</v>
      </c>
      <c r="H154" s="43"/>
      <c r="I154" s="43"/>
      <c r="J154" s="43"/>
      <c r="K154" s="43"/>
      <c r="L154" s="33">
        <f>INDEX('91 Hydrogenated veg oil'!$D$4:$H$59,MATCH(SUP_Biofuels!Y154,'91 Hydrogenated veg oil'!$B$4:$B$59,0),MATCH(SUP_Biofuels!$I149,'91 Hydrogenated veg oil'!$D$3:$H$3,0))*(SUM(K149:K152))</f>
        <v>3.886235294117648E-2</v>
      </c>
      <c r="M154" s="43"/>
      <c r="N154" s="43"/>
      <c r="O154" s="43"/>
      <c r="P154" s="40"/>
      <c r="Q154" s="43"/>
      <c r="R154" s="43"/>
      <c r="S154" s="43"/>
      <c r="T154" s="43"/>
      <c r="U154" s="43"/>
      <c r="V154" s="43"/>
      <c r="W154" s="43"/>
      <c r="X154" s="43"/>
      <c r="Y154" s="43" t="str">
        <f>Y146</f>
        <v>Fuel Gas Output, MWh/MWh Total Input</v>
      </c>
    </row>
    <row r="155" spans="3:25">
      <c r="C155" s="43"/>
      <c r="D155" s="43"/>
      <c r="E155" s="43"/>
      <c r="F155" s="43"/>
      <c r="G155" s="43" t="s">
        <v>78</v>
      </c>
      <c r="H155" s="43"/>
      <c r="I155" s="43"/>
      <c r="J155" s="43"/>
      <c r="K155" s="43"/>
      <c r="L155" s="33">
        <f>INDEX('91 Hydrogenated veg oil'!$D$4:$H$59,MATCH(SUP_Biofuels!Y155,'91 Hydrogenated veg oil'!$B$4:$B$59,0),MATCH(SUP_Biofuels!$I149,'91 Hydrogenated veg oil'!$D$3:$H$3,0))*(SUM(K149:K152))</f>
        <v>3.2385294117647068E-2</v>
      </c>
      <c r="M155" s="43"/>
      <c r="N155" s="43"/>
      <c r="O155" s="43"/>
      <c r="P155" s="40"/>
      <c r="Q155" s="43"/>
      <c r="R155" s="43"/>
      <c r="S155" s="43"/>
      <c r="T155" s="43"/>
      <c r="U155" s="43"/>
      <c r="V155" s="43"/>
      <c r="W155" s="43"/>
      <c r="X155" s="43"/>
      <c r="Y155" s="43" t="str">
        <f>Y147</f>
        <v>LPG Output, MWh/MWh Total Input</v>
      </c>
    </row>
    <row r="156" spans="3:25" ht="15" thickBot="1">
      <c r="C156" s="46"/>
      <c r="D156" s="46"/>
      <c r="E156" s="46"/>
      <c r="F156" s="46"/>
      <c r="G156" s="7" t="s">
        <v>216</v>
      </c>
      <c r="H156" s="46"/>
      <c r="I156" s="46"/>
      <c r="J156" s="46"/>
      <c r="K156" s="46"/>
      <c r="L156" s="48">
        <f>INDEX('91 Hydrogenated veg oil'!$D$4:$H$59,MATCH(SUP_Biofuels!Y156,'91 Hydrogenated veg oil'!$B$4:$B$59,0),MATCH(SUP_Biofuels!$I149,'91 Hydrogenated veg oil'!$D$3:$H$3,0))*(SUM(K149:K152))</f>
        <v>4.1865352941176477E-3</v>
      </c>
      <c r="M156" s="46"/>
      <c r="N156" s="46"/>
      <c r="O156" s="46"/>
      <c r="P156" s="49"/>
      <c r="Q156" s="46"/>
      <c r="R156" s="46"/>
      <c r="S156" s="46"/>
      <c r="T156" s="46"/>
      <c r="U156" s="46"/>
      <c r="V156" s="46"/>
      <c r="W156" s="46"/>
      <c r="X156" s="46"/>
      <c r="Y156" s="47" t="str">
        <f>Y148</f>
        <v>District Heating Output, MWh/MWh Total input</v>
      </c>
    </row>
    <row r="157" spans="3:25" ht="15.6">
      <c r="C157" s="54" t="str">
        <f>"SUP"&amp;F157&amp;RIGHT(E157,3)&amp;IF(RIGHT(D157,7)="Central","C3","D3")</f>
        <v>SUPDSB1CRBC3</v>
      </c>
      <c r="D157" s="57" t="str">
        <f>'91 Hydrogenated veg oil'!D2&amp;" Central"</f>
        <v>HVO / renwable diesel Central</v>
      </c>
      <c r="E157" s="17" t="s">
        <v>1761</v>
      </c>
      <c r="F157" s="17" t="s">
        <v>73</v>
      </c>
      <c r="G157" s="17"/>
      <c r="H157" s="17" t="s">
        <v>70</v>
      </c>
      <c r="I157" s="17">
        <f>'93 1st generation ethanol'!$D$3</f>
        <v>2015</v>
      </c>
      <c r="J157" s="19">
        <v>2030</v>
      </c>
      <c r="K157" s="33">
        <f>(INDEX('91 Hydrogenated veg oil'!$D$4:$H$59,MATCH(SUP_Biofuels!W157,'91 Hydrogenated veg oil'!$B$4:$B$59,0),MATCH(SUP_Biofuels!$I157,'91 Hydrogenated veg oil'!$D$3:$H$3,0)))/INDEX('91 Hydrogenated veg oil'!$D$4:$H$59,MATCH(SUP_Biofuels!X157,'91 Hydrogenated veg oil'!$B$4:$B$59,0),MATCH(SUP_Biofuels!$I157,'91 Hydrogenated veg oil'!$D$3:$H$3,0))</f>
        <v>1.0364705882352943</v>
      </c>
      <c r="L157" s="33"/>
      <c r="M157" s="34">
        <f>INDEX('91 Hydrogenated veg oil'!$D$4:$H$59,MATCH(SUP_Biofuels!M$8,'91 Hydrogenated veg oil'!$B$4:$B$59,0),MATCH(SUP_Biofuels!$I157,'91 Hydrogenated veg oil'!$D$3:$H$3,0))</f>
        <v>25</v>
      </c>
      <c r="N157" s="35">
        <f>INDEX('91 Hydrogenated veg oil'!$D$4:$H$59,MATCH(SUP_Biofuels!N$8,'91 Hydrogenated veg oil'!$B$4:$B$59,0),MATCH(SUP_Biofuels!$I157,'91 Hydrogenated veg oil'!$D$3:$H$3,0))*7.45</f>
        <v>5.6991638498487811</v>
      </c>
      <c r="O157" s="35">
        <f>INDEX('91 Hydrogenated veg oil'!$D$4:$H$59,MATCH(SUP_Biofuels!O$8,'91 Hydrogenated veg oil'!$B$4:$B$59,0),MATCH(SUP_Biofuels!$I157,'91 Hydrogenated veg oil'!$D$3:$H$3,0))*7.45</f>
        <v>0.26507738836505962</v>
      </c>
      <c r="P157" s="35">
        <f>INDEX('91 Hydrogenated veg oil'!$D$4:$H$59,MATCH(SUP_Biofuels!P$8,'91 Hydrogenated veg oil'!$B$4:$B$59,0),MATCH(SUP_Biofuels!$I157,'91 Hydrogenated veg oil'!$D$3:$H$3,0))*7.45/3.6</f>
        <v>17.551468976592265</v>
      </c>
      <c r="Q157" s="33">
        <f>1-INDEX('91 Hydrogenated veg oil'!$D$4:$H$59,MATCH(SUP_Biofuels!Q$7,'91 Hydrogenated veg oil'!$B$4:$B$59,0),MATCH(SUP_Biofuels!$I157,'91 Hydrogenated veg oil'!$D$3:$H$3,0))/52-INDEX('91 Hydrogenated veg oil'!$D$4:$H$59,MATCH(SUP_Biofuels!Q$8,'91 Hydrogenated veg oil'!$B$4:$B$59,0),MATCH(SUP_Biofuels!$I157,'91 Hydrogenated veg oil'!$D$3:$H$3,0))/100</f>
        <v>0.96153846153846156</v>
      </c>
      <c r="R157" s="36">
        <f>$R$39</f>
        <v>3.1536000000000002E-2</v>
      </c>
      <c r="S157" s="34">
        <f>INDEX('91 Hydrogenated veg oil'!$D$4:$H$59,MATCH(SUP_Biofuels!S$8,'91 Hydrogenated veg oil'!$B$4:$B$59,0),MATCH(SUP_Biofuels!$I157,'91 Hydrogenated veg oil'!$D$3:$H$3,0))</f>
        <v>2</v>
      </c>
      <c r="T157" s="34"/>
      <c r="U157" s="37"/>
      <c r="V157" s="38" t="s">
        <v>74</v>
      </c>
      <c r="W157" s="17" t="str">
        <f>W117</f>
        <v>Feedstock Consumption, MWh/MWh Total Inputs</v>
      </c>
      <c r="X157" s="17" t="str">
        <f>X117</f>
        <v>HVO Output, MWh/MWh Total Input</v>
      </c>
      <c r="Y157" s="17"/>
    </row>
    <row r="158" spans="3:25">
      <c r="C158" s="17"/>
      <c r="D158" s="17"/>
      <c r="E158" s="17" t="s">
        <v>1386</v>
      </c>
      <c r="F158" s="17"/>
      <c r="G158" s="17"/>
      <c r="H158" s="17"/>
      <c r="I158" s="17"/>
      <c r="J158" s="17"/>
      <c r="K158" s="33">
        <f>(INDEX('91 Hydrogenated veg oil'!$D$4:$H$59,MATCH(SUP_Biofuels!W158,'91 Hydrogenated veg oil'!$B$4:$B$59,0),MATCH(SUP_Biofuels!$I157,'91 Hydrogenated veg oil'!$D$3:$H$3,0)))/INDEX('91 Hydrogenated veg oil'!$D$4:$H$59,MATCH(SUP_Biofuels!X157,'91 Hydrogenated veg oil'!$B$4:$B$59,0),MATCH(SUP_Biofuels!$I157,'91 Hydrogenated veg oil'!$D$3:$H$3,0))</f>
        <v>0.12352941176470589</v>
      </c>
      <c r="L158" s="33"/>
      <c r="M158" s="39"/>
      <c r="N158" s="40"/>
      <c r="O158" s="40"/>
      <c r="P158" s="40"/>
      <c r="Q158" s="41"/>
      <c r="R158" s="42"/>
      <c r="S158" s="39"/>
      <c r="T158" s="39"/>
      <c r="U158" s="43"/>
      <c r="V158" s="43"/>
      <c r="W158" s="17" t="str">
        <f>W118</f>
        <v>Hydrogen Consumption, MWh/MWh Total Inputs</v>
      </c>
      <c r="X158" s="17"/>
      <c r="Y158" s="17"/>
    </row>
    <row r="159" spans="3:25">
      <c r="C159" s="43"/>
      <c r="D159" s="43"/>
      <c r="E159" s="43" t="s">
        <v>71</v>
      </c>
      <c r="F159" s="43"/>
      <c r="G159" s="43"/>
      <c r="H159" s="43"/>
      <c r="I159" s="43"/>
      <c r="J159" s="43"/>
      <c r="K159" s="33">
        <f>(INDEX('91 Hydrogenated veg oil'!$D$4:$H$59,MATCH(SUP_Biofuels!W159,'91 Hydrogenated veg oil'!$B$4:$B$59,0),MATCH(SUP_Biofuels!$I157,'91 Hydrogenated veg oil'!$D$3:$H$3,0)))/INDEX('91 Hydrogenated veg oil'!$D$4:$H$59,MATCH(SUP_Biofuels!X157,'91 Hydrogenated veg oil'!$B$4:$B$59,0),MATCH(SUP_Biofuels!$I157,'91 Hydrogenated veg oil'!$D$3:$H$3,0))</f>
        <v>9.4117647058823539E-3</v>
      </c>
      <c r="L159" s="43"/>
      <c r="M159" s="43"/>
      <c r="N159" s="43"/>
      <c r="O159" s="43"/>
      <c r="P159" s="40"/>
      <c r="Q159" s="43"/>
      <c r="R159" s="43"/>
      <c r="S159" s="43"/>
      <c r="T159" s="43"/>
      <c r="U159" s="43"/>
      <c r="V159" s="43"/>
      <c r="W159" s="17" t="str">
        <f>W119</f>
        <v>Electricity Consumption, MWh/MWh Total Inputs</v>
      </c>
      <c r="X159" s="43"/>
      <c r="Y159" s="43"/>
    </row>
    <row r="160" spans="3:25">
      <c r="C160" s="43"/>
      <c r="D160" s="43"/>
      <c r="E160" s="43" t="s">
        <v>1760</v>
      </c>
      <c r="F160" s="43"/>
      <c r="G160" s="43"/>
      <c r="H160" s="43"/>
      <c r="I160" s="43"/>
      <c r="J160" s="43"/>
      <c r="K160" s="33">
        <f>(INDEX('91 Hydrogenated veg oil'!$D$4:$H$59,MATCH(SUP_Biofuels!W160,'91 Hydrogenated veg oil'!$B$4:$B$59,0),MATCH(SUP_Biofuels!$I157,'91 Hydrogenated veg oil'!$D$3:$H$3,0)))/INDEX('91 Hydrogenated veg oil'!$D$4:$H$59,MATCH(SUP_Biofuels!X157,'91 Hydrogenated veg oil'!$B$4:$B$59,0),MATCH(SUP_Biofuels!$I157,'91 Hydrogenated veg oil'!$D$3:$H$3,0))</f>
        <v>8.2352941176470594E-3</v>
      </c>
      <c r="L160" s="43"/>
      <c r="M160" s="43"/>
      <c r="N160" s="43"/>
      <c r="O160" s="43"/>
      <c r="P160" s="40"/>
      <c r="Q160" s="43"/>
      <c r="R160" s="43"/>
      <c r="S160" s="43"/>
      <c r="T160" s="43"/>
      <c r="U160" s="43"/>
      <c r="V160" s="43"/>
      <c r="W160" s="17" t="str">
        <f>W120</f>
        <v>Natural Gas Consumption, MWh/MWh Total Inputs</v>
      </c>
      <c r="X160" s="43"/>
      <c r="Y160" s="43"/>
    </row>
    <row r="161" spans="3:25">
      <c r="C161" s="43"/>
      <c r="D161" s="43"/>
      <c r="E161" s="43"/>
      <c r="F161" s="43"/>
      <c r="G161" s="43" t="s">
        <v>76</v>
      </c>
      <c r="H161" s="43"/>
      <c r="I161" s="43"/>
      <c r="J161" s="43"/>
      <c r="K161" s="43"/>
      <c r="L161" s="33">
        <f>INDEX('91 Hydrogenated veg oil'!$D$4:$H$59,MATCH(SUP_Biofuels!Y161,'91 Hydrogenated veg oil'!$B$4:$B$59,0),MATCH(SUP_Biofuels!$I157,'91 Hydrogenated veg oil'!$D$3:$H$3,0))*(SUM(K157:K160))</f>
        <v>7.772470588235296E-2</v>
      </c>
      <c r="M161" s="43"/>
      <c r="N161" s="43"/>
      <c r="O161" s="43"/>
      <c r="P161" s="40"/>
      <c r="Q161" s="43"/>
      <c r="R161" s="43"/>
      <c r="S161" s="43"/>
      <c r="T161" s="43"/>
      <c r="U161" s="43"/>
      <c r="V161" s="43"/>
      <c r="W161" s="43"/>
      <c r="X161" s="43"/>
      <c r="Y161" s="17" t="str">
        <f>Y121</f>
        <v>Naphta Output, MWh/MWh Total Input</v>
      </c>
    </row>
    <row r="162" spans="3:25">
      <c r="C162" s="43"/>
      <c r="D162" s="43"/>
      <c r="E162" s="43"/>
      <c r="F162" s="43"/>
      <c r="G162" s="43" t="s">
        <v>77</v>
      </c>
      <c r="H162" s="43"/>
      <c r="I162" s="43"/>
      <c r="J162" s="43"/>
      <c r="K162" s="43"/>
      <c r="L162" s="33">
        <f>INDEX('91 Hydrogenated veg oil'!$D$4:$H$59,MATCH(SUP_Biofuels!Y162,'91 Hydrogenated veg oil'!$B$4:$B$59,0),MATCH(SUP_Biofuels!$I157,'91 Hydrogenated veg oil'!$D$3:$H$3,0))*(SUM(K157:K160))</f>
        <v>3.886235294117648E-2</v>
      </c>
      <c r="M162" s="43"/>
      <c r="N162" s="43"/>
      <c r="O162" s="43"/>
      <c r="P162" s="40"/>
      <c r="Q162" s="43"/>
      <c r="R162" s="43"/>
      <c r="S162" s="43"/>
      <c r="T162" s="43"/>
      <c r="U162" s="43"/>
      <c r="V162" s="43"/>
      <c r="W162" s="43"/>
      <c r="X162" s="43"/>
      <c r="Y162" s="17" t="str">
        <f>Y122</f>
        <v>Fuel Gas Output, MWh/MWh Total Input</v>
      </c>
    </row>
    <row r="163" spans="3:25">
      <c r="C163" s="43"/>
      <c r="D163" s="43"/>
      <c r="E163" s="43"/>
      <c r="F163" s="43"/>
      <c r="G163" s="43" t="s">
        <v>78</v>
      </c>
      <c r="H163" s="43"/>
      <c r="I163" s="43"/>
      <c r="J163" s="43"/>
      <c r="K163" s="43"/>
      <c r="L163" s="33">
        <f>INDEX('91 Hydrogenated veg oil'!$D$4:$H$59,MATCH(SUP_Biofuels!Y163,'91 Hydrogenated veg oil'!$B$4:$B$59,0),MATCH(SUP_Biofuels!$I157,'91 Hydrogenated veg oil'!$D$3:$H$3,0))*(SUM(K157:K160))</f>
        <v>3.2385294117647068E-2</v>
      </c>
      <c r="M163" s="43"/>
      <c r="N163" s="43"/>
      <c r="O163" s="43"/>
      <c r="P163" s="40"/>
      <c r="Q163" s="43"/>
      <c r="R163" s="43"/>
      <c r="S163" s="43"/>
      <c r="T163" s="43"/>
      <c r="U163" s="43"/>
      <c r="V163" s="43"/>
      <c r="W163" s="43"/>
      <c r="X163" s="43"/>
      <c r="Y163" s="17" t="str">
        <f>Y123</f>
        <v>LPG Output, MWh/MWh Total Input</v>
      </c>
    </row>
    <row r="164" spans="3:25">
      <c r="C164" s="43"/>
      <c r="D164" s="43"/>
      <c r="E164" s="43"/>
      <c r="F164" s="43"/>
      <c r="G164" s="7" t="s">
        <v>216</v>
      </c>
      <c r="H164" s="43"/>
      <c r="I164" s="43"/>
      <c r="J164" s="43"/>
      <c r="K164" s="43"/>
      <c r="L164" s="33">
        <f>INDEX('91 Hydrogenated veg oil'!$D$4:$H$59,MATCH(SUP_Biofuels!Y164,'91 Hydrogenated veg oil'!$B$4:$B$59,0),MATCH(SUP_Biofuels!$I157,'91 Hydrogenated veg oil'!$D$3:$H$3,0))*(SUM(K157:K160))</f>
        <v>4.1865352941176477E-3</v>
      </c>
      <c r="M164" s="43"/>
      <c r="N164" s="43"/>
      <c r="O164" s="43"/>
      <c r="P164" s="40"/>
      <c r="Q164" s="43"/>
      <c r="R164" s="43"/>
      <c r="S164" s="43"/>
      <c r="T164" s="43"/>
      <c r="U164" s="43"/>
      <c r="V164" s="43"/>
      <c r="W164" s="43"/>
      <c r="X164" s="43"/>
      <c r="Y164" s="17" t="str">
        <f>Y124</f>
        <v>District Heating Output, MWh/MWh Total input</v>
      </c>
    </row>
    <row r="165" spans="3:25" ht="15.6">
      <c r="C165" s="17"/>
      <c r="D165" s="32"/>
      <c r="E165" s="17" t="str">
        <f>E157</f>
        <v>SUPCRB</v>
      </c>
      <c r="F165" s="17" t="str">
        <f>F157</f>
        <v>DSB1</v>
      </c>
      <c r="G165" s="17"/>
      <c r="H165" s="17" t="s">
        <v>70</v>
      </c>
      <c r="I165" s="17">
        <v>2020</v>
      </c>
      <c r="J165" s="17"/>
      <c r="K165" s="33">
        <f>(INDEX('91 Hydrogenated veg oil'!$D$4:$H$59,MATCH(SUP_Biofuels!W165,'91 Hydrogenated veg oil'!$B$4:$B$59,0),MATCH(SUP_Biofuels!$I165,'91 Hydrogenated veg oil'!$D$3:$H$3,0)))/INDEX('91 Hydrogenated veg oil'!$D$4:$H$59,MATCH(SUP_Biofuels!X165,'91 Hydrogenated veg oil'!$B$4:$B$59,0),MATCH(SUP_Biofuels!$I165,'91 Hydrogenated veg oil'!$D$3:$H$3,0))</f>
        <v>1.0364705882352943</v>
      </c>
      <c r="L165" s="33"/>
      <c r="M165" s="34">
        <f>INDEX('91 Hydrogenated veg oil'!$D$4:$H$59,MATCH(SUP_Biofuels!M$8,'91 Hydrogenated veg oil'!$B$4:$B$59,0),MATCH(SUP_Biofuels!$I165,'91 Hydrogenated veg oil'!$D$3:$H$3,0))</f>
        <v>25</v>
      </c>
      <c r="N165" s="35">
        <f>INDEX('91 Hydrogenated veg oil'!$D$4:$H$59,MATCH(SUP_Biofuels!N$8,'91 Hydrogenated veg oil'!$B$4:$B$59,0),MATCH(SUP_Biofuels!$I165,'91 Hydrogenated veg oil'!$D$3:$H$3,0))*7.45</f>
        <v>5.6328945027575177</v>
      </c>
      <c r="O165" s="35">
        <f>INDEX('91 Hydrogenated veg oil'!$D$4:$H$59,MATCH(SUP_Biofuels!O$8,'91 Hydrogenated veg oil'!$B$4:$B$59,0),MATCH(SUP_Biofuels!$I165,'91 Hydrogenated veg oil'!$D$3:$H$3,0))*7.45</f>
        <v>0.26507738836505962</v>
      </c>
      <c r="P165" s="35">
        <f>INDEX('91 Hydrogenated veg oil'!$D$4:$H$59,MATCH(SUP_Biofuels!P$8,'91 Hydrogenated veg oil'!$B$4:$B$59,0),MATCH(SUP_Biofuels!$I165,'91 Hydrogenated veg oil'!$D$3:$H$3,0))*7.45/3.6</f>
        <v>17.551468976592265</v>
      </c>
      <c r="Q165" s="33">
        <f>1-INDEX('91 Hydrogenated veg oil'!$D$4:$H$59,MATCH(SUP_Biofuels!Q$7,'91 Hydrogenated veg oil'!$B$4:$B$59,0),MATCH(SUP_Biofuels!$I165,'91 Hydrogenated veg oil'!$D$3:$H$3,0))/52-INDEX('91 Hydrogenated veg oil'!$D$4:$H$59,MATCH(SUP_Biofuels!Q$8,'91 Hydrogenated veg oil'!$B$4:$B$59,0),MATCH(SUP_Biofuels!$I165,'91 Hydrogenated veg oil'!$D$3:$H$3,0))/100</f>
        <v>0.96153846153846156</v>
      </c>
      <c r="R165" s="36">
        <f>$R$39</f>
        <v>3.1536000000000002E-2</v>
      </c>
      <c r="S165" s="34">
        <f>INDEX('91 Hydrogenated veg oil'!$D$4:$H$59,MATCH(SUP_Biofuels!S$8,'91 Hydrogenated veg oil'!$B$4:$B$59,0),MATCH(SUP_Biofuels!$I165,'91 Hydrogenated veg oil'!$D$3:$H$3,0))</f>
        <v>2</v>
      </c>
      <c r="T165" s="34"/>
      <c r="U165" s="44"/>
      <c r="V165" s="45"/>
      <c r="W165" s="17" t="str">
        <f>W157</f>
        <v>Feedstock Consumption, MWh/MWh Total Inputs</v>
      </c>
      <c r="X165" s="17" t="str">
        <f>X157</f>
        <v>HVO Output, MWh/MWh Total Input</v>
      </c>
      <c r="Y165" s="17"/>
    </row>
    <row r="166" spans="3:25">
      <c r="C166" s="17"/>
      <c r="D166" s="17"/>
      <c r="E166" s="17" t="str">
        <f>E158</f>
        <v>SUPH2</v>
      </c>
      <c r="F166" s="17"/>
      <c r="G166" s="17"/>
      <c r="H166" s="17"/>
      <c r="I166" s="17"/>
      <c r="J166" s="17"/>
      <c r="K166" s="33">
        <f>(INDEX('91 Hydrogenated veg oil'!$D$4:$H$59,MATCH(SUP_Biofuels!W166,'91 Hydrogenated veg oil'!$B$4:$B$59,0),MATCH(SUP_Biofuels!$I165,'91 Hydrogenated veg oil'!$D$3:$H$3,0)))/INDEX('91 Hydrogenated veg oil'!$D$4:$H$59,MATCH(SUP_Biofuels!X165,'91 Hydrogenated veg oil'!$B$4:$B$59,0),MATCH(SUP_Biofuels!$I165,'91 Hydrogenated veg oil'!$D$3:$H$3,0))</f>
        <v>0.12352941176470589</v>
      </c>
      <c r="L166" s="33"/>
      <c r="M166" s="39"/>
      <c r="N166" s="40"/>
      <c r="O166" s="40"/>
      <c r="P166" s="40"/>
      <c r="Q166" s="41"/>
      <c r="R166" s="42"/>
      <c r="S166" s="39"/>
      <c r="T166" s="39"/>
      <c r="U166" s="43"/>
      <c r="V166" s="43"/>
      <c r="W166" s="17" t="str">
        <f>W158</f>
        <v>Hydrogen Consumption, MWh/MWh Total Inputs</v>
      </c>
      <c r="X166" s="17"/>
      <c r="Y166" s="17"/>
    </row>
    <row r="167" spans="3:25">
      <c r="C167" s="43"/>
      <c r="D167" s="43"/>
      <c r="E167" s="17" t="str">
        <f>E159</f>
        <v>SUPELC</v>
      </c>
      <c r="F167" s="43"/>
      <c r="G167" s="43"/>
      <c r="H167" s="43"/>
      <c r="I167" s="43"/>
      <c r="J167" s="43"/>
      <c r="K167" s="33">
        <f>(INDEX('91 Hydrogenated veg oil'!$D$4:$H$59,MATCH(SUP_Biofuels!W167,'91 Hydrogenated veg oil'!$B$4:$B$59,0),MATCH(SUP_Biofuels!$I165,'91 Hydrogenated veg oil'!$D$3:$H$3,0)))/INDEX('91 Hydrogenated veg oil'!$D$4:$H$59,MATCH(SUP_Biofuels!X165,'91 Hydrogenated veg oil'!$B$4:$B$59,0),MATCH(SUP_Biofuels!$I165,'91 Hydrogenated veg oil'!$D$3:$H$3,0))</f>
        <v>9.4117647058823539E-3</v>
      </c>
      <c r="L167" s="43"/>
      <c r="M167" s="43"/>
      <c r="N167" s="43"/>
      <c r="O167" s="43"/>
      <c r="P167" s="40"/>
      <c r="Q167" s="43"/>
      <c r="R167" s="43"/>
      <c r="S167" s="43"/>
      <c r="T167" s="43"/>
      <c r="U167" s="43"/>
      <c r="V167" s="43"/>
      <c r="W167" s="17" t="str">
        <f>W159</f>
        <v>Electricity Consumption, MWh/MWh Total Inputs</v>
      </c>
      <c r="X167" s="43"/>
      <c r="Y167" s="43"/>
    </row>
    <row r="168" spans="3:25">
      <c r="C168" s="43"/>
      <c r="D168" s="43"/>
      <c r="E168" s="17" t="str">
        <f>E160</f>
        <v>SUPNGA,SUPSNG,SUPH2</v>
      </c>
      <c r="F168" s="43"/>
      <c r="G168" s="43"/>
      <c r="H168" s="43"/>
      <c r="I168" s="43"/>
      <c r="J168" s="43"/>
      <c r="K168" s="33">
        <f>(INDEX('91 Hydrogenated veg oil'!$D$4:$H$59,MATCH(SUP_Biofuels!W168,'91 Hydrogenated veg oil'!$B$4:$B$59,0),MATCH(SUP_Biofuels!$I165,'91 Hydrogenated veg oil'!$D$3:$H$3,0)))/INDEX('91 Hydrogenated veg oil'!$D$4:$H$59,MATCH(SUP_Biofuels!X165,'91 Hydrogenated veg oil'!$B$4:$B$59,0),MATCH(SUP_Biofuels!$I165,'91 Hydrogenated veg oil'!$D$3:$H$3,0))</f>
        <v>8.2352941176470594E-3</v>
      </c>
      <c r="L168" s="43"/>
      <c r="M168" s="43"/>
      <c r="N168" s="43"/>
      <c r="O168" s="43"/>
      <c r="P168" s="40"/>
      <c r="Q168" s="43"/>
      <c r="R168" s="43"/>
      <c r="S168" s="43"/>
      <c r="T168" s="43"/>
      <c r="U168" s="43"/>
      <c r="V168" s="43"/>
      <c r="W168" s="17" t="str">
        <f>W160</f>
        <v>Natural Gas Consumption, MWh/MWh Total Inputs</v>
      </c>
      <c r="X168" s="43"/>
      <c r="Y168" s="43"/>
    </row>
    <row r="169" spans="3:25" ht="15.6">
      <c r="C169" s="43"/>
      <c r="D169" s="32"/>
      <c r="E169" s="43"/>
      <c r="F169" s="43"/>
      <c r="G169" s="17" t="str">
        <f>G161</f>
        <v>LVN</v>
      </c>
      <c r="H169" s="43"/>
      <c r="I169" s="43"/>
      <c r="J169" s="43"/>
      <c r="K169" s="43"/>
      <c r="L169" s="33">
        <f>INDEX('91 Hydrogenated veg oil'!$D$4:$H$59,MATCH(SUP_Biofuels!Y169,'91 Hydrogenated veg oil'!$B$4:$B$59,0),MATCH(SUP_Biofuels!$I165,'91 Hydrogenated veg oil'!$D$3:$H$3,0))*(SUM(K165:K168))</f>
        <v>7.772470588235296E-2</v>
      </c>
      <c r="M169" s="43"/>
      <c r="N169" s="43"/>
      <c r="O169" s="43"/>
      <c r="P169" s="40"/>
      <c r="Q169" s="43"/>
      <c r="R169" s="43"/>
      <c r="S169" s="43"/>
      <c r="T169" s="43"/>
      <c r="U169" s="43"/>
      <c r="V169" s="45"/>
      <c r="W169" s="43"/>
      <c r="X169" s="43"/>
      <c r="Y169" s="17" t="str">
        <f>Y161</f>
        <v>Naphta Output, MWh/MWh Total Input</v>
      </c>
    </row>
    <row r="170" spans="3:25">
      <c r="C170" s="43"/>
      <c r="D170" s="43"/>
      <c r="E170" s="43"/>
      <c r="F170" s="43"/>
      <c r="G170" s="43" t="s">
        <v>77</v>
      </c>
      <c r="H170" s="43"/>
      <c r="I170" s="43"/>
      <c r="J170" s="43"/>
      <c r="K170" s="43"/>
      <c r="L170" s="33">
        <f>INDEX('91 Hydrogenated veg oil'!$D$4:$H$59,MATCH(SUP_Biofuels!Y170,'91 Hydrogenated veg oil'!$B$4:$B$59,0),MATCH(SUP_Biofuels!$I165,'91 Hydrogenated veg oil'!$D$3:$H$3,0))*(SUM(K165:K168))</f>
        <v>3.886235294117648E-2</v>
      </c>
      <c r="M170" s="43"/>
      <c r="N170" s="43"/>
      <c r="O170" s="43"/>
      <c r="P170" s="40"/>
      <c r="Q170" s="43"/>
      <c r="R170" s="43"/>
      <c r="S170" s="43"/>
      <c r="T170" s="43"/>
      <c r="U170" s="43"/>
      <c r="V170" s="43"/>
      <c r="W170" s="43"/>
      <c r="X170" s="43"/>
      <c r="Y170" s="17" t="str">
        <f>Y162</f>
        <v>Fuel Gas Output, MWh/MWh Total Input</v>
      </c>
    </row>
    <row r="171" spans="3:25">
      <c r="C171" s="43"/>
      <c r="D171" s="43"/>
      <c r="E171" s="43"/>
      <c r="F171" s="43"/>
      <c r="G171" s="43" t="s">
        <v>78</v>
      </c>
      <c r="H171" s="43"/>
      <c r="I171" s="43"/>
      <c r="J171" s="43"/>
      <c r="K171" s="43"/>
      <c r="L171" s="33">
        <f>INDEX('91 Hydrogenated veg oil'!$D$4:$H$59,MATCH(SUP_Biofuels!Y171,'91 Hydrogenated veg oil'!$B$4:$B$59,0),MATCH(SUP_Biofuels!$I165,'91 Hydrogenated veg oil'!$D$3:$H$3,0))*(SUM(K165:K168))</f>
        <v>3.2385294117647068E-2</v>
      </c>
      <c r="M171" s="43"/>
      <c r="N171" s="43"/>
      <c r="O171" s="43"/>
      <c r="P171" s="40"/>
      <c r="Q171" s="43"/>
      <c r="R171" s="43"/>
      <c r="S171" s="43"/>
      <c r="T171" s="43"/>
      <c r="U171" s="43"/>
      <c r="V171" s="43"/>
      <c r="W171" s="43"/>
      <c r="X171" s="43"/>
      <c r="Y171" s="17" t="str">
        <f>Y163</f>
        <v>LPG Output, MWh/MWh Total Input</v>
      </c>
    </row>
    <row r="172" spans="3:25">
      <c r="C172" s="43"/>
      <c r="D172" s="43"/>
      <c r="E172" s="43"/>
      <c r="F172" s="43"/>
      <c r="G172" s="7" t="s">
        <v>216</v>
      </c>
      <c r="H172" s="43"/>
      <c r="I172" s="43"/>
      <c r="J172" s="43"/>
      <c r="K172" s="43"/>
      <c r="L172" s="33">
        <f>INDEX('91 Hydrogenated veg oil'!$D$4:$H$59,MATCH(SUP_Biofuels!Y172,'91 Hydrogenated veg oil'!$B$4:$B$59,0),MATCH(SUP_Biofuels!$I165,'91 Hydrogenated veg oil'!$D$3:$H$3,0))*(SUM(K165:K168))</f>
        <v>4.1865352941176477E-3</v>
      </c>
      <c r="M172" s="43"/>
      <c r="N172" s="43"/>
      <c r="O172" s="43"/>
      <c r="P172" s="40"/>
      <c r="Q172" s="43"/>
      <c r="R172" s="43"/>
      <c r="S172" s="43"/>
      <c r="T172" s="43"/>
      <c r="U172" s="43"/>
      <c r="V172" s="43"/>
      <c r="W172" s="43"/>
      <c r="X172" s="43"/>
      <c r="Y172" s="17" t="str">
        <f>Y164</f>
        <v>District Heating Output, MWh/MWh Total input</v>
      </c>
    </row>
    <row r="173" spans="3:25">
      <c r="C173" s="43"/>
      <c r="D173" s="17"/>
      <c r="E173" s="17" t="str">
        <f>E165</f>
        <v>SUPCRB</v>
      </c>
      <c r="F173" s="17" t="str">
        <f>F165</f>
        <v>DSB1</v>
      </c>
      <c r="G173" s="17"/>
      <c r="H173" s="17" t="s">
        <v>70</v>
      </c>
      <c r="I173" s="17">
        <v>2030</v>
      </c>
      <c r="J173" s="17"/>
      <c r="K173" s="33">
        <f>(INDEX('91 Hydrogenated veg oil'!$D$4:$H$59,MATCH(SUP_Biofuels!W173,'91 Hydrogenated veg oil'!$B$4:$B$59,0),MATCH(SUP_Biofuels!$I173,'91 Hydrogenated veg oil'!$D$3:$H$3,0)))/INDEX('91 Hydrogenated veg oil'!$D$4:$H$59,MATCH(SUP_Biofuels!X173,'91 Hydrogenated veg oil'!$B$4:$B$59,0),MATCH(SUP_Biofuels!$I173,'91 Hydrogenated veg oil'!$D$3:$H$3,0))</f>
        <v>1.0364705882352943</v>
      </c>
      <c r="L173" s="33"/>
      <c r="M173" s="34">
        <f>INDEX('91 Hydrogenated veg oil'!$D$4:$H$59,MATCH(SUP_Biofuels!M$8,'91 Hydrogenated veg oil'!$B$4:$B$59,0),MATCH(SUP_Biofuels!$I173,'91 Hydrogenated veg oil'!$D$3:$H$3,0))</f>
        <v>25</v>
      </c>
      <c r="N173" s="35">
        <f>INDEX('91 Hydrogenated veg oil'!$D$4:$H$59,MATCH(SUP_Biofuels!N$8,'91 Hydrogenated veg oil'!$B$4:$B$59,0),MATCH(SUP_Biofuels!$I173,'91 Hydrogenated veg oil'!$D$3:$H$3,0))*7.45</f>
        <v>4.7497048406139317</v>
      </c>
      <c r="O173" s="35">
        <f>INDEX('91 Hydrogenated veg oil'!$D$4:$H$59,MATCH(SUP_Biofuels!O$8,'91 Hydrogenated veg oil'!$B$4:$B$59,0),MATCH(SUP_Biofuels!$I173,'91 Hydrogenated veg oil'!$D$3:$H$3,0))*7.45</f>
        <v>0.26387249114521838</v>
      </c>
      <c r="P173" s="35">
        <f>INDEX('91 Hydrogenated veg oil'!$D$4:$H$59,MATCH(SUP_Biofuels!P$8,'91 Hydrogenated veg oil'!$B$4:$B$59,0),MATCH(SUP_Biofuels!$I173,'91 Hydrogenated veg oil'!$D$3:$H$3,0))*7.45/3.6</f>
        <v>17.551468976592272</v>
      </c>
      <c r="Q173" s="33">
        <f>1-INDEX('91 Hydrogenated veg oil'!$D$4:$H$59,MATCH(SUP_Biofuels!Q$7,'91 Hydrogenated veg oil'!$B$4:$B$59,0),MATCH(SUP_Biofuels!$I173,'91 Hydrogenated veg oil'!$D$3:$H$3,0))/52-INDEX('91 Hydrogenated veg oil'!$D$4:$H$59,MATCH(SUP_Biofuels!Q$8,'91 Hydrogenated veg oil'!$B$4:$B$59,0),MATCH(SUP_Biofuels!$I173,'91 Hydrogenated veg oil'!$D$3:$H$3,0))/100</f>
        <v>0.96153846153846156</v>
      </c>
      <c r="R173" s="36">
        <f>$R$39</f>
        <v>3.1536000000000002E-2</v>
      </c>
      <c r="S173" s="34">
        <f>INDEX('91 Hydrogenated veg oil'!$D$4:$H$59,MATCH(SUP_Biofuels!S$8,'91 Hydrogenated veg oil'!$B$4:$B$59,0),MATCH(SUP_Biofuels!$I173,'91 Hydrogenated veg oil'!$D$3:$H$3,0))</f>
        <v>2</v>
      </c>
      <c r="T173" s="34"/>
      <c r="U173" s="44"/>
      <c r="V173" s="43"/>
      <c r="W173" s="17" t="str">
        <f>W165</f>
        <v>Feedstock Consumption, MWh/MWh Total Inputs</v>
      </c>
      <c r="X173" s="17" t="str">
        <f>X165</f>
        <v>HVO Output, MWh/MWh Total Input</v>
      </c>
      <c r="Y173" s="17"/>
    </row>
    <row r="174" spans="3:25">
      <c r="C174" s="43"/>
      <c r="D174" s="43"/>
      <c r="E174" s="17" t="str">
        <f>E166</f>
        <v>SUPH2</v>
      </c>
      <c r="F174" s="17"/>
      <c r="G174" s="17"/>
      <c r="H174" s="17"/>
      <c r="I174" s="17"/>
      <c r="J174" s="17"/>
      <c r="K174" s="33">
        <f>(INDEX('91 Hydrogenated veg oil'!$D$4:$H$59,MATCH(SUP_Biofuels!W174,'91 Hydrogenated veg oil'!$B$4:$B$59,0),MATCH(SUP_Biofuels!$I173,'91 Hydrogenated veg oil'!$D$3:$H$3,0)))/INDEX('91 Hydrogenated veg oil'!$D$4:$H$59,MATCH(SUP_Biofuels!X173,'91 Hydrogenated veg oil'!$B$4:$B$59,0),MATCH(SUP_Biofuels!$I173,'91 Hydrogenated veg oil'!$D$3:$H$3,0))</f>
        <v>0.12352941176470589</v>
      </c>
      <c r="L174" s="33"/>
      <c r="M174" s="39"/>
      <c r="N174" s="40"/>
      <c r="O174" s="40"/>
      <c r="P174" s="40"/>
      <c r="Q174" s="41"/>
      <c r="R174" s="42"/>
      <c r="S174" s="39"/>
      <c r="T174" s="39"/>
      <c r="U174" s="43"/>
      <c r="V174" s="43"/>
      <c r="W174" s="17" t="str">
        <f>W166</f>
        <v>Hydrogen Consumption, MWh/MWh Total Inputs</v>
      </c>
      <c r="X174" s="17"/>
      <c r="Y174" s="17"/>
    </row>
    <row r="175" spans="3:25">
      <c r="C175" s="43"/>
      <c r="D175" s="43"/>
      <c r="E175" s="17" t="str">
        <f>E167</f>
        <v>SUPELC</v>
      </c>
      <c r="F175" s="43"/>
      <c r="G175" s="43"/>
      <c r="H175" s="43"/>
      <c r="I175" s="43"/>
      <c r="J175" s="43"/>
      <c r="K175" s="33">
        <f>(INDEX('91 Hydrogenated veg oil'!$D$4:$H$59,MATCH(SUP_Biofuels!W175,'91 Hydrogenated veg oil'!$B$4:$B$59,0),MATCH(SUP_Biofuels!$I173,'91 Hydrogenated veg oil'!$D$3:$H$3,0)))/INDEX('91 Hydrogenated veg oil'!$D$4:$H$59,MATCH(SUP_Biofuels!X173,'91 Hydrogenated veg oil'!$B$4:$B$59,0),MATCH(SUP_Biofuels!$I173,'91 Hydrogenated veg oil'!$D$3:$H$3,0))</f>
        <v>9.4117647058823539E-3</v>
      </c>
      <c r="L175" s="43"/>
      <c r="M175" s="43"/>
      <c r="N175" s="43"/>
      <c r="O175" s="43"/>
      <c r="P175" s="40"/>
      <c r="Q175" s="43"/>
      <c r="R175" s="43"/>
      <c r="S175" s="43"/>
      <c r="T175" s="43"/>
      <c r="U175" s="43"/>
      <c r="V175" s="43"/>
      <c r="W175" s="17" t="str">
        <f>W167</f>
        <v>Electricity Consumption, MWh/MWh Total Inputs</v>
      </c>
      <c r="X175" s="43"/>
      <c r="Y175" s="43"/>
    </row>
    <row r="176" spans="3:25" ht="15.6">
      <c r="C176" s="43"/>
      <c r="D176" s="32"/>
      <c r="E176" s="17" t="str">
        <f>E168</f>
        <v>SUPNGA,SUPSNG,SUPH2</v>
      </c>
      <c r="F176" s="43"/>
      <c r="G176" s="43"/>
      <c r="H176" s="43"/>
      <c r="I176" s="43"/>
      <c r="J176" s="43"/>
      <c r="K176" s="33">
        <f>(INDEX('91 Hydrogenated veg oil'!$D$4:$H$59,MATCH(SUP_Biofuels!W176,'91 Hydrogenated veg oil'!$B$4:$B$59,0),MATCH(SUP_Biofuels!$I173,'91 Hydrogenated veg oil'!$D$3:$H$3,0)))/INDEX('91 Hydrogenated veg oil'!$D$4:$H$59,MATCH(SUP_Biofuels!X173,'91 Hydrogenated veg oil'!$B$4:$B$59,0),MATCH(SUP_Biofuels!$I173,'91 Hydrogenated veg oil'!$D$3:$H$3,0))</f>
        <v>8.2352941176470594E-3</v>
      </c>
      <c r="L176" s="43"/>
      <c r="M176" s="43"/>
      <c r="N176" s="43"/>
      <c r="O176" s="43"/>
      <c r="P176" s="40"/>
      <c r="Q176" s="43"/>
      <c r="R176" s="43"/>
      <c r="S176" s="43"/>
      <c r="T176" s="43"/>
      <c r="U176" s="43"/>
      <c r="V176" s="45"/>
      <c r="W176" s="17" t="str">
        <f>W168</f>
        <v>Natural Gas Consumption, MWh/MWh Total Inputs</v>
      </c>
      <c r="X176" s="43"/>
      <c r="Y176" s="43"/>
    </row>
    <row r="177" spans="3:25">
      <c r="C177" s="43"/>
      <c r="D177" s="17"/>
      <c r="E177" s="43"/>
      <c r="F177" s="43"/>
      <c r="G177" s="17" t="str">
        <f>G169</f>
        <v>LVN</v>
      </c>
      <c r="H177" s="43"/>
      <c r="I177" s="43"/>
      <c r="J177" s="43"/>
      <c r="K177" s="43"/>
      <c r="L177" s="33">
        <f>INDEX('91 Hydrogenated veg oil'!$D$4:$H$59,MATCH(SUP_Biofuels!Y177,'91 Hydrogenated veg oil'!$B$4:$B$59,0),MATCH(SUP_Biofuels!$I173,'91 Hydrogenated veg oil'!$D$3:$H$3,0))*(SUM(K173:K176))</f>
        <v>7.772470588235296E-2</v>
      </c>
      <c r="M177" s="43"/>
      <c r="N177" s="43"/>
      <c r="O177" s="43"/>
      <c r="P177" s="40"/>
      <c r="Q177" s="43"/>
      <c r="R177" s="43"/>
      <c r="S177" s="43"/>
      <c r="T177" s="43"/>
      <c r="U177" s="43"/>
      <c r="V177" s="43"/>
      <c r="W177" s="43"/>
      <c r="X177" s="43"/>
      <c r="Y177" s="17" t="str">
        <f>Y169</f>
        <v>Naphta Output, MWh/MWh Total Input</v>
      </c>
    </row>
    <row r="178" spans="3:25">
      <c r="C178" s="43"/>
      <c r="D178" s="43"/>
      <c r="E178" s="43"/>
      <c r="F178" s="43"/>
      <c r="G178" s="43" t="s">
        <v>77</v>
      </c>
      <c r="H178" s="43"/>
      <c r="I178" s="43"/>
      <c r="J178" s="43"/>
      <c r="K178" s="43"/>
      <c r="L178" s="33">
        <f>INDEX('91 Hydrogenated veg oil'!$D$4:$H$59,MATCH(SUP_Biofuels!Y178,'91 Hydrogenated veg oil'!$B$4:$B$59,0),MATCH(SUP_Biofuels!$I173,'91 Hydrogenated veg oil'!$D$3:$H$3,0))*(SUM(K173:K176))</f>
        <v>3.886235294117648E-2</v>
      </c>
      <c r="M178" s="43"/>
      <c r="N178" s="43"/>
      <c r="O178" s="43"/>
      <c r="P178" s="40"/>
      <c r="Q178" s="43"/>
      <c r="R178" s="43"/>
      <c r="S178" s="43"/>
      <c r="T178" s="43"/>
      <c r="U178" s="43"/>
      <c r="V178" s="43"/>
      <c r="W178" s="43"/>
      <c r="X178" s="43"/>
      <c r="Y178" s="17" t="str">
        <f>Y170</f>
        <v>Fuel Gas Output, MWh/MWh Total Input</v>
      </c>
    </row>
    <row r="179" spans="3:25">
      <c r="C179" s="43"/>
      <c r="D179" s="43"/>
      <c r="E179" s="43"/>
      <c r="F179" s="43"/>
      <c r="G179" s="43" t="s">
        <v>78</v>
      </c>
      <c r="H179" s="43"/>
      <c r="I179" s="43"/>
      <c r="J179" s="43"/>
      <c r="K179" s="43"/>
      <c r="L179" s="33">
        <f>INDEX('91 Hydrogenated veg oil'!$D$4:$H$59,MATCH(SUP_Biofuels!Y179,'91 Hydrogenated veg oil'!$B$4:$B$59,0),MATCH(SUP_Biofuels!$I173,'91 Hydrogenated veg oil'!$D$3:$H$3,0))*(SUM(K173:K176))</f>
        <v>3.2385294117647068E-2</v>
      </c>
      <c r="M179" s="43"/>
      <c r="N179" s="43"/>
      <c r="O179" s="43"/>
      <c r="P179" s="40"/>
      <c r="Q179" s="43"/>
      <c r="R179" s="43"/>
      <c r="S179" s="43"/>
      <c r="T179" s="43"/>
      <c r="U179" s="43"/>
      <c r="V179" s="43"/>
      <c r="W179" s="43"/>
      <c r="X179" s="43"/>
      <c r="Y179" s="17" t="str">
        <f>Y171</f>
        <v>LPG Output, MWh/MWh Total Input</v>
      </c>
    </row>
    <row r="180" spans="3:25">
      <c r="C180" s="43"/>
      <c r="D180" s="43"/>
      <c r="E180" s="43"/>
      <c r="F180" s="43"/>
      <c r="G180" s="7" t="s">
        <v>216</v>
      </c>
      <c r="H180" s="43"/>
      <c r="I180" s="43"/>
      <c r="J180" s="43"/>
      <c r="K180" s="43"/>
      <c r="L180" s="33">
        <f>INDEX('91 Hydrogenated veg oil'!$D$4:$H$59,MATCH(SUP_Biofuels!Y180,'91 Hydrogenated veg oil'!$B$4:$B$59,0),MATCH(SUP_Biofuels!$I173,'91 Hydrogenated veg oil'!$D$3:$H$3,0))*(SUM(K173:K176))</f>
        <v>4.1865352941176477E-3</v>
      </c>
      <c r="M180" s="43"/>
      <c r="N180" s="43"/>
      <c r="O180" s="43"/>
      <c r="P180" s="40"/>
      <c r="Q180" s="43"/>
      <c r="R180" s="43"/>
      <c r="S180" s="43"/>
      <c r="T180" s="43"/>
      <c r="U180" s="43"/>
      <c r="V180" s="43"/>
      <c r="W180" s="43"/>
      <c r="X180" s="43"/>
      <c r="Y180" s="17" t="str">
        <f>Y172</f>
        <v>District Heating Output, MWh/MWh Total input</v>
      </c>
    </row>
    <row r="181" spans="3:25">
      <c r="C181" s="43"/>
      <c r="D181" s="43"/>
      <c r="E181" s="17" t="str">
        <f>E173</f>
        <v>SUPCRB</v>
      </c>
      <c r="F181" s="17" t="str">
        <f>F173</f>
        <v>DSB1</v>
      </c>
      <c r="G181" s="17"/>
      <c r="H181" s="17" t="s">
        <v>70</v>
      </c>
      <c r="I181" s="17">
        <v>2040</v>
      </c>
      <c r="J181" s="17"/>
      <c r="K181" s="33">
        <f>(INDEX('91 Hydrogenated veg oil'!$D$4:$H$59,MATCH(SUP_Biofuels!W181,'91 Hydrogenated veg oil'!$B$4:$B$59,0),MATCH(SUP_Biofuels!$I181,'91 Hydrogenated veg oil'!$D$3:$H$3,0)))/INDEX('91 Hydrogenated veg oil'!$D$4:$H$59,MATCH(SUP_Biofuels!X181,'91 Hydrogenated veg oil'!$B$4:$B$59,0),MATCH(SUP_Biofuels!$I181,'91 Hydrogenated veg oil'!$D$3:$H$3,0))</f>
        <v>1.0364705882352943</v>
      </c>
      <c r="L181" s="33"/>
      <c r="M181" s="34">
        <f>INDEX('91 Hydrogenated veg oil'!$D$4:$H$59,MATCH(SUP_Biofuels!M$8,'91 Hydrogenated veg oil'!$B$4:$B$59,0),MATCH(SUP_Biofuels!$I181,'91 Hydrogenated veg oil'!$D$3:$H$3,0))</f>
        <v>25</v>
      </c>
      <c r="N181" s="35">
        <f>INDEX('91 Hydrogenated veg oil'!$D$4:$H$59,MATCH(SUP_Biofuels!N$8,'91 Hydrogenated veg oil'!$B$4:$B$59,0),MATCH(SUP_Biofuels!$I181,'91 Hydrogenated veg oil'!$D$3:$H$3,0))*7.45</f>
        <v>4.4580800000000007</v>
      </c>
      <c r="O181" s="35">
        <f>INDEX('91 Hydrogenated veg oil'!$D$4:$H$59,MATCH(SUP_Biofuels!O$8,'91 Hydrogenated veg oil'!$B$4:$B$59,0),MATCH(SUP_Biofuels!$I181,'91 Hydrogenated veg oil'!$D$3:$H$3,0))*7.45</f>
        <v>0.26316883116883116</v>
      </c>
      <c r="P181" s="35">
        <f>INDEX('91 Hydrogenated veg oil'!$D$4:$H$59,MATCH(SUP_Biofuels!P$8,'91 Hydrogenated veg oil'!$B$4:$B$59,0),MATCH(SUP_Biofuels!$I181,'91 Hydrogenated veg oil'!$D$3:$H$3,0))*7.45/3.6</f>
        <v>17.551468976592268</v>
      </c>
      <c r="Q181" s="33">
        <f>1-INDEX('91 Hydrogenated veg oil'!$D$4:$H$59,MATCH(SUP_Biofuels!Q$7,'91 Hydrogenated veg oil'!$B$4:$B$59,0),MATCH(SUP_Biofuels!$I181,'91 Hydrogenated veg oil'!$D$3:$H$3,0))/52-INDEX('91 Hydrogenated veg oil'!$D$4:$H$59,MATCH(SUP_Biofuels!Q$8,'91 Hydrogenated veg oil'!$B$4:$B$59,0),MATCH(SUP_Biofuels!$I181,'91 Hydrogenated veg oil'!$D$3:$H$3,0))/100</f>
        <v>0.96153846153846156</v>
      </c>
      <c r="R181" s="36">
        <f>$R$39</f>
        <v>3.1536000000000002E-2</v>
      </c>
      <c r="S181" s="34">
        <f>INDEX('91 Hydrogenated veg oil'!$D$4:$H$59,MATCH(SUP_Biofuels!S$8,'91 Hydrogenated veg oil'!$B$4:$B$59,0),MATCH(SUP_Biofuels!$I181,'91 Hydrogenated veg oil'!$D$3:$H$3,0))</f>
        <v>2</v>
      </c>
      <c r="T181" s="34"/>
      <c r="U181" s="44"/>
      <c r="V181" s="43"/>
      <c r="W181" s="17" t="str">
        <f>W173</f>
        <v>Feedstock Consumption, MWh/MWh Total Inputs</v>
      </c>
      <c r="X181" s="17" t="str">
        <f>X173</f>
        <v>HVO Output, MWh/MWh Total Input</v>
      </c>
      <c r="Y181" s="17"/>
    </row>
    <row r="182" spans="3:25">
      <c r="C182" s="43"/>
      <c r="D182" s="43"/>
      <c r="E182" s="17" t="str">
        <f>E174</f>
        <v>SUPH2</v>
      </c>
      <c r="F182" s="17"/>
      <c r="G182" s="17"/>
      <c r="H182" s="17"/>
      <c r="I182" s="17"/>
      <c r="J182" s="17"/>
      <c r="K182" s="33">
        <f>(INDEX('91 Hydrogenated veg oil'!$D$4:$H$59,MATCH(SUP_Biofuels!W182,'91 Hydrogenated veg oil'!$B$4:$B$59,0),MATCH(SUP_Biofuels!$I181,'91 Hydrogenated veg oil'!$D$3:$H$3,0)))/INDEX('91 Hydrogenated veg oil'!$D$4:$H$59,MATCH(SUP_Biofuels!X181,'91 Hydrogenated veg oil'!$B$4:$B$59,0),MATCH(SUP_Biofuels!$I181,'91 Hydrogenated veg oil'!$D$3:$H$3,0))</f>
        <v>0.12352941176470589</v>
      </c>
      <c r="L182" s="33"/>
      <c r="M182" s="39"/>
      <c r="N182" s="40"/>
      <c r="O182" s="40"/>
      <c r="P182" s="40"/>
      <c r="Q182" s="41"/>
      <c r="R182" s="42"/>
      <c r="S182" s="39"/>
      <c r="T182" s="39"/>
      <c r="U182" s="43"/>
      <c r="V182" s="43"/>
      <c r="W182" s="17" t="str">
        <f>W174</f>
        <v>Hydrogen Consumption, MWh/MWh Total Inputs</v>
      </c>
      <c r="X182" s="17"/>
      <c r="Y182" s="17"/>
    </row>
    <row r="183" spans="3:25">
      <c r="C183" s="43"/>
      <c r="D183" s="43"/>
      <c r="E183" s="17" t="str">
        <f>E175</f>
        <v>SUPELC</v>
      </c>
      <c r="F183" s="43"/>
      <c r="G183" s="43"/>
      <c r="H183" s="43"/>
      <c r="I183" s="43"/>
      <c r="J183" s="43"/>
      <c r="K183" s="33">
        <f>(INDEX('91 Hydrogenated veg oil'!$D$4:$H$59,MATCH(SUP_Biofuels!W183,'91 Hydrogenated veg oil'!$B$4:$B$59,0),MATCH(SUP_Biofuels!$I181,'91 Hydrogenated veg oil'!$D$3:$H$3,0)))/INDEX('91 Hydrogenated veg oil'!$D$4:$H$59,MATCH(SUP_Biofuels!X181,'91 Hydrogenated veg oil'!$B$4:$B$59,0),MATCH(SUP_Biofuels!$I181,'91 Hydrogenated veg oil'!$D$3:$H$3,0))</f>
        <v>9.4117647058823539E-3</v>
      </c>
      <c r="L183" s="43"/>
      <c r="M183" s="43"/>
      <c r="N183" s="43"/>
      <c r="O183" s="43"/>
      <c r="P183" s="40"/>
      <c r="Q183" s="43"/>
      <c r="R183" s="43"/>
      <c r="S183" s="43"/>
      <c r="T183" s="43"/>
      <c r="U183" s="43"/>
      <c r="V183" s="43"/>
      <c r="W183" s="17" t="str">
        <f>W175</f>
        <v>Electricity Consumption, MWh/MWh Total Inputs</v>
      </c>
      <c r="X183" s="43"/>
      <c r="Y183" s="43"/>
    </row>
    <row r="184" spans="3:25">
      <c r="C184" s="43"/>
      <c r="D184" s="43"/>
      <c r="E184" s="17" t="str">
        <f>E176</f>
        <v>SUPNGA,SUPSNG,SUPH2</v>
      </c>
      <c r="F184" s="43"/>
      <c r="G184" s="43"/>
      <c r="H184" s="43"/>
      <c r="I184" s="43"/>
      <c r="J184" s="43"/>
      <c r="K184" s="33">
        <f>(INDEX('91 Hydrogenated veg oil'!$D$4:$H$59,MATCH(SUP_Biofuels!W184,'91 Hydrogenated veg oil'!$B$4:$B$59,0),MATCH(SUP_Biofuels!$I181,'91 Hydrogenated veg oil'!$D$3:$H$3,0)))/INDEX('91 Hydrogenated veg oil'!$D$4:$H$59,MATCH(SUP_Biofuels!X181,'91 Hydrogenated veg oil'!$B$4:$B$59,0),MATCH(SUP_Biofuels!$I181,'91 Hydrogenated veg oil'!$D$3:$H$3,0))</f>
        <v>8.2352941176470594E-3</v>
      </c>
      <c r="L184" s="43"/>
      <c r="M184" s="43"/>
      <c r="N184" s="43"/>
      <c r="O184" s="43"/>
      <c r="P184" s="40"/>
      <c r="Q184" s="43"/>
      <c r="R184" s="43"/>
      <c r="S184" s="43"/>
      <c r="T184" s="43"/>
      <c r="U184" s="43"/>
      <c r="V184" s="43"/>
      <c r="W184" s="17" t="str">
        <f>W176</f>
        <v>Natural Gas Consumption, MWh/MWh Total Inputs</v>
      </c>
      <c r="X184" s="43"/>
      <c r="Y184" s="43"/>
    </row>
    <row r="185" spans="3:25">
      <c r="C185" s="43"/>
      <c r="D185" s="43"/>
      <c r="E185" s="43"/>
      <c r="F185" s="43"/>
      <c r="G185" s="17" t="str">
        <f>G177</f>
        <v>LVN</v>
      </c>
      <c r="H185" s="43"/>
      <c r="I185" s="43"/>
      <c r="J185" s="43"/>
      <c r="K185" s="43"/>
      <c r="L185" s="33">
        <f>INDEX('91 Hydrogenated veg oil'!$D$4:$H$59,MATCH(SUP_Biofuels!Y185,'91 Hydrogenated veg oil'!$B$4:$B$59,0),MATCH(SUP_Biofuels!$I181,'91 Hydrogenated veg oil'!$D$3:$H$3,0))*(SUM(K181:K184))</f>
        <v>7.772470588235296E-2</v>
      </c>
      <c r="M185" s="43"/>
      <c r="N185" s="43"/>
      <c r="O185" s="43"/>
      <c r="P185" s="40"/>
      <c r="Q185" s="43"/>
      <c r="R185" s="43"/>
      <c r="S185" s="43"/>
      <c r="T185" s="43"/>
      <c r="U185" s="43"/>
      <c r="V185" s="43"/>
      <c r="W185" s="43"/>
      <c r="X185" s="43"/>
      <c r="Y185" s="17" t="str">
        <f>Y177</f>
        <v>Naphta Output, MWh/MWh Total Input</v>
      </c>
    </row>
    <row r="186" spans="3:25">
      <c r="C186" s="43"/>
      <c r="D186" s="43"/>
      <c r="E186" s="43"/>
      <c r="F186" s="43"/>
      <c r="G186" s="43" t="s">
        <v>77</v>
      </c>
      <c r="H186" s="43"/>
      <c r="I186" s="43"/>
      <c r="J186" s="43"/>
      <c r="K186" s="43"/>
      <c r="L186" s="33">
        <f>INDEX('91 Hydrogenated veg oil'!$D$4:$H$59,MATCH(SUP_Biofuels!Y186,'91 Hydrogenated veg oil'!$B$4:$B$59,0),MATCH(SUP_Biofuels!$I181,'91 Hydrogenated veg oil'!$D$3:$H$3,0))*(SUM(K181:K184))</f>
        <v>3.886235294117648E-2</v>
      </c>
      <c r="M186" s="43"/>
      <c r="N186" s="43"/>
      <c r="O186" s="43"/>
      <c r="P186" s="40"/>
      <c r="Q186" s="43"/>
      <c r="R186" s="43"/>
      <c r="S186" s="43"/>
      <c r="T186" s="43"/>
      <c r="U186" s="43"/>
      <c r="V186" s="43"/>
      <c r="W186" s="43"/>
      <c r="X186" s="43"/>
      <c r="Y186" s="17" t="str">
        <f>Y178</f>
        <v>Fuel Gas Output, MWh/MWh Total Input</v>
      </c>
    </row>
    <row r="187" spans="3:25">
      <c r="C187" s="43"/>
      <c r="D187" s="43"/>
      <c r="E187" s="43"/>
      <c r="F187" s="43"/>
      <c r="G187" s="43" t="s">
        <v>78</v>
      </c>
      <c r="H187" s="43"/>
      <c r="I187" s="43"/>
      <c r="J187" s="43"/>
      <c r="K187" s="43"/>
      <c r="L187" s="33">
        <f>INDEX('91 Hydrogenated veg oil'!$D$4:$H$59,MATCH(SUP_Biofuels!Y187,'91 Hydrogenated veg oil'!$B$4:$B$59,0),MATCH(SUP_Biofuels!$I181,'91 Hydrogenated veg oil'!$D$3:$H$3,0))*(SUM(K181:K184))</f>
        <v>3.2385294117647068E-2</v>
      </c>
      <c r="M187" s="43"/>
      <c r="N187" s="43"/>
      <c r="O187" s="43"/>
      <c r="P187" s="40"/>
      <c r="Q187" s="43"/>
      <c r="R187" s="43"/>
      <c r="S187" s="43"/>
      <c r="T187" s="43"/>
      <c r="U187" s="43"/>
      <c r="V187" s="43"/>
      <c r="W187" s="43"/>
      <c r="X187" s="43"/>
      <c r="Y187" s="17" t="str">
        <f>Y179</f>
        <v>LPG Output, MWh/MWh Total Input</v>
      </c>
    </row>
    <row r="188" spans="3:25">
      <c r="C188" s="43"/>
      <c r="D188" s="43"/>
      <c r="E188" s="43"/>
      <c r="F188" s="43"/>
      <c r="G188" s="7" t="s">
        <v>216</v>
      </c>
      <c r="H188" s="43"/>
      <c r="I188" s="43"/>
      <c r="J188" s="43"/>
      <c r="K188" s="43"/>
      <c r="L188" s="33">
        <f>INDEX('91 Hydrogenated veg oil'!$D$4:$H$59,MATCH(SUP_Biofuels!Y188,'91 Hydrogenated veg oil'!$B$4:$B$59,0),MATCH(SUP_Biofuels!$I181,'91 Hydrogenated veg oil'!$D$3:$H$3,0))*(SUM(K181:K184))</f>
        <v>4.1865352941176477E-3</v>
      </c>
      <c r="M188" s="43"/>
      <c r="N188" s="43"/>
      <c r="O188" s="43"/>
      <c r="P188" s="40"/>
      <c r="Q188" s="43"/>
      <c r="R188" s="43"/>
      <c r="S188" s="43"/>
      <c r="T188" s="43"/>
      <c r="U188" s="43"/>
      <c r="V188" s="43"/>
      <c r="W188" s="43"/>
      <c r="X188" s="43"/>
      <c r="Y188" s="17" t="str">
        <f>Y180</f>
        <v>District Heating Output, MWh/MWh Total input</v>
      </c>
    </row>
    <row r="189" spans="3:25">
      <c r="C189" s="43"/>
      <c r="D189" s="43"/>
      <c r="E189" s="17" t="str">
        <f>E181</f>
        <v>SUPCRB</v>
      </c>
      <c r="F189" s="17" t="str">
        <f>F181</f>
        <v>DSB1</v>
      </c>
      <c r="G189" s="17"/>
      <c r="H189" s="17" t="s">
        <v>70</v>
      </c>
      <c r="I189" s="17">
        <v>2050</v>
      </c>
      <c r="J189" s="17"/>
      <c r="K189" s="33">
        <f>(INDEX('91 Hydrogenated veg oil'!$D$4:$H$59,MATCH(SUP_Biofuels!W189,'91 Hydrogenated veg oil'!$B$4:$B$59,0),MATCH(SUP_Biofuels!$I189,'91 Hydrogenated veg oil'!$D$3:$H$3,0)))/INDEX('91 Hydrogenated veg oil'!$D$4:$H$59,MATCH(SUP_Biofuels!X189,'91 Hydrogenated veg oil'!$B$4:$B$59,0),MATCH(SUP_Biofuels!$I189,'91 Hydrogenated veg oil'!$D$3:$H$3,0))</f>
        <v>1.0364705882352943</v>
      </c>
      <c r="L189" s="33"/>
      <c r="M189" s="34">
        <f>INDEX('91 Hydrogenated veg oil'!$D$4:$H$59,MATCH(SUP_Biofuels!M$8,'91 Hydrogenated veg oil'!$B$4:$B$59,0),MATCH(SUP_Biofuels!$I189,'91 Hydrogenated veg oil'!$D$3:$H$3,0))</f>
        <v>25</v>
      </c>
      <c r="N189" s="35">
        <f>INDEX('91 Hydrogenated veg oil'!$D$4:$H$59,MATCH(SUP_Biofuels!N$8,'91 Hydrogenated veg oil'!$B$4:$B$59,0),MATCH(SUP_Biofuels!$I189,'91 Hydrogenated veg oil'!$D$3:$H$3,0))*7.45</f>
        <v>4.3075075609322191</v>
      </c>
      <c r="O189" s="35">
        <f>INDEX('91 Hydrogenated veg oil'!$D$4:$H$59,MATCH(SUP_Biofuels!O$8,'91 Hydrogenated veg oil'!$B$4:$B$59,0),MATCH(SUP_Biofuels!$I189,'91 Hydrogenated veg oil'!$D$3:$H$3,0))*7.45</f>
        <v>0.26507738836505962</v>
      </c>
      <c r="P189" s="35">
        <f>INDEX('91 Hydrogenated veg oil'!$D$4:$H$59,MATCH(SUP_Biofuels!P$8,'91 Hydrogenated veg oil'!$B$4:$B$59,0),MATCH(SUP_Biofuels!$I189,'91 Hydrogenated veg oil'!$D$3:$H$3,0))*7.45/3.6</f>
        <v>17.551468976592265</v>
      </c>
      <c r="Q189" s="33">
        <f>1-INDEX('91 Hydrogenated veg oil'!$D$4:$H$59,MATCH(SUP_Biofuels!Q$7,'91 Hydrogenated veg oil'!$B$4:$B$59,0),MATCH(SUP_Biofuels!$I189,'91 Hydrogenated veg oil'!$D$3:$H$3,0))/52-INDEX('91 Hydrogenated veg oil'!$D$4:$H$59,MATCH(SUP_Biofuels!Q$8,'91 Hydrogenated veg oil'!$B$4:$B$59,0),MATCH(SUP_Biofuels!$I189,'91 Hydrogenated veg oil'!$D$3:$H$3,0))/100</f>
        <v>0.96153846153846156</v>
      </c>
      <c r="R189" s="36">
        <f>$R$39</f>
        <v>3.1536000000000002E-2</v>
      </c>
      <c r="S189" s="34">
        <f>INDEX('91 Hydrogenated veg oil'!$D$4:$H$59,MATCH(SUP_Biofuels!S$8,'91 Hydrogenated veg oil'!$B$4:$B$59,0),MATCH(SUP_Biofuels!$I189,'91 Hydrogenated veg oil'!$D$3:$H$3,0))</f>
        <v>2</v>
      </c>
      <c r="T189" s="34"/>
      <c r="U189" s="44"/>
      <c r="V189" s="43"/>
      <c r="W189" s="17" t="str">
        <f>W181</f>
        <v>Feedstock Consumption, MWh/MWh Total Inputs</v>
      </c>
      <c r="X189" s="17" t="str">
        <f>X181</f>
        <v>HVO Output, MWh/MWh Total Input</v>
      </c>
      <c r="Y189" s="17"/>
    </row>
    <row r="190" spans="3:25">
      <c r="C190" s="43"/>
      <c r="D190" s="43"/>
      <c r="E190" s="17" t="str">
        <f>E182</f>
        <v>SUPH2</v>
      </c>
      <c r="F190" s="17"/>
      <c r="G190" s="17"/>
      <c r="H190" s="17"/>
      <c r="I190" s="17"/>
      <c r="J190" s="17"/>
      <c r="K190" s="33">
        <f>(INDEX('91 Hydrogenated veg oil'!$D$4:$H$59,MATCH(SUP_Biofuels!W190,'91 Hydrogenated veg oil'!$B$4:$B$59,0),MATCH(SUP_Biofuels!$I189,'91 Hydrogenated veg oil'!$D$3:$H$3,0)))/INDEX('91 Hydrogenated veg oil'!$D$4:$H$59,MATCH(SUP_Biofuels!X189,'91 Hydrogenated veg oil'!$B$4:$B$59,0),MATCH(SUP_Biofuels!$I189,'91 Hydrogenated veg oil'!$D$3:$H$3,0))</f>
        <v>0.12352941176470589</v>
      </c>
      <c r="L190" s="33"/>
      <c r="M190" s="39"/>
      <c r="N190" s="40"/>
      <c r="O190" s="40"/>
      <c r="P190" s="40"/>
      <c r="Q190" s="41"/>
      <c r="R190" s="42"/>
      <c r="S190" s="39"/>
      <c r="T190" s="39"/>
      <c r="U190" s="43"/>
      <c r="V190" s="43"/>
      <c r="W190" s="17" t="str">
        <f>W182</f>
        <v>Hydrogen Consumption, MWh/MWh Total Inputs</v>
      </c>
      <c r="X190" s="17"/>
      <c r="Y190" s="17"/>
    </row>
    <row r="191" spans="3:25" ht="15.6">
      <c r="C191" s="43"/>
      <c r="D191" s="32"/>
      <c r="E191" s="17" t="str">
        <f>E183</f>
        <v>SUPELC</v>
      </c>
      <c r="F191" s="43"/>
      <c r="G191" s="43"/>
      <c r="H191" s="43"/>
      <c r="I191" s="43"/>
      <c r="J191" s="43"/>
      <c r="K191" s="33">
        <f>(INDEX('91 Hydrogenated veg oil'!$D$4:$H$59,MATCH(SUP_Biofuels!W191,'91 Hydrogenated veg oil'!$B$4:$B$59,0),MATCH(SUP_Biofuels!$I189,'91 Hydrogenated veg oil'!$D$3:$H$3,0)))/INDEX('91 Hydrogenated veg oil'!$D$4:$H$59,MATCH(SUP_Biofuels!X189,'91 Hydrogenated veg oil'!$B$4:$B$59,0),MATCH(SUP_Biofuels!$I189,'91 Hydrogenated veg oil'!$D$3:$H$3,0))</f>
        <v>9.4117647058823539E-3</v>
      </c>
      <c r="L191" s="43"/>
      <c r="M191" s="43"/>
      <c r="N191" s="43"/>
      <c r="O191" s="43"/>
      <c r="P191" s="40"/>
      <c r="Q191" s="43"/>
      <c r="R191" s="43"/>
      <c r="S191" s="43"/>
      <c r="T191" s="43"/>
      <c r="U191" s="43"/>
      <c r="V191" s="43"/>
      <c r="W191" s="17" t="str">
        <f>W183</f>
        <v>Electricity Consumption, MWh/MWh Total Inputs</v>
      </c>
      <c r="X191" s="43"/>
      <c r="Y191" s="43"/>
    </row>
    <row r="192" spans="3:25">
      <c r="C192" s="43"/>
      <c r="D192" s="17"/>
      <c r="E192" s="17" t="str">
        <f>E184</f>
        <v>SUPNGA,SUPSNG,SUPH2</v>
      </c>
      <c r="F192" s="43"/>
      <c r="G192" s="43"/>
      <c r="H192" s="43"/>
      <c r="I192" s="43"/>
      <c r="J192" s="43"/>
      <c r="K192" s="33">
        <f>(INDEX('91 Hydrogenated veg oil'!$D$4:$H$59,MATCH(SUP_Biofuels!W192,'91 Hydrogenated veg oil'!$B$4:$B$59,0),MATCH(SUP_Biofuels!$I189,'91 Hydrogenated veg oil'!$D$3:$H$3,0)))/INDEX('91 Hydrogenated veg oil'!$D$4:$H$59,MATCH(SUP_Biofuels!X189,'91 Hydrogenated veg oil'!$B$4:$B$59,0),MATCH(SUP_Biofuels!$I189,'91 Hydrogenated veg oil'!$D$3:$H$3,0))</f>
        <v>8.2352941176470594E-3</v>
      </c>
      <c r="L192" s="43"/>
      <c r="M192" s="43"/>
      <c r="N192" s="43"/>
      <c r="O192" s="43"/>
      <c r="P192" s="40"/>
      <c r="Q192" s="43"/>
      <c r="R192" s="43"/>
      <c r="S192" s="43"/>
      <c r="T192" s="43"/>
      <c r="U192" s="43"/>
      <c r="V192" s="43"/>
      <c r="W192" s="17" t="str">
        <f>W184</f>
        <v>Natural Gas Consumption, MWh/MWh Total Inputs</v>
      </c>
      <c r="X192" s="43"/>
      <c r="Y192" s="43"/>
    </row>
    <row r="193" spans="3:25">
      <c r="C193" s="43"/>
      <c r="D193" s="43"/>
      <c r="E193" s="43"/>
      <c r="F193" s="43"/>
      <c r="G193" s="17" t="str">
        <f>G185</f>
        <v>LVN</v>
      </c>
      <c r="H193" s="43"/>
      <c r="I193" s="43"/>
      <c r="J193" s="43"/>
      <c r="K193" s="43"/>
      <c r="L193" s="33">
        <f>INDEX('91 Hydrogenated veg oil'!$D$4:$H$59,MATCH(SUP_Biofuels!Y193,'91 Hydrogenated veg oil'!$B$4:$B$59,0),MATCH(SUP_Biofuels!$I189,'91 Hydrogenated veg oil'!$D$3:$H$3,0))*(SUM(K189:K192))</f>
        <v>7.772470588235296E-2</v>
      </c>
      <c r="M193" s="43"/>
      <c r="N193" s="43"/>
      <c r="O193" s="43"/>
      <c r="P193" s="40"/>
      <c r="Q193" s="43"/>
      <c r="R193" s="43"/>
      <c r="S193" s="43"/>
      <c r="T193" s="43"/>
      <c r="U193" s="43"/>
      <c r="V193" s="43"/>
      <c r="W193" s="43"/>
      <c r="X193" s="43"/>
      <c r="Y193" s="17" t="str">
        <f>Y185</f>
        <v>Naphta Output, MWh/MWh Total Input</v>
      </c>
    </row>
    <row r="194" spans="3:25">
      <c r="C194" s="43"/>
      <c r="D194" s="43"/>
      <c r="E194" s="43"/>
      <c r="F194" s="43"/>
      <c r="G194" s="43" t="s">
        <v>77</v>
      </c>
      <c r="H194" s="43"/>
      <c r="I194" s="43"/>
      <c r="J194" s="43"/>
      <c r="K194" s="43"/>
      <c r="L194" s="33">
        <f>INDEX('91 Hydrogenated veg oil'!$D$4:$H$59,MATCH(SUP_Biofuels!Y194,'91 Hydrogenated veg oil'!$B$4:$B$59,0),MATCH(SUP_Biofuels!$I189,'91 Hydrogenated veg oil'!$D$3:$H$3,0))*(SUM(K189:K192))</f>
        <v>3.886235294117648E-2</v>
      </c>
      <c r="M194" s="43"/>
      <c r="N194" s="43"/>
      <c r="O194" s="43"/>
      <c r="P194" s="40"/>
      <c r="Q194" s="43"/>
      <c r="R194" s="43"/>
      <c r="S194" s="43"/>
      <c r="T194" s="43"/>
      <c r="U194" s="43"/>
      <c r="V194" s="43"/>
      <c r="W194" s="43"/>
      <c r="X194" s="43"/>
      <c r="Y194" s="43" t="str">
        <f>Y186</f>
        <v>Fuel Gas Output, MWh/MWh Total Input</v>
      </c>
    </row>
    <row r="195" spans="3:25">
      <c r="C195" s="43"/>
      <c r="D195" s="43"/>
      <c r="E195" s="43"/>
      <c r="F195" s="43"/>
      <c r="G195" s="43" t="s">
        <v>78</v>
      </c>
      <c r="H195" s="43"/>
      <c r="I195" s="43"/>
      <c r="J195" s="43"/>
      <c r="K195" s="43"/>
      <c r="L195" s="33">
        <f>INDEX('91 Hydrogenated veg oil'!$D$4:$H$59,MATCH(SUP_Biofuels!Y195,'91 Hydrogenated veg oil'!$B$4:$B$59,0),MATCH(SUP_Biofuels!$I189,'91 Hydrogenated veg oil'!$D$3:$H$3,0))*(SUM(K189:K192))</f>
        <v>3.2385294117647068E-2</v>
      </c>
      <c r="M195" s="43"/>
      <c r="N195" s="43"/>
      <c r="O195" s="43"/>
      <c r="P195" s="40"/>
      <c r="Q195" s="43"/>
      <c r="R195" s="43"/>
      <c r="S195" s="43"/>
      <c r="T195" s="43"/>
      <c r="U195" s="43"/>
      <c r="V195" s="43"/>
      <c r="W195" s="43"/>
      <c r="X195" s="43"/>
      <c r="Y195" s="43" t="str">
        <f>Y187</f>
        <v>LPG Output, MWh/MWh Total Input</v>
      </c>
    </row>
    <row r="196" spans="3:25" ht="15" thickBot="1">
      <c r="C196" s="46"/>
      <c r="D196" s="46"/>
      <c r="E196" s="46"/>
      <c r="F196" s="46"/>
      <c r="G196" s="7" t="s">
        <v>216</v>
      </c>
      <c r="H196" s="46"/>
      <c r="I196" s="46"/>
      <c r="J196" s="46"/>
      <c r="K196" s="46"/>
      <c r="L196" s="48">
        <f>INDEX('91 Hydrogenated veg oil'!$D$4:$H$59,MATCH(SUP_Biofuels!Y196,'91 Hydrogenated veg oil'!$B$4:$B$59,0),MATCH(SUP_Biofuels!$I189,'91 Hydrogenated veg oil'!$D$3:$H$3,0))*(SUM(K189:K192))</f>
        <v>4.1865352941176477E-3</v>
      </c>
      <c r="M196" s="46"/>
      <c r="N196" s="46"/>
      <c r="O196" s="46"/>
      <c r="P196" s="49"/>
      <c r="Q196" s="46"/>
      <c r="R196" s="46"/>
      <c r="S196" s="46"/>
      <c r="T196" s="46"/>
      <c r="U196" s="46"/>
      <c r="V196" s="46"/>
      <c r="W196" s="46"/>
      <c r="X196" s="46"/>
      <c r="Y196" s="47" t="str">
        <f>Y188</f>
        <v>District Heating Output, MWh/MWh Total input</v>
      </c>
    </row>
    <row r="197" spans="3:25" ht="15.6">
      <c r="C197" s="17" t="str">
        <f>"SUP"&amp;F197&amp;RIGHT(E197,3)&amp;IF(RIGHT(D197,7)="Central","C1","D1")</f>
        <v>SUPKRB1RPSC1</v>
      </c>
      <c r="D197" s="32" t="str">
        <f>'92 HVO jet fuel'!D2&amp;" Central"</f>
        <v>HVO Jet Fuel Central</v>
      </c>
      <c r="E197" s="17" t="s">
        <v>72</v>
      </c>
      <c r="F197" s="17" t="s">
        <v>79</v>
      </c>
      <c r="G197" s="17"/>
      <c r="H197" s="17" t="s">
        <v>70</v>
      </c>
      <c r="I197" s="17">
        <f>'93 1st generation ethanol'!$D$3</f>
        <v>2015</v>
      </c>
      <c r="J197" s="19">
        <v>2030</v>
      </c>
      <c r="K197" s="33">
        <f>(INDEX('92 HVO jet fuel'!$D$4:$H$59,MATCH(SUP_Biofuels!W197,'92 HVO jet fuel'!$B$4:$B$59,0),MATCH(SUP_Biofuels!$I197,'92 HVO jet fuel'!$D$3:$H$3,0)))/INDEX('92 HVO jet fuel'!$D$4:$H$59,MATCH(SUP_Biofuels!X197,'92 HVO jet fuel'!$B$4:$B$59,0),MATCH(SUP_Biofuels!$I197,'92 HVO jet fuel'!$D$3:$H$3,0))</f>
        <v>1.1803030303030302</v>
      </c>
      <c r="L197" s="33"/>
      <c r="M197" s="34">
        <f>INDEX('92 HVO jet fuel'!$D$4:$H$59,MATCH(SUP_Biofuels!M$8,'92 HVO jet fuel'!$B$4:$B$59,0),MATCH(SUP_Biofuels!$I197,'92 HVO jet fuel'!$D$3:$H$3,0))</f>
        <v>25</v>
      </c>
      <c r="N197" s="35">
        <f>INDEX('92 HVO jet fuel'!$D$4:$H$59,MATCH(SUP_Biofuels!N$8,'92 HVO jet fuel'!$B$4:$B$59,0),MATCH(SUP_Biofuels!$I197,'92 HVO jet fuel'!$D$3:$H$3,0))*7.45</f>
        <v>7.1397223466188997</v>
      </c>
      <c r="O197" s="35">
        <f>INDEX('92 HVO jet fuel'!$D$4:$H$59,MATCH(SUP_Biofuels!O$8,'92 HVO jet fuel'!$B$4:$B$59,0),MATCH(SUP_Biofuels!$I197,'92 HVO jet fuel'!$D$3:$H$3,0))*7.45</f>
        <v>0.26690550828481863</v>
      </c>
      <c r="P197" s="35">
        <f>INDEX('92 HVO jet fuel'!$D$4:$H$59,MATCH(SUP_Biofuels!P$8,'92 HVO jet fuel'!$B$4:$B$59,0),MATCH(SUP_Biofuels!$I197,'92 HVO jet fuel'!$D$3:$H$3,0))*7.45/3.6</f>
        <v>17.591358678811794</v>
      </c>
      <c r="Q197" s="33">
        <f>1-INDEX('92 HVO jet fuel'!$D$4:$H$59,MATCH(SUP_Biofuels!Q$7,'92 HVO jet fuel'!$B$4:$B$59,0),MATCH(SUP_Biofuels!$I197,'92 HVO jet fuel'!$D$3:$H$3,0))/52-INDEX('92 HVO jet fuel'!$D$4:$H$59,MATCH(SUP_Biofuels!Q$8,'92 HVO jet fuel'!$B$4:$B$59,0),MATCH(SUP_Biofuels!$I197,'92 HVO jet fuel'!$D$3:$H$3,0))/100</f>
        <v>0.96153846153846156</v>
      </c>
      <c r="R197" s="36">
        <f>$R$39</f>
        <v>3.1536000000000002E-2</v>
      </c>
      <c r="S197" s="34">
        <f>INDEX('92 HVO jet fuel'!$D$4:$H$59,MATCH(SUP_Biofuels!S$8,'92 HVO jet fuel'!$B$4:$B$59,0),MATCH(SUP_Biofuels!$I197,'92 HVO jet fuel'!$D$3:$H$3,0))</f>
        <v>2</v>
      </c>
      <c r="T197" s="34"/>
      <c r="U197" s="37"/>
      <c r="V197" s="38" t="s">
        <v>74</v>
      </c>
      <c r="W197" s="17" t="str">
        <f>'92 HVO jet fuel'!B9</f>
        <v>Feedstock Consumption, MWh/MWh Total Inputs</v>
      </c>
      <c r="X197" s="17" t="str">
        <f>'92 HVO jet fuel'!B14</f>
        <v>HVO Jet Output, GJ/GJ Total Input</v>
      </c>
      <c r="Y197" s="17"/>
    </row>
    <row r="198" spans="3:25">
      <c r="C198" s="17"/>
      <c r="D198" s="17"/>
      <c r="E198" s="17" t="s">
        <v>1386</v>
      </c>
      <c r="F198" s="17"/>
      <c r="G198" s="17"/>
      <c r="H198" s="17"/>
      <c r="I198" s="17"/>
      <c r="J198" s="17"/>
      <c r="K198" s="33">
        <f>(INDEX('92 HVO jet fuel'!$D$4:$H$59,MATCH(SUP_Biofuels!W198,'92 HVO jet fuel'!$B$4:$B$59,0),MATCH(SUP_Biofuels!$I197,'92 HVO jet fuel'!$D$3:$H$3,0)))/INDEX('92 HVO jet fuel'!$D$4:$H$59,MATCH(SUP_Biofuels!X197,'92 HVO jet fuel'!$B$4:$B$59,0),MATCH(SUP_Biofuels!$I197,'92 HVO jet fuel'!$D$3:$H$3,0))</f>
        <v>0.15</v>
      </c>
      <c r="L198" s="33"/>
      <c r="M198" s="39"/>
      <c r="N198" s="40"/>
      <c r="O198" s="40"/>
      <c r="P198" s="40"/>
      <c r="Q198" s="41"/>
      <c r="R198" s="42"/>
      <c r="S198" s="39"/>
      <c r="T198" s="39"/>
      <c r="U198" s="43"/>
      <c r="V198" s="43"/>
      <c r="W198" s="17" t="str">
        <f>'92 HVO jet fuel'!B10</f>
        <v>Hydrogen Consumption, MWh/MWh Total Inputs</v>
      </c>
      <c r="X198" s="17"/>
      <c r="Y198" s="17"/>
    </row>
    <row r="199" spans="3:25">
      <c r="C199" s="43"/>
      <c r="D199" s="43"/>
      <c r="E199" s="43" t="s">
        <v>71</v>
      </c>
      <c r="F199" s="43"/>
      <c r="G199" s="43"/>
      <c r="H199" s="43"/>
      <c r="I199" s="43"/>
      <c r="J199" s="43"/>
      <c r="K199" s="33">
        <f>(INDEX('92 HVO jet fuel'!$D$4:$H$59,MATCH(SUP_Biofuels!W199,'92 HVO jet fuel'!$B$4:$B$59,0),MATCH(SUP_Biofuels!$I197,'92 HVO jet fuel'!$D$3:$H$3,0)))/INDEX('92 HVO jet fuel'!$D$4:$H$59,MATCH(SUP_Biofuels!X197,'92 HVO jet fuel'!$B$4:$B$59,0),MATCH(SUP_Biofuels!$I197,'92 HVO jet fuel'!$D$3:$H$3,0))</f>
        <v>4.5454545454545452E-3</v>
      </c>
      <c r="L199" s="43"/>
      <c r="M199" s="43"/>
      <c r="N199" s="43"/>
      <c r="O199" s="43"/>
      <c r="P199" s="40"/>
      <c r="Q199" s="43"/>
      <c r="R199" s="43"/>
      <c r="S199" s="43"/>
      <c r="T199" s="43"/>
      <c r="U199" s="43"/>
      <c r="V199" s="43"/>
      <c r="W199" s="17" t="str">
        <f>'92 HVO jet fuel'!B11</f>
        <v>Electricity Consumption, MWh/MWh Total Inputs</v>
      </c>
      <c r="X199" s="43"/>
      <c r="Y199" s="43"/>
    </row>
    <row r="200" spans="3:25">
      <c r="C200" s="43"/>
      <c r="D200" s="43"/>
      <c r="E200" s="43" t="s">
        <v>1760</v>
      </c>
      <c r="F200" s="43"/>
      <c r="G200" s="43"/>
      <c r="H200" s="43"/>
      <c r="I200" s="43"/>
      <c r="J200" s="43"/>
      <c r="K200" s="33">
        <f>(INDEX('92 HVO jet fuel'!$D$4:$H$59,MATCH(SUP_Biofuels!W200,'92 HVO jet fuel'!$B$4:$B$59,0),MATCH(SUP_Biofuels!$I197,'92 HVO jet fuel'!$D$3:$H$3,0)))/INDEX('92 HVO jet fuel'!$D$4:$H$59,MATCH(SUP_Biofuels!X197,'92 HVO jet fuel'!$B$4:$B$59,0),MATCH(SUP_Biofuels!$I197,'92 HVO jet fuel'!$D$3:$H$3,0))</f>
        <v>0.1803030303030303</v>
      </c>
      <c r="L200" s="43"/>
      <c r="M200" s="43"/>
      <c r="N200" s="43"/>
      <c r="O200" s="43"/>
      <c r="P200" s="40"/>
      <c r="Q200" s="43"/>
      <c r="R200" s="43"/>
      <c r="S200" s="43"/>
      <c r="T200" s="43"/>
      <c r="U200" s="43"/>
      <c r="V200" s="43"/>
      <c r="W200" s="17" t="str">
        <f>'92 HVO jet fuel'!B12</f>
        <v>Natural Gas Consumption, MWh/MWh Total Inputs</v>
      </c>
      <c r="X200" s="43"/>
      <c r="Y200" s="43"/>
    </row>
    <row r="201" spans="3:25">
      <c r="C201" s="43"/>
      <c r="D201" s="43"/>
      <c r="E201" s="43"/>
      <c r="F201" s="43"/>
      <c r="G201" s="43" t="s">
        <v>76</v>
      </c>
      <c r="H201" s="43"/>
      <c r="I201" s="43"/>
      <c r="J201" s="43"/>
      <c r="K201" s="43"/>
      <c r="L201" s="33">
        <f>INDEX('92 HVO jet fuel'!$D$4:$H$59,MATCH(SUP_Biofuels!Y201,'92 HVO jet fuel'!$B$4:$B$59,0),MATCH(SUP_Biofuels!$I197,'92 HVO jet fuel'!$D$3:$H$3,0))*(SUM(K197:K200))</f>
        <v>9.8636363636363647E-2</v>
      </c>
      <c r="M201" s="43"/>
      <c r="N201" s="43"/>
      <c r="O201" s="43"/>
      <c r="P201" s="40"/>
      <c r="Q201" s="43"/>
      <c r="R201" s="43"/>
      <c r="S201" s="43"/>
      <c r="T201" s="43"/>
      <c r="U201" s="43"/>
      <c r="V201" s="43"/>
      <c r="W201" s="43"/>
      <c r="X201" s="43"/>
      <c r="Y201" s="43" t="str">
        <f>'92 HVO jet fuel'!B15</f>
        <v>Naphta Output, MWh/MWh Total Input</v>
      </c>
    </row>
    <row r="202" spans="3:25">
      <c r="C202" s="43"/>
      <c r="D202" s="43"/>
      <c r="E202" s="43"/>
      <c r="F202" s="43"/>
      <c r="G202" s="43" t="s">
        <v>78</v>
      </c>
      <c r="H202" s="43"/>
      <c r="I202" s="43"/>
      <c r="J202" s="43"/>
      <c r="K202" s="43"/>
      <c r="L202" s="33">
        <f>INDEX('92 HVO jet fuel'!$D$4:$H$59,MATCH(SUP_Biofuels!Y202,'92 HVO jet fuel'!$B$4:$B$59,0),MATCH(SUP_Biofuels!$I197,'92 HVO jet fuel'!$D$3:$H$3,0))*(SUM(K197:K200))</f>
        <v>0.13999999999999999</v>
      </c>
      <c r="M202" s="43"/>
      <c r="N202" s="43"/>
      <c r="O202" s="43"/>
      <c r="P202" s="40"/>
      <c r="Q202" s="43"/>
      <c r="R202" s="43"/>
      <c r="S202" s="43"/>
      <c r="T202" s="43"/>
      <c r="U202" s="43"/>
      <c r="V202" s="43"/>
      <c r="W202" s="43"/>
      <c r="X202" s="43"/>
      <c r="Y202" s="43" t="str">
        <f>'92 HVO jet fuel'!B16</f>
        <v>LPG Output, MWh/MWh Total Input</v>
      </c>
    </row>
    <row r="203" spans="3:25">
      <c r="C203" s="43"/>
      <c r="D203" s="43"/>
      <c r="E203" s="43"/>
      <c r="F203" s="43"/>
      <c r="G203" s="43" t="s">
        <v>77</v>
      </c>
      <c r="H203" s="43"/>
      <c r="I203" s="43"/>
      <c r="J203" s="43"/>
      <c r="K203" s="43"/>
      <c r="L203" s="33">
        <f>INDEX('92 HVO jet fuel'!$D$4:$H$59,MATCH(SUP_Biofuels!Y203,'92 HVO jet fuel'!$B$4:$B$59,0),MATCH(SUP_Biofuels!$I197,'92 HVO jet fuel'!$D$3:$H$3,0))*(SUM(K197:K200))</f>
        <v>0.15151515151515152</v>
      </c>
      <c r="M203" s="43"/>
      <c r="N203" s="43"/>
      <c r="O203" s="43"/>
      <c r="P203" s="40"/>
      <c r="Q203" s="43"/>
      <c r="R203" s="43"/>
      <c r="S203" s="43"/>
      <c r="T203" s="43"/>
      <c r="U203" s="43"/>
      <c r="V203" s="43"/>
      <c r="W203" s="43"/>
      <c r="X203" s="43"/>
      <c r="Y203" s="43" t="str">
        <f>'92 HVO jet fuel'!B17</f>
        <v>Fuel Gas Output, MWh/MWh Total Input</v>
      </c>
    </row>
    <row r="204" spans="3:25">
      <c r="C204" s="43"/>
      <c r="D204" s="43"/>
      <c r="E204" s="43"/>
      <c r="F204" s="43"/>
      <c r="G204" s="7" t="s">
        <v>216</v>
      </c>
      <c r="H204" s="43"/>
      <c r="I204" s="43"/>
      <c r="J204" s="43"/>
      <c r="K204" s="43"/>
      <c r="L204" s="33">
        <f>INDEX('92 HVO jet fuel'!$D$4:$H$59,MATCH(SUP_Biofuels!Y204,'92 HVO jet fuel'!$B$4:$B$59,0),MATCH(SUP_Biofuels!$I197,'92 HVO jet fuel'!$D$3:$H$3,0))*(SUM(K197:K200))</f>
        <v>4.0227272727272723E-2</v>
      </c>
      <c r="M204" s="43"/>
      <c r="N204" s="43"/>
      <c r="O204" s="43"/>
      <c r="P204" s="40"/>
      <c r="Q204" s="43"/>
      <c r="R204" s="43"/>
      <c r="S204" s="43"/>
      <c r="T204" s="43"/>
      <c r="U204" s="43"/>
      <c r="V204" s="43"/>
      <c r="W204" s="43"/>
      <c r="X204" s="43"/>
      <c r="Y204" s="43" t="str">
        <f>'92 HVO jet fuel'!B18</f>
        <v>District Heating Output, MWh/MWh Total input</v>
      </c>
    </row>
    <row r="205" spans="3:25" ht="15.6">
      <c r="C205" s="17"/>
      <c r="D205" s="32"/>
      <c r="E205" s="17" t="str">
        <f>E197</f>
        <v>SUPRPS</v>
      </c>
      <c r="F205" s="17" t="str">
        <f>F197</f>
        <v>KRB1</v>
      </c>
      <c r="G205" s="17"/>
      <c r="H205" s="17" t="s">
        <v>70</v>
      </c>
      <c r="I205" s="17">
        <v>2020</v>
      </c>
      <c r="J205" s="17"/>
      <c r="K205" s="33">
        <f>(INDEX('92 HVO jet fuel'!$D$4:$H$59,MATCH(SUP_Biofuels!W205,'92 HVO jet fuel'!$B$4:$B$59,0),MATCH(SUP_Biofuels!$I205,'92 HVO jet fuel'!$D$3:$H$3,0)))/INDEX('92 HVO jet fuel'!$D$4:$H$59,MATCH(SUP_Biofuels!X205,'92 HVO jet fuel'!$B$4:$B$59,0),MATCH(SUP_Biofuels!$I205,'92 HVO jet fuel'!$D$3:$H$3,0))</f>
        <v>1.1803030303030302</v>
      </c>
      <c r="L205" s="33"/>
      <c r="M205" s="34">
        <f>INDEX('92 HVO jet fuel'!$D$4:$H$59,MATCH(SUP_Biofuels!M$8,'92 HVO jet fuel'!$B$4:$B$59,0),MATCH(SUP_Biofuels!$I205,'92 HVO jet fuel'!$D$3:$H$3,0))</f>
        <v>25</v>
      </c>
      <c r="N205" s="35">
        <f>INDEX('92 HVO jet fuel'!$D$4:$H$59,MATCH(SUP_Biofuels!N$8,'92 HVO jet fuel'!$B$4:$B$59,0),MATCH(SUP_Biofuels!$I205,'92 HVO jet fuel'!$D$3:$H$3,0))*7.45</f>
        <v>7.1397223466188997</v>
      </c>
      <c r="O205" s="35">
        <f>INDEX('92 HVO jet fuel'!$D$4:$H$59,MATCH(SUP_Biofuels!O$8,'92 HVO jet fuel'!$B$4:$B$59,0),MATCH(SUP_Biofuels!$I205,'92 HVO jet fuel'!$D$3:$H$3,0))*7.45</f>
        <v>0.26690550828481863</v>
      </c>
      <c r="P205" s="35">
        <f>INDEX('92 HVO jet fuel'!$D$4:$H$59,MATCH(SUP_Biofuels!P$8,'92 HVO jet fuel'!$B$4:$B$59,0),MATCH(SUP_Biofuels!$I205,'92 HVO jet fuel'!$D$3:$H$3,0))*7.45/3.6</f>
        <v>17.591358678811794</v>
      </c>
      <c r="Q205" s="33">
        <f>1-INDEX('92 HVO jet fuel'!$D$4:$H$59,MATCH(SUP_Biofuels!Q$7,'92 HVO jet fuel'!$B$4:$B$59,0),MATCH(SUP_Biofuels!$I205,'92 HVO jet fuel'!$D$3:$H$3,0))/52-INDEX('92 HVO jet fuel'!$D$4:$H$59,MATCH(SUP_Biofuels!Q$8,'92 HVO jet fuel'!$B$4:$B$59,0),MATCH(SUP_Biofuels!$I205,'92 HVO jet fuel'!$D$3:$H$3,0))/100</f>
        <v>0.96153846153846156</v>
      </c>
      <c r="R205" s="36">
        <f>$R$39</f>
        <v>3.1536000000000002E-2</v>
      </c>
      <c r="S205" s="34">
        <f>INDEX('92 HVO jet fuel'!$D$4:$H$59,MATCH(SUP_Biofuels!S$8,'92 HVO jet fuel'!$B$4:$B$59,0),MATCH(SUP_Biofuels!$I205,'92 HVO jet fuel'!$D$3:$H$3,0))</f>
        <v>2</v>
      </c>
      <c r="T205" s="34"/>
      <c r="U205" s="44"/>
      <c r="V205" s="45"/>
      <c r="W205" s="17" t="str">
        <f>W197</f>
        <v>Feedstock Consumption, MWh/MWh Total Inputs</v>
      </c>
      <c r="X205" s="17" t="str">
        <f>X197</f>
        <v>HVO Jet Output, GJ/GJ Total Input</v>
      </c>
      <c r="Y205" s="17"/>
    </row>
    <row r="206" spans="3:25">
      <c r="C206" s="17"/>
      <c r="D206" s="17"/>
      <c r="E206" s="17" t="str">
        <f>E198</f>
        <v>SUPH2</v>
      </c>
      <c r="F206" s="17"/>
      <c r="G206" s="17"/>
      <c r="H206" s="17"/>
      <c r="I206" s="17"/>
      <c r="J206" s="17"/>
      <c r="K206" s="33">
        <f>(INDEX('92 HVO jet fuel'!$D$4:$H$59,MATCH(SUP_Biofuels!W206,'92 HVO jet fuel'!$B$4:$B$59,0),MATCH(SUP_Biofuels!$I205,'92 HVO jet fuel'!$D$3:$H$3,0)))/INDEX('92 HVO jet fuel'!$D$4:$H$59,MATCH(SUP_Biofuels!X205,'92 HVO jet fuel'!$B$4:$B$59,0),MATCH(SUP_Biofuels!$I205,'92 HVO jet fuel'!$D$3:$H$3,0))</f>
        <v>0.15</v>
      </c>
      <c r="L206" s="33"/>
      <c r="M206" s="39"/>
      <c r="N206" s="40"/>
      <c r="O206" s="40"/>
      <c r="P206" s="40"/>
      <c r="Q206" s="41"/>
      <c r="R206" s="42"/>
      <c r="S206" s="39"/>
      <c r="T206" s="39"/>
      <c r="U206" s="43"/>
      <c r="V206" s="43"/>
      <c r="W206" s="17" t="str">
        <f>W198</f>
        <v>Hydrogen Consumption, MWh/MWh Total Inputs</v>
      </c>
      <c r="X206" s="17"/>
      <c r="Y206" s="17"/>
    </row>
    <row r="207" spans="3:25">
      <c r="C207" s="43"/>
      <c r="D207" s="43"/>
      <c r="E207" s="17" t="str">
        <f>E199</f>
        <v>SUPELC</v>
      </c>
      <c r="F207" s="43"/>
      <c r="G207" s="43"/>
      <c r="H207" s="43"/>
      <c r="I207" s="43"/>
      <c r="J207" s="43"/>
      <c r="K207" s="33">
        <f>(INDEX('92 HVO jet fuel'!$D$4:$H$59,MATCH(SUP_Biofuels!W207,'92 HVO jet fuel'!$B$4:$B$59,0),MATCH(SUP_Biofuels!$I205,'92 HVO jet fuel'!$D$3:$H$3,0)))/INDEX('92 HVO jet fuel'!$D$4:$H$59,MATCH(SUP_Biofuels!X205,'92 HVO jet fuel'!$B$4:$B$59,0),MATCH(SUP_Biofuels!$I205,'92 HVO jet fuel'!$D$3:$H$3,0))</f>
        <v>4.5454545454545452E-3</v>
      </c>
      <c r="L207" s="43"/>
      <c r="M207" s="43"/>
      <c r="N207" s="43"/>
      <c r="O207" s="43"/>
      <c r="P207" s="40"/>
      <c r="Q207" s="43"/>
      <c r="R207" s="43"/>
      <c r="S207" s="43"/>
      <c r="T207" s="43"/>
      <c r="U207" s="43"/>
      <c r="V207" s="43"/>
      <c r="W207" s="17" t="str">
        <f>W199</f>
        <v>Electricity Consumption, MWh/MWh Total Inputs</v>
      </c>
      <c r="X207" s="43"/>
      <c r="Y207" s="43"/>
    </row>
    <row r="208" spans="3:25">
      <c r="C208" s="43"/>
      <c r="D208" s="43"/>
      <c r="E208" s="17" t="str">
        <f>E200</f>
        <v>SUPNGA,SUPSNG,SUPH2</v>
      </c>
      <c r="F208" s="43"/>
      <c r="G208" s="43"/>
      <c r="H208" s="43"/>
      <c r="I208" s="43"/>
      <c r="J208" s="43"/>
      <c r="K208" s="33">
        <f>(INDEX('92 HVO jet fuel'!$D$4:$H$59,MATCH(SUP_Biofuels!W208,'92 HVO jet fuel'!$B$4:$B$59,0),MATCH(SUP_Biofuels!$I205,'92 HVO jet fuel'!$D$3:$H$3,0)))/INDEX('92 HVO jet fuel'!$D$4:$H$59,MATCH(SUP_Biofuels!X205,'92 HVO jet fuel'!$B$4:$B$59,0),MATCH(SUP_Biofuels!$I205,'92 HVO jet fuel'!$D$3:$H$3,0))</f>
        <v>0.1803030303030303</v>
      </c>
      <c r="L208" s="43"/>
      <c r="M208" s="43"/>
      <c r="N208" s="43"/>
      <c r="O208" s="43"/>
      <c r="P208" s="40"/>
      <c r="Q208" s="43"/>
      <c r="R208" s="43"/>
      <c r="S208" s="43"/>
      <c r="T208" s="43"/>
      <c r="U208" s="43"/>
      <c r="V208" s="43"/>
      <c r="W208" s="17" t="str">
        <f>W200</f>
        <v>Natural Gas Consumption, MWh/MWh Total Inputs</v>
      </c>
      <c r="X208" s="43"/>
      <c r="Y208" s="43"/>
    </row>
    <row r="209" spans="3:25" ht="15.6">
      <c r="C209" s="43"/>
      <c r="D209" s="32"/>
      <c r="E209" s="43"/>
      <c r="F209" s="43"/>
      <c r="G209" s="17" t="str">
        <f>G201</f>
        <v>LVN</v>
      </c>
      <c r="H209" s="43"/>
      <c r="I209" s="43"/>
      <c r="J209" s="43"/>
      <c r="K209" s="43"/>
      <c r="L209" s="33">
        <f>INDEX('92 HVO jet fuel'!$D$4:$H$59,MATCH(SUP_Biofuels!Y209,'92 HVO jet fuel'!$B$4:$B$59,0),MATCH(SUP_Biofuels!$I205,'92 HVO jet fuel'!$D$3:$H$3,0))*(SUM(K205:K208))</f>
        <v>9.8636363636363647E-2</v>
      </c>
      <c r="M209" s="43"/>
      <c r="N209" s="43"/>
      <c r="O209" s="43"/>
      <c r="P209" s="40"/>
      <c r="Q209" s="43"/>
      <c r="R209" s="43"/>
      <c r="S209" s="43"/>
      <c r="T209" s="43"/>
      <c r="U209" s="43"/>
      <c r="V209" s="45"/>
      <c r="W209" s="43"/>
      <c r="X209" s="43"/>
      <c r="Y209" s="17" t="str">
        <f>Y201</f>
        <v>Naphta Output, MWh/MWh Total Input</v>
      </c>
    </row>
    <row r="210" spans="3:25">
      <c r="C210" s="43"/>
      <c r="D210" s="43"/>
      <c r="E210" s="43"/>
      <c r="F210" s="43"/>
      <c r="G210" s="17" t="str">
        <f>G202</f>
        <v>LPG</v>
      </c>
      <c r="H210" s="43"/>
      <c r="I210" s="43"/>
      <c r="J210" s="43"/>
      <c r="K210" s="43"/>
      <c r="L210" s="33">
        <f>INDEX('92 HVO jet fuel'!$D$4:$H$59,MATCH(SUP_Biofuels!Y210,'92 HVO jet fuel'!$B$4:$B$59,0),MATCH(SUP_Biofuels!$I205,'92 HVO jet fuel'!$D$3:$H$3,0))*(SUM(K205:K208))</f>
        <v>0.13999999999999999</v>
      </c>
      <c r="M210" s="43"/>
      <c r="N210" s="43"/>
      <c r="O210" s="43"/>
      <c r="P210" s="40"/>
      <c r="Q210" s="43"/>
      <c r="R210" s="43"/>
      <c r="S210" s="43"/>
      <c r="T210" s="43"/>
      <c r="U210" s="43"/>
      <c r="V210" s="43"/>
      <c r="W210" s="43"/>
      <c r="X210" s="43"/>
      <c r="Y210" s="17" t="str">
        <f>Y202</f>
        <v>LPG Output, MWh/MWh Total Input</v>
      </c>
    </row>
    <row r="211" spans="3:25">
      <c r="C211" s="43"/>
      <c r="D211" s="43"/>
      <c r="E211" s="43"/>
      <c r="F211" s="43"/>
      <c r="G211" s="17" t="str">
        <f>G203</f>
        <v>SNG1</v>
      </c>
      <c r="H211" s="43"/>
      <c r="I211" s="43"/>
      <c r="J211" s="43"/>
      <c r="K211" s="43"/>
      <c r="L211" s="33">
        <f>INDEX('92 HVO jet fuel'!$D$4:$H$59,MATCH(SUP_Biofuels!Y211,'92 HVO jet fuel'!$B$4:$B$59,0),MATCH(SUP_Biofuels!$I205,'92 HVO jet fuel'!$D$3:$H$3,0))*(SUM(K205:K208))</f>
        <v>0.15151515151515152</v>
      </c>
      <c r="M211" s="43"/>
      <c r="N211" s="43"/>
      <c r="O211" s="43"/>
      <c r="P211" s="40"/>
      <c r="Q211" s="43"/>
      <c r="R211" s="43"/>
      <c r="S211" s="43"/>
      <c r="T211" s="43"/>
      <c r="U211" s="43"/>
      <c r="V211" s="43"/>
      <c r="W211" s="43"/>
      <c r="X211" s="43"/>
      <c r="Y211" s="17" t="str">
        <f>Y203</f>
        <v>Fuel Gas Output, MWh/MWh Total Input</v>
      </c>
    </row>
    <row r="212" spans="3:25">
      <c r="C212" s="43"/>
      <c r="D212" s="43"/>
      <c r="E212" s="43"/>
      <c r="F212" s="43"/>
      <c r="G212" s="7" t="s">
        <v>216</v>
      </c>
      <c r="H212" s="43"/>
      <c r="I212" s="43"/>
      <c r="J212" s="43"/>
      <c r="K212" s="43"/>
      <c r="L212" s="33">
        <f>INDEX('92 HVO jet fuel'!$D$4:$H$59,MATCH(SUP_Biofuels!Y212,'92 HVO jet fuel'!$B$4:$B$59,0),MATCH(SUP_Biofuels!$I205,'92 HVO jet fuel'!$D$3:$H$3,0))*(SUM(K205:K208))</f>
        <v>4.0227272727272723E-2</v>
      </c>
      <c r="M212" s="43"/>
      <c r="N212" s="43"/>
      <c r="O212" s="43"/>
      <c r="P212" s="40"/>
      <c r="Q212" s="43"/>
      <c r="R212" s="43"/>
      <c r="S212" s="43"/>
      <c r="T212" s="43"/>
      <c r="U212" s="43"/>
      <c r="V212" s="43"/>
      <c r="W212" s="43"/>
      <c r="X212" s="43"/>
      <c r="Y212" s="17" t="str">
        <f>Y204</f>
        <v>District Heating Output, MWh/MWh Total input</v>
      </c>
    </row>
    <row r="213" spans="3:25">
      <c r="C213" s="43"/>
      <c r="D213" s="17"/>
      <c r="E213" s="17" t="str">
        <f>E205</f>
        <v>SUPRPS</v>
      </c>
      <c r="F213" s="17" t="str">
        <f>F205</f>
        <v>KRB1</v>
      </c>
      <c r="G213" s="17"/>
      <c r="H213" s="17" t="s">
        <v>70</v>
      </c>
      <c r="I213" s="17">
        <v>2030</v>
      </c>
      <c r="J213" s="17"/>
      <c r="K213" s="33">
        <f>(INDEX('92 HVO jet fuel'!$D$4:$H$59,MATCH(SUP_Biofuels!W213,'92 HVO jet fuel'!$B$4:$B$59,0),MATCH(SUP_Biofuels!$I213,'92 HVO jet fuel'!$D$3:$H$3,0)))/INDEX('92 HVO jet fuel'!$D$4:$H$59,MATCH(SUP_Biofuels!X213,'92 HVO jet fuel'!$B$4:$B$59,0),MATCH(SUP_Biofuels!$I213,'92 HVO jet fuel'!$D$3:$H$3,0))</f>
        <v>1.1803030303030302</v>
      </c>
      <c r="L213" s="33"/>
      <c r="M213" s="34">
        <f>INDEX('92 HVO jet fuel'!$D$4:$H$59,MATCH(SUP_Biofuels!M$8,'92 HVO jet fuel'!$B$4:$B$59,0),MATCH(SUP_Biofuels!$I213,'92 HVO jet fuel'!$D$3:$H$3,0))</f>
        <v>25</v>
      </c>
      <c r="N213" s="35">
        <f>INDEX('92 HVO jet fuel'!$D$4:$H$59,MATCH(SUP_Biofuels!N$8,'92 HVO jet fuel'!$B$4:$B$59,0),MATCH(SUP_Biofuels!$I213,'92 HVO jet fuel'!$D$3:$H$3,0))*7.45</f>
        <v>6.0374025974025978</v>
      </c>
      <c r="O213" s="35">
        <f>INDEX('92 HVO jet fuel'!$D$4:$H$59,MATCH(SUP_Biofuels!O$8,'92 HVO jet fuel'!$B$4:$B$59,0),MATCH(SUP_Biofuels!$I213,'92 HVO jet fuel'!$D$3:$H$3,0))*7.45</f>
        <v>0.26538033395176247</v>
      </c>
      <c r="P213" s="35">
        <f>INDEX('92 HVO jet fuel'!$D$4:$H$59,MATCH(SUP_Biofuels!P$8,'92 HVO jet fuel'!$B$4:$B$59,0),MATCH(SUP_Biofuels!$I213,'92 HVO jet fuel'!$D$3:$H$3,0))*7.45/3.6</f>
        <v>17.591358678811794</v>
      </c>
      <c r="Q213" s="33">
        <f>1-INDEX('92 HVO jet fuel'!$D$4:$H$59,MATCH(SUP_Biofuels!Q$7,'92 HVO jet fuel'!$B$4:$B$59,0),MATCH(SUP_Biofuels!$I213,'92 HVO jet fuel'!$D$3:$H$3,0))/52-INDEX('92 HVO jet fuel'!$D$4:$H$59,MATCH(SUP_Biofuels!Q$8,'92 HVO jet fuel'!$B$4:$B$59,0),MATCH(SUP_Biofuels!$I213,'92 HVO jet fuel'!$D$3:$H$3,0))/100</f>
        <v>0.96153846153846156</v>
      </c>
      <c r="R213" s="36">
        <f>$R$39</f>
        <v>3.1536000000000002E-2</v>
      </c>
      <c r="S213" s="34">
        <f>INDEX('92 HVO jet fuel'!$D$4:$H$59,MATCH(SUP_Biofuels!S$8,'92 HVO jet fuel'!$B$4:$B$59,0),MATCH(SUP_Biofuels!$I213,'92 HVO jet fuel'!$D$3:$H$3,0))</f>
        <v>2</v>
      </c>
      <c r="T213" s="34"/>
      <c r="U213" s="44"/>
      <c r="V213" s="43"/>
      <c r="W213" s="17" t="str">
        <f>W205</f>
        <v>Feedstock Consumption, MWh/MWh Total Inputs</v>
      </c>
      <c r="X213" s="17" t="str">
        <f>X205</f>
        <v>HVO Jet Output, GJ/GJ Total Input</v>
      </c>
      <c r="Y213" s="17"/>
    </row>
    <row r="214" spans="3:25">
      <c r="C214" s="43"/>
      <c r="D214" s="43"/>
      <c r="E214" s="17" t="str">
        <f>E206</f>
        <v>SUPH2</v>
      </c>
      <c r="F214" s="17"/>
      <c r="G214" s="17"/>
      <c r="H214" s="17"/>
      <c r="I214" s="17"/>
      <c r="J214" s="17"/>
      <c r="K214" s="33">
        <f>(INDEX('92 HVO jet fuel'!$D$4:$H$59,MATCH(SUP_Biofuels!W214,'92 HVO jet fuel'!$B$4:$B$59,0),MATCH(SUP_Biofuels!$I213,'92 HVO jet fuel'!$D$3:$H$3,0)))/INDEX('92 HVO jet fuel'!$D$4:$H$59,MATCH(SUP_Biofuels!X213,'92 HVO jet fuel'!$B$4:$B$59,0),MATCH(SUP_Biofuels!$I213,'92 HVO jet fuel'!$D$3:$H$3,0))</f>
        <v>0.15</v>
      </c>
      <c r="L214" s="33"/>
      <c r="M214" s="39"/>
      <c r="N214" s="40"/>
      <c r="O214" s="40"/>
      <c r="P214" s="40"/>
      <c r="Q214" s="41"/>
      <c r="R214" s="42"/>
      <c r="S214" s="39"/>
      <c r="T214" s="39"/>
      <c r="U214" s="43"/>
      <c r="V214" s="43"/>
      <c r="W214" s="17" t="str">
        <f>W206</f>
        <v>Hydrogen Consumption, MWh/MWh Total Inputs</v>
      </c>
      <c r="X214" s="17"/>
      <c r="Y214" s="17"/>
    </row>
    <row r="215" spans="3:25">
      <c r="C215" s="43"/>
      <c r="D215" s="43"/>
      <c r="E215" s="17" t="str">
        <f>E207</f>
        <v>SUPELC</v>
      </c>
      <c r="F215" s="43"/>
      <c r="G215" s="43"/>
      <c r="H215" s="43"/>
      <c r="I215" s="43"/>
      <c r="J215" s="43"/>
      <c r="K215" s="33">
        <f>(INDEX('92 HVO jet fuel'!$D$4:$H$59,MATCH(SUP_Biofuels!W215,'92 HVO jet fuel'!$B$4:$B$59,0),MATCH(SUP_Biofuels!$I213,'92 HVO jet fuel'!$D$3:$H$3,0)))/INDEX('92 HVO jet fuel'!$D$4:$H$59,MATCH(SUP_Biofuels!X213,'92 HVO jet fuel'!$B$4:$B$59,0),MATCH(SUP_Biofuels!$I213,'92 HVO jet fuel'!$D$3:$H$3,0))</f>
        <v>4.5454545454545452E-3</v>
      </c>
      <c r="L215" s="43"/>
      <c r="M215" s="43"/>
      <c r="N215" s="43"/>
      <c r="O215" s="43"/>
      <c r="P215" s="40"/>
      <c r="Q215" s="43"/>
      <c r="R215" s="43"/>
      <c r="S215" s="43"/>
      <c r="T215" s="43"/>
      <c r="U215" s="43"/>
      <c r="V215" s="43"/>
      <c r="W215" s="17" t="str">
        <f>W207</f>
        <v>Electricity Consumption, MWh/MWh Total Inputs</v>
      </c>
      <c r="X215" s="43"/>
      <c r="Y215" s="43"/>
    </row>
    <row r="216" spans="3:25" ht="15.6">
      <c r="C216" s="43"/>
      <c r="D216" s="32"/>
      <c r="E216" s="17" t="str">
        <f>E208</f>
        <v>SUPNGA,SUPSNG,SUPH2</v>
      </c>
      <c r="F216" s="43"/>
      <c r="G216" s="43"/>
      <c r="H216" s="43"/>
      <c r="I216" s="43"/>
      <c r="J216" s="43"/>
      <c r="K216" s="33">
        <f>(INDEX('92 HVO jet fuel'!$D$4:$H$59,MATCH(SUP_Biofuels!W216,'92 HVO jet fuel'!$B$4:$B$59,0),MATCH(SUP_Biofuels!$I213,'92 HVO jet fuel'!$D$3:$H$3,0)))/INDEX('92 HVO jet fuel'!$D$4:$H$59,MATCH(SUP_Biofuels!X213,'92 HVO jet fuel'!$B$4:$B$59,0),MATCH(SUP_Biofuels!$I213,'92 HVO jet fuel'!$D$3:$H$3,0))</f>
        <v>0.1803030303030303</v>
      </c>
      <c r="L216" s="43"/>
      <c r="M216" s="43"/>
      <c r="N216" s="43"/>
      <c r="O216" s="43"/>
      <c r="P216" s="40"/>
      <c r="Q216" s="43"/>
      <c r="R216" s="43"/>
      <c r="S216" s="43"/>
      <c r="T216" s="43"/>
      <c r="U216" s="43"/>
      <c r="V216" s="45"/>
      <c r="W216" s="17" t="str">
        <f>W208</f>
        <v>Natural Gas Consumption, MWh/MWh Total Inputs</v>
      </c>
      <c r="X216" s="43"/>
      <c r="Y216" s="43"/>
    </row>
    <row r="217" spans="3:25">
      <c r="C217" s="43"/>
      <c r="D217" s="17"/>
      <c r="E217" s="43"/>
      <c r="F217" s="43"/>
      <c r="G217" s="17" t="str">
        <f>G209</f>
        <v>LVN</v>
      </c>
      <c r="H217" s="43"/>
      <c r="I217" s="43"/>
      <c r="J217" s="43"/>
      <c r="K217" s="43"/>
      <c r="L217" s="33">
        <f>INDEX('92 HVO jet fuel'!$D$4:$H$59,MATCH(SUP_Biofuels!Y217,'92 HVO jet fuel'!$B$4:$B$59,0),MATCH(SUP_Biofuels!$I213,'92 HVO jet fuel'!$D$3:$H$3,0))*(SUM(K213:K216))</f>
        <v>9.8636363636363647E-2</v>
      </c>
      <c r="M217" s="43"/>
      <c r="N217" s="43"/>
      <c r="O217" s="43"/>
      <c r="P217" s="40"/>
      <c r="Q217" s="43"/>
      <c r="R217" s="43"/>
      <c r="S217" s="43"/>
      <c r="T217" s="43"/>
      <c r="U217" s="43"/>
      <c r="V217" s="43"/>
      <c r="W217" s="43"/>
      <c r="X217" s="43"/>
      <c r="Y217" s="17" t="str">
        <f>Y209</f>
        <v>Naphta Output, MWh/MWh Total Input</v>
      </c>
    </row>
    <row r="218" spans="3:25">
      <c r="C218" s="43"/>
      <c r="D218" s="43"/>
      <c r="E218" s="43"/>
      <c r="F218" s="43"/>
      <c r="G218" s="17" t="str">
        <f>G210</f>
        <v>LPG</v>
      </c>
      <c r="H218" s="43"/>
      <c r="I218" s="43"/>
      <c r="J218" s="43"/>
      <c r="K218" s="43"/>
      <c r="L218" s="33">
        <f>INDEX('92 HVO jet fuel'!$D$4:$H$59,MATCH(SUP_Biofuels!Y218,'92 HVO jet fuel'!$B$4:$B$59,0),MATCH(SUP_Biofuels!$I213,'92 HVO jet fuel'!$D$3:$H$3,0))*(SUM(K213:K216))</f>
        <v>0.13999999999999999</v>
      </c>
      <c r="M218" s="43"/>
      <c r="N218" s="43"/>
      <c r="O218" s="43"/>
      <c r="P218" s="40"/>
      <c r="Q218" s="43"/>
      <c r="R218" s="43"/>
      <c r="S218" s="43"/>
      <c r="T218" s="43"/>
      <c r="U218" s="43"/>
      <c r="V218" s="43"/>
      <c r="W218" s="43"/>
      <c r="X218" s="43"/>
      <c r="Y218" s="17" t="str">
        <f>Y210</f>
        <v>LPG Output, MWh/MWh Total Input</v>
      </c>
    </row>
    <row r="219" spans="3:25">
      <c r="C219" s="43"/>
      <c r="D219" s="43"/>
      <c r="E219" s="43"/>
      <c r="F219" s="43"/>
      <c r="G219" s="17" t="str">
        <f>G211</f>
        <v>SNG1</v>
      </c>
      <c r="H219" s="43"/>
      <c r="I219" s="43"/>
      <c r="J219" s="43"/>
      <c r="K219" s="43"/>
      <c r="L219" s="33">
        <f>INDEX('92 HVO jet fuel'!$D$4:$H$59,MATCH(SUP_Biofuels!Y219,'92 HVO jet fuel'!$B$4:$B$59,0),MATCH(SUP_Biofuels!$I213,'92 HVO jet fuel'!$D$3:$H$3,0))*(SUM(K213:K216))</f>
        <v>0.15151515151515152</v>
      </c>
      <c r="M219" s="43"/>
      <c r="N219" s="43"/>
      <c r="O219" s="43"/>
      <c r="P219" s="40"/>
      <c r="Q219" s="43"/>
      <c r="R219" s="43"/>
      <c r="S219" s="43"/>
      <c r="T219" s="43"/>
      <c r="U219" s="43"/>
      <c r="V219" s="43"/>
      <c r="W219" s="43"/>
      <c r="X219" s="43"/>
      <c r="Y219" s="17" t="str">
        <f>Y211</f>
        <v>Fuel Gas Output, MWh/MWh Total Input</v>
      </c>
    </row>
    <row r="220" spans="3:25">
      <c r="C220" s="43"/>
      <c r="D220" s="43"/>
      <c r="E220" s="43"/>
      <c r="F220" s="43"/>
      <c r="G220" s="7" t="s">
        <v>216</v>
      </c>
      <c r="H220" s="43"/>
      <c r="I220" s="43"/>
      <c r="J220" s="43"/>
      <c r="K220" s="43"/>
      <c r="L220" s="33">
        <f>INDEX('92 HVO jet fuel'!$D$4:$H$59,MATCH(SUP_Biofuels!Y220,'92 HVO jet fuel'!$B$4:$B$59,0),MATCH(SUP_Biofuels!$I213,'92 HVO jet fuel'!$D$3:$H$3,0))*(SUM(K213:K216))</f>
        <v>4.0227272727272723E-2</v>
      </c>
      <c r="M220" s="43"/>
      <c r="N220" s="43"/>
      <c r="O220" s="43"/>
      <c r="P220" s="40"/>
      <c r="Q220" s="43"/>
      <c r="R220" s="43"/>
      <c r="S220" s="43"/>
      <c r="T220" s="43"/>
      <c r="U220" s="43"/>
      <c r="V220" s="43"/>
      <c r="W220" s="43"/>
      <c r="X220" s="43"/>
      <c r="Y220" s="17" t="str">
        <f>Y212</f>
        <v>District Heating Output, MWh/MWh Total input</v>
      </c>
    </row>
    <row r="221" spans="3:25">
      <c r="C221" s="43"/>
      <c r="D221" s="43"/>
      <c r="E221" s="17" t="str">
        <f>E213</f>
        <v>SUPRPS</v>
      </c>
      <c r="F221" s="17" t="str">
        <f>F213</f>
        <v>KRB1</v>
      </c>
      <c r="G221" s="17"/>
      <c r="H221" s="17" t="s">
        <v>70</v>
      </c>
      <c r="I221" s="17">
        <v>2040</v>
      </c>
      <c r="J221" s="17"/>
      <c r="K221" s="33">
        <f>(INDEX('92 HVO jet fuel'!$D$4:$H$59,MATCH(SUP_Biofuels!W221,'92 HVO jet fuel'!$B$4:$B$59,0),MATCH(SUP_Biofuels!$I221,'92 HVO jet fuel'!$D$3:$H$3,0)))/INDEX('92 HVO jet fuel'!$D$4:$H$59,MATCH(SUP_Biofuels!X221,'92 HVO jet fuel'!$B$4:$B$59,0),MATCH(SUP_Biofuels!$I221,'92 HVO jet fuel'!$D$3:$H$3,0))</f>
        <v>1.1803030303030302</v>
      </c>
      <c r="L221" s="33"/>
      <c r="M221" s="34">
        <f>INDEX('92 HVO jet fuel'!$D$4:$H$59,MATCH(SUP_Biofuels!M$8,'92 HVO jet fuel'!$B$4:$B$59,0),MATCH(SUP_Biofuels!$I221,'92 HVO jet fuel'!$D$3:$H$3,0))</f>
        <v>25</v>
      </c>
      <c r="N221" s="35">
        <f>INDEX('92 HVO jet fuel'!$D$4:$H$59,MATCH(SUP_Biofuels!N$8,'92 HVO jet fuel'!$B$4:$B$59,0),MATCH(SUP_Biofuels!$I221,'92 HVO jet fuel'!$D$3:$H$3,0))*7.45</f>
        <v>5.6240196078431381</v>
      </c>
      <c r="O221" s="35">
        <f>INDEX('92 HVO jet fuel'!$D$4:$H$59,MATCH(SUP_Biofuels!O$8,'92 HVO jet fuel'!$B$4:$B$59,0),MATCH(SUP_Biofuels!$I221,'92 HVO jet fuel'!$D$3:$H$3,0))*7.45</f>
        <v>0.2655971479500891</v>
      </c>
      <c r="P221" s="35">
        <f>INDEX('92 HVO jet fuel'!$D$4:$H$59,MATCH(SUP_Biofuels!P$8,'92 HVO jet fuel'!$B$4:$B$59,0),MATCH(SUP_Biofuels!$I221,'92 HVO jet fuel'!$D$3:$H$3,0))*7.45/3.6</f>
        <v>17.591358678811794</v>
      </c>
      <c r="Q221" s="33">
        <f>1-INDEX('92 HVO jet fuel'!$D$4:$H$59,MATCH(SUP_Biofuels!Q$7,'92 HVO jet fuel'!$B$4:$B$59,0),MATCH(SUP_Biofuels!$I221,'92 HVO jet fuel'!$D$3:$H$3,0))/52-INDEX('92 HVO jet fuel'!$D$4:$H$59,MATCH(SUP_Biofuels!Q$8,'92 HVO jet fuel'!$B$4:$B$59,0),MATCH(SUP_Biofuels!$I221,'92 HVO jet fuel'!$D$3:$H$3,0))/100</f>
        <v>0.96153846153846156</v>
      </c>
      <c r="R221" s="36">
        <f>$R$39</f>
        <v>3.1536000000000002E-2</v>
      </c>
      <c r="S221" s="34">
        <f>INDEX('92 HVO jet fuel'!$D$4:$H$59,MATCH(SUP_Biofuels!S$8,'92 HVO jet fuel'!$B$4:$B$59,0),MATCH(SUP_Biofuels!$I221,'92 HVO jet fuel'!$D$3:$H$3,0))</f>
        <v>2</v>
      </c>
      <c r="T221" s="34"/>
      <c r="U221" s="44"/>
      <c r="V221" s="43"/>
      <c r="W221" s="17" t="str">
        <f>W213</f>
        <v>Feedstock Consumption, MWh/MWh Total Inputs</v>
      </c>
      <c r="X221" s="17" t="str">
        <f>X213</f>
        <v>HVO Jet Output, GJ/GJ Total Input</v>
      </c>
      <c r="Y221" s="17"/>
    </row>
    <row r="222" spans="3:25">
      <c r="C222" s="43"/>
      <c r="D222" s="43"/>
      <c r="E222" s="17" t="str">
        <f>E214</f>
        <v>SUPH2</v>
      </c>
      <c r="F222" s="17"/>
      <c r="G222" s="17"/>
      <c r="H222" s="17"/>
      <c r="I222" s="17"/>
      <c r="J222" s="17"/>
      <c r="K222" s="33">
        <f>(INDEX('92 HVO jet fuel'!$D$4:$H$59,MATCH(SUP_Biofuels!W222,'92 HVO jet fuel'!$B$4:$B$59,0),MATCH(SUP_Biofuels!$I221,'92 HVO jet fuel'!$D$3:$H$3,0)))/INDEX('92 HVO jet fuel'!$D$4:$H$59,MATCH(SUP_Biofuels!X221,'92 HVO jet fuel'!$B$4:$B$59,0),MATCH(SUP_Biofuels!$I221,'92 HVO jet fuel'!$D$3:$H$3,0))</f>
        <v>0.15</v>
      </c>
      <c r="L222" s="33"/>
      <c r="M222" s="39"/>
      <c r="N222" s="40"/>
      <c r="O222" s="40"/>
      <c r="P222" s="40"/>
      <c r="Q222" s="41"/>
      <c r="R222" s="42"/>
      <c r="S222" s="39"/>
      <c r="T222" s="39"/>
      <c r="U222" s="43"/>
      <c r="V222" s="43"/>
      <c r="W222" s="17" t="str">
        <f>W214</f>
        <v>Hydrogen Consumption, MWh/MWh Total Inputs</v>
      </c>
      <c r="X222" s="17"/>
      <c r="Y222" s="17"/>
    </row>
    <row r="223" spans="3:25">
      <c r="C223" s="43"/>
      <c r="D223" s="43"/>
      <c r="E223" s="17" t="str">
        <f>E215</f>
        <v>SUPELC</v>
      </c>
      <c r="F223" s="43"/>
      <c r="G223" s="43"/>
      <c r="H223" s="43"/>
      <c r="I223" s="43"/>
      <c r="J223" s="43"/>
      <c r="K223" s="33">
        <f>(INDEX('92 HVO jet fuel'!$D$4:$H$59,MATCH(SUP_Biofuels!W223,'92 HVO jet fuel'!$B$4:$B$59,0),MATCH(SUP_Biofuels!$I221,'92 HVO jet fuel'!$D$3:$H$3,0)))/INDEX('92 HVO jet fuel'!$D$4:$H$59,MATCH(SUP_Biofuels!X221,'92 HVO jet fuel'!$B$4:$B$59,0),MATCH(SUP_Biofuels!$I221,'92 HVO jet fuel'!$D$3:$H$3,0))</f>
        <v>4.5454545454545452E-3</v>
      </c>
      <c r="L223" s="43"/>
      <c r="M223" s="43"/>
      <c r="N223" s="43"/>
      <c r="O223" s="43"/>
      <c r="P223" s="40"/>
      <c r="Q223" s="43"/>
      <c r="R223" s="43"/>
      <c r="S223" s="43"/>
      <c r="T223" s="43"/>
      <c r="U223" s="43"/>
      <c r="V223" s="43"/>
      <c r="W223" s="17" t="str">
        <f>W215</f>
        <v>Electricity Consumption, MWh/MWh Total Inputs</v>
      </c>
      <c r="X223" s="43"/>
      <c r="Y223" s="43"/>
    </row>
    <row r="224" spans="3:25">
      <c r="C224" s="43"/>
      <c r="D224" s="43"/>
      <c r="E224" s="17" t="str">
        <f>E216</f>
        <v>SUPNGA,SUPSNG,SUPH2</v>
      </c>
      <c r="F224" s="43"/>
      <c r="G224" s="43"/>
      <c r="H224" s="43"/>
      <c r="I224" s="43"/>
      <c r="J224" s="43"/>
      <c r="K224" s="33">
        <f>(INDEX('92 HVO jet fuel'!$D$4:$H$59,MATCH(SUP_Biofuels!W224,'92 HVO jet fuel'!$B$4:$B$59,0),MATCH(SUP_Biofuels!$I221,'92 HVO jet fuel'!$D$3:$H$3,0)))/INDEX('92 HVO jet fuel'!$D$4:$H$59,MATCH(SUP_Biofuels!X221,'92 HVO jet fuel'!$B$4:$B$59,0),MATCH(SUP_Biofuels!$I221,'92 HVO jet fuel'!$D$3:$H$3,0))</f>
        <v>0.1803030303030303</v>
      </c>
      <c r="L224" s="43"/>
      <c r="M224" s="43"/>
      <c r="N224" s="43"/>
      <c r="O224" s="43"/>
      <c r="P224" s="40"/>
      <c r="Q224" s="43"/>
      <c r="R224" s="43"/>
      <c r="S224" s="43"/>
      <c r="T224" s="43"/>
      <c r="U224" s="43"/>
      <c r="V224" s="43"/>
      <c r="W224" s="17" t="str">
        <f>W216</f>
        <v>Natural Gas Consumption, MWh/MWh Total Inputs</v>
      </c>
      <c r="X224" s="43"/>
      <c r="Y224" s="43"/>
    </row>
    <row r="225" spans="3:25">
      <c r="C225" s="43"/>
      <c r="D225" s="43"/>
      <c r="E225" s="43"/>
      <c r="F225" s="43"/>
      <c r="G225" s="17" t="str">
        <f>G217</f>
        <v>LVN</v>
      </c>
      <c r="H225" s="43"/>
      <c r="I225" s="43"/>
      <c r="J225" s="43"/>
      <c r="K225" s="43"/>
      <c r="L225" s="33">
        <f>INDEX('92 HVO jet fuel'!$D$4:$H$59,MATCH(SUP_Biofuels!Y225,'92 HVO jet fuel'!$B$4:$B$59,0),MATCH(SUP_Biofuels!$I221,'92 HVO jet fuel'!$D$3:$H$3,0))*(SUM(K221:K224))</f>
        <v>9.8636363636363647E-2</v>
      </c>
      <c r="M225" s="43"/>
      <c r="N225" s="43"/>
      <c r="O225" s="43"/>
      <c r="P225" s="40"/>
      <c r="Q225" s="43"/>
      <c r="R225" s="43"/>
      <c r="S225" s="43"/>
      <c r="T225" s="43"/>
      <c r="U225" s="43"/>
      <c r="V225" s="43"/>
      <c r="W225" s="43"/>
      <c r="X225" s="43"/>
      <c r="Y225" s="17" t="str">
        <f>Y217</f>
        <v>Naphta Output, MWh/MWh Total Input</v>
      </c>
    </row>
    <row r="226" spans="3:25">
      <c r="C226" s="43"/>
      <c r="D226" s="43"/>
      <c r="E226" s="43"/>
      <c r="F226" s="43"/>
      <c r="G226" s="17" t="str">
        <f>G218</f>
        <v>LPG</v>
      </c>
      <c r="H226" s="43"/>
      <c r="I226" s="43"/>
      <c r="J226" s="43"/>
      <c r="K226" s="43"/>
      <c r="L226" s="33">
        <f>INDEX('92 HVO jet fuel'!$D$4:$H$59,MATCH(SUP_Biofuels!Y226,'92 HVO jet fuel'!$B$4:$B$59,0),MATCH(SUP_Biofuels!$I221,'92 HVO jet fuel'!$D$3:$H$3,0))*(SUM(K221:K224))</f>
        <v>0.13999999999999999</v>
      </c>
      <c r="M226" s="43"/>
      <c r="N226" s="43"/>
      <c r="O226" s="43"/>
      <c r="P226" s="40"/>
      <c r="Q226" s="43"/>
      <c r="R226" s="43"/>
      <c r="S226" s="43"/>
      <c r="T226" s="43"/>
      <c r="U226" s="43"/>
      <c r="V226" s="43"/>
      <c r="W226" s="43"/>
      <c r="X226" s="43"/>
      <c r="Y226" s="17" t="str">
        <f>Y218</f>
        <v>LPG Output, MWh/MWh Total Input</v>
      </c>
    </row>
    <row r="227" spans="3:25">
      <c r="C227" s="43"/>
      <c r="D227" s="43"/>
      <c r="E227" s="43"/>
      <c r="F227" s="43"/>
      <c r="G227" s="17" t="str">
        <f>G219</f>
        <v>SNG1</v>
      </c>
      <c r="H227" s="43"/>
      <c r="I227" s="43"/>
      <c r="J227" s="43"/>
      <c r="K227" s="43"/>
      <c r="L227" s="33">
        <f>INDEX('92 HVO jet fuel'!$D$4:$H$59,MATCH(SUP_Biofuels!Y227,'92 HVO jet fuel'!$B$4:$B$59,0),MATCH(SUP_Biofuels!$I221,'92 HVO jet fuel'!$D$3:$H$3,0))*(SUM(K221:K224))</f>
        <v>0.15151515151515152</v>
      </c>
      <c r="M227" s="43"/>
      <c r="N227" s="43"/>
      <c r="O227" s="43"/>
      <c r="P227" s="40"/>
      <c r="Q227" s="43"/>
      <c r="R227" s="43"/>
      <c r="S227" s="43"/>
      <c r="T227" s="43"/>
      <c r="U227" s="43"/>
      <c r="V227" s="43"/>
      <c r="W227" s="43"/>
      <c r="X227" s="43"/>
      <c r="Y227" s="17" t="str">
        <f>Y219</f>
        <v>Fuel Gas Output, MWh/MWh Total Input</v>
      </c>
    </row>
    <row r="228" spans="3:25">
      <c r="C228" s="43"/>
      <c r="D228" s="43"/>
      <c r="E228" s="43"/>
      <c r="F228" s="43"/>
      <c r="G228" s="17" t="str">
        <f>G220</f>
        <v>HETC</v>
      </c>
      <c r="H228" s="43"/>
      <c r="I228" s="43"/>
      <c r="J228" s="43"/>
      <c r="K228" s="43"/>
      <c r="L228" s="33">
        <f>INDEX('92 HVO jet fuel'!$D$4:$H$59,MATCH(SUP_Biofuels!Y228,'92 HVO jet fuel'!$B$4:$B$59,0),MATCH(SUP_Biofuels!$I221,'92 HVO jet fuel'!$D$3:$H$3,0))*(SUM(K221:K224))</f>
        <v>4.0227272727272723E-2</v>
      </c>
      <c r="M228" s="43"/>
      <c r="N228" s="43"/>
      <c r="O228" s="43"/>
      <c r="P228" s="40"/>
      <c r="Q228" s="43"/>
      <c r="R228" s="43"/>
      <c r="S228" s="43"/>
      <c r="T228" s="43"/>
      <c r="U228" s="43"/>
      <c r="V228" s="43"/>
      <c r="W228" s="43"/>
      <c r="X228" s="43"/>
      <c r="Y228" s="17" t="str">
        <f>Y220</f>
        <v>District Heating Output, MWh/MWh Total input</v>
      </c>
    </row>
    <row r="229" spans="3:25">
      <c r="C229" s="43"/>
      <c r="D229" s="43"/>
      <c r="E229" s="17" t="str">
        <f>E221</f>
        <v>SUPRPS</v>
      </c>
      <c r="F229" s="17" t="str">
        <f>F221</f>
        <v>KRB1</v>
      </c>
      <c r="G229" s="17"/>
      <c r="H229" s="17" t="s">
        <v>70</v>
      </c>
      <c r="I229" s="17">
        <v>2050</v>
      </c>
      <c r="J229" s="17"/>
      <c r="K229" s="33">
        <f>(INDEX('92 HVO jet fuel'!$D$4:$H$59,MATCH(SUP_Biofuels!W229,'92 HVO jet fuel'!$B$4:$B$59,0),MATCH(SUP_Biofuels!$I229,'92 HVO jet fuel'!$D$3:$H$3,0)))/INDEX('92 HVO jet fuel'!$D$4:$H$59,MATCH(SUP_Biofuels!X229,'92 HVO jet fuel'!$B$4:$B$59,0),MATCH(SUP_Biofuels!$I229,'92 HVO jet fuel'!$D$3:$H$3,0))</f>
        <v>1.1803030303030302</v>
      </c>
      <c r="L229" s="33"/>
      <c r="M229" s="34">
        <f>INDEX('92 HVO jet fuel'!$D$4:$H$59,MATCH(SUP_Biofuels!M$8,'92 HVO jet fuel'!$B$4:$B$59,0),MATCH(SUP_Biofuels!$I229,'92 HVO jet fuel'!$D$3:$H$3,0))</f>
        <v>25</v>
      </c>
      <c r="N229" s="35">
        <f>INDEX('92 HVO jet fuel'!$D$4:$H$59,MATCH(SUP_Biofuels!N$8,'92 HVO jet fuel'!$B$4:$B$59,0),MATCH(SUP_Biofuels!$I229,'92 HVO jet fuel'!$D$3:$H$3,0))*7.45</f>
        <v>5.3151998216375906</v>
      </c>
      <c r="O229" s="35">
        <f>INDEX('92 HVO jet fuel'!$D$4:$H$59,MATCH(SUP_Biofuels!O$8,'92 HVO jet fuel'!$B$4:$B$59,0),MATCH(SUP_Biofuels!$I229,'92 HVO jet fuel'!$D$3:$H$3,0))*7.45</f>
        <v>0.26575999108187948</v>
      </c>
      <c r="P229" s="35">
        <f>INDEX('92 HVO jet fuel'!$D$4:$H$59,MATCH(SUP_Biofuels!P$8,'92 HVO jet fuel'!$B$4:$B$59,0),MATCH(SUP_Biofuels!$I229,'92 HVO jet fuel'!$D$3:$H$3,0))*7.45/3.6</f>
        <v>17.591358678811794</v>
      </c>
      <c r="Q229" s="33">
        <f>1-INDEX('92 HVO jet fuel'!$D$4:$H$59,MATCH(SUP_Biofuels!Q$7,'92 HVO jet fuel'!$B$4:$B$59,0),MATCH(SUP_Biofuels!$I229,'92 HVO jet fuel'!$D$3:$H$3,0))/52-INDEX('92 HVO jet fuel'!$D$4:$H$59,MATCH(SUP_Biofuels!Q$8,'92 HVO jet fuel'!$B$4:$B$59,0),MATCH(SUP_Biofuels!$I229,'92 HVO jet fuel'!$D$3:$H$3,0))/100</f>
        <v>0.96153846153846156</v>
      </c>
      <c r="R229" s="36">
        <f>$R$39</f>
        <v>3.1536000000000002E-2</v>
      </c>
      <c r="S229" s="34">
        <f>INDEX('92 HVO jet fuel'!$D$4:$H$59,MATCH(SUP_Biofuels!S$8,'92 HVO jet fuel'!$B$4:$B$59,0),MATCH(SUP_Biofuels!$I229,'92 HVO jet fuel'!$D$3:$H$3,0))</f>
        <v>2</v>
      </c>
      <c r="T229" s="34"/>
      <c r="U229" s="44"/>
      <c r="V229" s="43"/>
      <c r="W229" s="17" t="str">
        <f>W221</f>
        <v>Feedstock Consumption, MWh/MWh Total Inputs</v>
      </c>
      <c r="X229" s="17" t="str">
        <f>X221</f>
        <v>HVO Jet Output, GJ/GJ Total Input</v>
      </c>
      <c r="Y229" s="17"/>
    </row>
    <row r="230" spans="3:25">
      <c r="C230" s="43"/>
      <c r="D230" s="43"/>
      <c r="E230" s="17" t="str">
        <f>E222</f>
        <v>SUPH2</v>
      </c>
      <c r="F230" s="17"/>
      <c r="G230" s="17"/>
      <c r="H230" s="17"/>
      <c r="I230" s="17"/>
      <c r="J230" s="17"/>
      <c r="K230" s="33">
        <f>(INDEX('92 HVO jet fuel'!$D$4:$H$59,MATCH(SUP_Biofuels!W230,'92 HVO jet fuel'!$B$4:$B$59,0),MATCH(SUP_Biofuels!$I229,'92 HVO jet fuel'!$D$3:$H$3,0)))/INDEX('92 HVO jet fuel'!$D$4:$H$59,MATCH(SUP_Biofuels!X229,'92 HVO jet fuel'!$B$4:$B$59,0),MATCH(SUP_Biofuels!$I229,'92 HVO jet fuel'!$D$3:$H$3,0))</f>
        <v>0.15</v>
      </c>
      <c r="L230" s="33"/>
      <c r="M230" s="39"/>
      <c r="N230" s="40"/>
      <c r="O230" s="40"/>
      <c r="P230" s="40"/>
      <c r="Q230" s="41"/>
      <c r="R230" s="42"/>
      <c r="S230" s="39"/>
      <c r="T230" s="39"/>
      <c r="U230" s="43"/>
      <c r="V230" s="43"/>
      <c r="W230" s="17" t="str">
        <f>W222</f>
        <v>Hydrogen Consumption, MWh/MWh Total Inputs</v>
      </c>
      <c r="X230" s="17"/>
      <c r="Y230" s="17"/>
    </row>
    <row r="231" spans="3:25" ht="15.6">
      <c r="C231" s="43"/>
      <c r="D231" s="32"/>
      <c r="E231" s="17" t="str">
        <f>E223</f>
        <v>SUPELC</v>
      </c>
      <c r="F231" s="43"/>
      <c r="G231" s="43"/>
      <c r="H231" s="43"/>
      <c r="I231" s="43"/>
      <c r="J231" s="43"/>
      <c r="K231" s="33">
        <f>(INDEX('92 HVO jet fuel'!$D$4:$H$59,MATCH(SUP_Biofuels!W231,'92 HVO jet fuel'!$B$4:$B$59,0),MATCH(SUP_Biofuels!$I229,'92 HVO jet fuel'!$D$3:$H$3,0)))/INDEX('92 HVO jet fuel'!$D$4:$H$59,MATCH(SUP_Biofuels!X229,'92 HVO jet fuel'!$B$4:$B$59,0),MATCH(SUP_Biofuels!$I229,'92 HVO jet fuel'!$D$3:$H$3,0))</f>
        <v>4.5454545454545452E-3</v>
      </c>
      <c r="L231" s="43"/>
      <c r="M231" s="43"/>
      <c r="N231" s="43"/>
      <c r="O231" s="43"/>
      <c r="P231" s="40"/>
      <c r="Q231" s="43"/>
      <c r="R231" s="43"/>
      <c r="S231" s="43"/>
      <c r="T231" s="43"/>
      <c r="U231" s="43"/>
      <c r="V231" s="43"/>
      <c r="W231" s="17" t="str">
        <f>W223</f>
        <v>Electricity Consumption, MWh/MWh Total Inputs</v>
      </c>
      <c r="X231" s="43"/>
      <c r="Y231" s="43"/>
    </row>
    <row r="232" spans="3:25">
      <c r="C232" s="43"/>
      <c r="D232" s="17"/>
      <c r="E232" s="17" t="str">
        <f>E224</f>
        <v>SUPNGA,SUPSNG,SUPH2</v>
      </c>
      <c r="F232" s="43"/>
      <c r="G232" s="43"/>
      <c r="H232" s="43"/>
      <c r="I232" s="43"/>
      <c r="J232" s="43"/>
      <c r="K232" s="33">
        <f>(INDEX('92 HVO jet fuel'!$D$4:$H$59,MATCH(SUP_Biofuels!W232,'92 HVO jet fuel'!$B$4:$B$59,0),MATCH(SUP_Biofuels!$I229,'92 HVO jet fuel'!$D$3:$H$3,0)))/INDEX('92 HVO jet fuel'!$D$4:$H$59,MATCH(SUP_Biofuels!X229,'92 HVO jet fuel'!$B$4:$B$59,0),MATCH(SUP_Biofuels!$I229,'92 HVO jet fuel'!$D$3:$H$3,0))</f>
        <v>0.1803030303030303</v>
      </c>
      <c r="L232" s="43"/>
      <c r="M232" s="43"/>
      <c r="N232" s="43"/>
      <c r="O232" s="43"/>
      <c r="P232" s="40"/>
      <c r="Q232" s="43"/>
      <c r="R232" s="43"/>
      <c r="S232" s="43"/>
      <c r="T232" s="43"/>
      <c r="U232" s="43"/>
      <c r="V232" s="43"/>
      <c r="W232" s="17" t="str">
        <f>W224</f>
        <v>Natural Gas Consumption, MWh/MWh Total Inputs</v>
      </c>
      <c r="X232" s="43"/>
      <c r="Y232" s="43"/>
    </row>
    <row r="233" spans="3:25">
      <c r="C233" s="43"/>
      <c r="D233" s="43"/>
      <c r="E233" s="43"/>
      <c r="F233" s="43"/>
      <c r="G233" s="17" t="str">
        <f>G225</f>
        <v>LVN</v>
      </c>
      <c r="H233" s="43"/>
      <c r="I233" s="43"/>
      <c r="J233" s="43"/>
      <c r="K233" s="43"/>
      <c r="L233" s="33">
        <f>INDEX('92 HVO jet fuel'!$D$4:$H$59,MATCH(SUP_Biofuels!Y233,'92 HVO jet fuel'!$B$4:$B$59,0),MATCH(SUP_Biofuels!$I229,'92 HVO jet fuel'!$D$3:$H$3,0))*(SUM(K229:K232))</f>
        <v>9.8636363636363647E-2</v>
      </c>
      <c r="M233" s="43"/>
      <c r="N233" s="43"/>
      <c r="O233" s="43"/>
      <c r="P233" s="40"/>
      <c r="Q233" s="43"/>
      <c r="R233" s="43"/>
      <c r="S233" s="43"/>
      <c r="T233" s="43"/>
      <c r="U233" s="43"/>
      <c r="V233" s="43"/>
      <c r="W233" s="43"/>
      <c r="X233" s="43"/>
      <c r="Y233" s="17" t="str">
        <f>Y225</f>
        <v>Naphta Output, MWh/MWh Total Input</v>
      </c>
    </row>
    <row r="234" spans="3:25">
      <c r="C234" s="43"/>
      <c r="D234" s="43"/>
      <c r="E234" s="43"/>
      <c r="F234" s="43"/>
      <c r="G234" s="43" t="str">
        <f>G226</f>
        <v>LPG</v>
      </c>
      <c r="H234" s="43"/>
      <c r="I234" s="43"/>
      <c r="J234" s="43"/>
      <c r="K234" s="43"/>
      <c r="L234" s="33">
        <f>INDEX('92 HVO jet fuel'!$D$4:$H$59,MATCH(SUP_Biofuels!Y234,'92 HVO jet fuel'!$B$4:$B$59,0),MATCH(SUP_Biofuels!$I229,'92 HVO jet fuel'!$D$3:$H$3,0))*(SUM(K229:K232))</f>
        <v>0.13999999999999999</v>
      </c>
      <c r="M234" s="43"/>
      <c r="N234" s="43"/>
      <c r="O234" s="43"/>
      <c r="P234" s="40"/>
      <c r="Q234" s="43"/>
      <c r="R234" s="43"/>
      <c r="S234" s="43"/>
      <c r="T234" s="43"/>
      <c r="U234" s="43"/>
      <c r="V234" s="43"/>
      <c r="W234" s="43"/>
      <c r="X234" s="43"/>
      <c r="Y234" s="43" t="str">
        <f>Y226</f>
        <v>LPG Output, MWh/MWh Total Input</v>
      </c>
    </row>
    <row r="235" spans="3:25">
      <c r="C235" s="43"/>
      <c r="D235" s="43"/>
      <c r="E235" s="43"/>
      <c r="F235" s="43"/>
      <c r="G235" s="43" t="str">
        <f>G227</f>
        <v>SNG1</v>
      </c>
      <c r="H235" s="43"/>
      <c r="I235" s="43"/>
      <c r="J235" s="43"/>
      <c r="K235" s="43"/>
      <c r="L235" s="33">
        <f>INDEX('92 HVO jet fuel'!$D$4:$H$59,MATCH(SUP_Biofuels!Y235,'92 HVO jet fuel'!$B$4:$B$59,0),MATCH(SUP_Biofuels!$I229,'92 HVO jet fuel'!$D$3:$H$3,0))*(SUM(K229:K232))</f>
        <v>0.15151515151515152</v>
      </c>
      <c r="M235" s="43"/>
      <c r="N235" s="43"/>
      <c r="O235" s="43"/>
      <c r="P235" s="40"/>
      <c r="Q235" s="43"/>
      <c r="R235" s="43"/>
      <c r="S235" s="43"/>
      <c r="T235" s="43"/>
      <c r="U235" s="43"/>
      <c r="V235" s="43"/>
      <c r="W235" s="43"/>
      <c r="X235" s="43"/>
      <c r="Y235" s="43" t="str">
        <f>Y227</f>
        <v>Fuel Gas Output, MWh/MWh Total Input</v>
      </c>
    </row>
    <row r="236" spans="3:25" ht="15" thickBot="1">
      <c r="C236" s="46"/>
      <c r="D236" s="46"/>
      <c r="E236" s="46"/>
      <c r="F236" s="46"/>
      <c r="G236" s="47" t="str">
        <f>G228</f>
        <v>HETC</v>
      </c>
      <c r="H236" s="46"/>
      <c r="I236" s="46"/>
      <c r="J236" s="46"/>
      <c r="K236" s="43"/>
      <c r="L236" s="33">
        <f>INDEX('92 HVO jet fuel'!$D$4:$H$59,MATCH(SUP_Biofuels!Y236,'92 HVO jet fuel'!$B$4:$B$59,0),MATCH(SUP_Biofuels!$I229,'92 HVO jet fuel'!$D$3:$H$3,0))*(SUM(K229:K232))</f>
        <v>4.0227272727272723E-2</v>
      </c>
      <c r="M236" s="43"/>
      <c r="N236" s="43"/>
      <c r="O236" s="43"/>
      <c r="P236" s="40"/>
      <c r="Q236" s="43"/>
      <c r="R236" s="43"/>
      <c r="S236" s="43"/>
      <c r="T236" s="43"/>
      <c r="U236" s="46"/>
      <c r="V236" s="46"/>
      <c r="W236" s="46"/>
      <c r="X236" s="46"/>
      <c r="Y236" s="47" t="str">
        <f>Y228</f>
        <v>District Heating Output, MWh/MWh Total input</v>
      </c>
    </row>
    <row r="237" spans="3:25" ht="15.6">
      <c r="C237" s="54" t="str">
        <f>"SUP"&amp;F237&amp;RIGHT(E237,3)&amp;IF(RIGHT(D237,7)="Central","C1","D1")</f>
        <v>SUPKRB1CRBC1</v>
      </c>
      <c r="D237" s="57" t="str">
        <f>'92 HVO jet fuel'!D2&amp;" Central"</f>
        <v>HVO Jet Fuel Central</v>
      </c>
      <c r="E237" s="17" t="s">
        <v>1761</v>
      </c>
      <c r="F237" s="17" t="s">
        <v>79</v>
      </c>
      <c r="G237" s="17"/>
      <c r="H237" s="17" t="s">
        <v>70</v>
      </c>
      <c r="I237" s="17">
        <f>'93 1st generation ethanol'!$D$3</f>
        <v>2015</v>
      </c>
      <c r="J237" s="19">
        <v>2030</v>
      </c>
      <c r="K237" s="33">
        <f>(INDEX('92 HVO jet fuel'!$D$4:$H$59,MATCH(SUP_Biofuels!W237,'92 HVO jet fuel'!$B$4:$B$59,0),MATCH(SUP_Biofuels!$I237,'92 HVO jet fuel'!$D$3:$H$3,0)))/INDEX('92 HVO jet fuel'!$D$4:$H$59,MATCH(SUP_Biofuels!X237,'92 HVO jet fuel'!$B$4:$B$59,0),MATCH(SUP_Biofuels!$I237,'92 HVO jet fuel'!$D$3:$H$3,0))</f>
        <v>1.1803030303030302</v>
      </c>
      <c r="L237" s="33"/>
      <c r="M237" s="34">
        <f>INDEX('92 HVO jet fuel'!$D$4:$H$59,MATCH(SUP_Biofuels!M$8,'92 HVO jet fuel'!$B$4:$B$59,0),MATCH(SUP_Biofuels!$I237,'92 HVO jet fuel'!$D$3:$H$3,0))</f>
        <v>25</v>
      </c>
      <c r="N237" s="35">
        <f>INDEX('92 HVO jet fuel'!$D$4:$H$59,MATCH(SUP_Biofuels!N$8,'92 HVO jet fuel'!$B$4:$B$59,0),MATCH(SUP_Biofuels!$I237,'92 HVO jet fuel'!$D$3:$H$3,0))*7.45</f>
        <v>7.1397223466188997</v>
      </c>
      <c r="O237" s="35">
        <f>INDEX('92 HVO jet fuel'!$D$4:$H$59,MATCH(SUP_Biofuels!O$8,'92 HVO jet fuel'!$B$4:$B$59,0),MATCH(SUP_Biofuels!$I237,'92 HVO jet fuel'!$D$3:$H$3,0))*7.45</f>
        <v>0.26690550828481863</v>
      </c>
      <c r="P237" s="35">
        <f>INDEX('92 HVO jet fuel'!$D$4:$H$59,MATCH(SUP_Biofuels!P$8,'92 HVO jet fuel'!$B$4:$B$59,0),MATCH(SUP_Biofuels!$I237,'92 HVO jet fuel'!$D$3:$H$3,0))*7.45/3.6</f>
        <v>17.591358678811794</v>
      </c>
      <c r="Q237" s="33">
        <f>1-INDEX('92 HVO jet fuel'!$D$4:$H$59,MATCH(SUP_Biofuels!Q$7,'92 HVO jet fuel'!$B$4:$B$59,0),MATCH(SUP_Biofuels!$I237,'92 HVO jet fuel'!$D$3:$H$3,0))/52-INDEX('92 HVO jet fuel'!$D$4:$H$59,MATCH(SUP_Biofuels!Q$8,'92 HVO jet fuel'!$B$4:$B$59,0),MATCH(SUP_Biofuels!$I237,'92 HVO jet fuel'!$D$3:$H$3,0))/100</f>
        <v>0.96153846153846156</v>
      </c>
      <c r="R237" s="36">
        <f>$R$39</f>
        <v>3.1536000000000002E-2</v>
      </c>
      <c r="S237" s="34">
        <f>INDEX('92 HVO jet fuel'!$D$4:$H$59,MATCH(SUP_Biofuels!S$8,'92 HVO jet fuel'!$B$4:$B$59,0),MATCH(SUP_Biofuels!$I237,'92 HVO jet fuel'!$D$3:$H$3,0))</f>
        <v>2</v>
      </c>
      <c r="T237" s="34"/>
      <c r="U237" s="37"/>
      <c r="V237" s="38" t="s">
        <v>74</v>
      </c>
      <c r="W237" s="17" t="str">
        <f>W197</f>
        <v>Feedstock Consumption, MWh/MWh Total Inputs</v>
      </c>
      <c r="X237" s="17" t="str">
        <f>X197</f>
        <v>HVO Jet Output, GJ/GJ Total Input</v>
      </c>
      <c r="Y237" s="17"/>
    </row>
    <row r="238" spans="3:25">
      <c r="C238" s="17"/>
      <c r="D238" s="17"/>
      <c r="E238" s="17" t="s">
        <v>1386</v>
      </c>
      <c r="F238" s="17"/>
      <c r="G238" s="17"/>
      <c r="H238" s="17"/>
      <c r="I238" s="17"/>
      <c r="J238" s="17"/>
      <c r="K238" s="33">
        <f>(INDEX('92 HVO jet fuel'!$D$4:$H$59,MATCH(SUP_Biofuels!W238,'92 HVO jet fuel'!$B$4:$B$59,0),MATCH(SUP_Biofuels!$I237,'92 HVO jet fuel'!$D$3:$H$3,0)))/INDEX('92 HVO jet fuel'!$D$4:$H$59,MATCH(SUP_Biofuels!X237,'92 HVO jet fuel'!$B$4:$B$59,0),MATCH(SUP_Biofuels!$I237,'92 HVO jet fuel'!$D$3:$H$3,0))</f>
        <v>0.15</v>
      </c>
      <c r="L238" s="33"/>
      <c r="M238" s="39"/>
      <c r="N238" s="40"/>
      <c r="O238" s="40"/>
      <c r="P238" s="40"/>
      <c r="Q238" s="41"/>
      <c r="R238" s="42"/>
      <c r="S238" s="39"/>
      <c r="T238" s="39"/>
      <c r="U238" s="43"/>
      <c r="V238" s="43"/>
      <c r="W238" s="17" t="str">
        <f>W198</f>
        <v>Hydrogen Consumption, MWh/MWh Total Inputs</v>
      </c>
      <c r="X238" s="17"/>
      <c r="Y238" s="17"/>
    </row>
    <row r="239" spans="3:25">
      <c r="C239" s="43"/>
      <c r="D239" s="43"/>
      <c r="E239" s="43" t="s">
        <v>71</v>
      </c>
      <c r="F239" s="43"/>
      <c r="G239" s="43"/>
      <c r="H239" s="43"/>
      <c r="I239" s="43"/>
      <c r="J239" s="43"/>
      <c r="K239" s="33">
        <f>(INDEX('92 HVO jet fuel'!$D$4:$H$59,MATCH(SUP_Biofuels!W239,'92 HVO jet fuel'!$B$4:$B$59,0),MATCH(SUP_Biofuels!$I237,'92 HVO jet fuel'!$D$3:$H$3,0)))/INDEX('92 HVO jet fuel'!$D$4:$H$59,MATCH(SUP_Biofuels!X237,'92 HVO jet fuel'!$B$4:$B$59,0),MATCH(SUP_Biofuels!$I237,'92 HVO jet fuel'!$D$3:$H$3,0))</f>
        <v>4.5454545454545452E-3</v>
      </c>
      <c r="L239" s="43"/>
      <c r="M239" s="43"/>
      <c r="N239" s="43"/>
      <c r="O239" s="43"/>
      <c r="P239" s="40"/>
      <c r="Q239" s="43"/>
      <c r="R239" s="43"/>
      <c r="S239" s="43"/>
      <c r="T239" s="43"/>
      <c r="U239" s="43"/>
      <c r="V239" s="43"/>
      <c r="W239" s="17" t="str">
        <f>W199</f>
        <v>Electricity Consumption, MWh/MWh Total Inputs</v>
      </c>
      <c r="X239" s="43"/>
      <c r="Y239" s="43"/>
    </row>
    <row r="240" spans="3:25">
      <c r="C240" s="43"/>
      <c r="D240" s="43"/>
      <c r="E240" s="43" t="s">
        <v>1760</v>
      </c>
      <c r="F240" s="43"/>
      <c r="G240" s="43"/>
      <c r="H240" s="43"/>
      <c r="I240" s="43"/>
      <c r="J240" s="43"/>
      <c r="K240" s="33">
        <f>(INDEX('92 HVO jet fuel'!$D$4:$H$59,MATCH(SUP_Biofuels!W240,'92 HVO jet fuel'!$B$4:$B$59,0),MATCH(SUP_Biofuels!$I237,'92 HVO jet fuel'!$D$3:$H$3,0)))/INDEX('92 HVO jet fuel'!$D$4:$H$59,MATCH(SUP_Biofuels!X237,'92 HVO jet fuel'!$B$4:$B$59,0),MATCH(SUP_Biofuels!$I237,'92 HVO jet fuel'!$D$3:$H$3,0))</f>
        <v>0.1803030303030303</v>
      </c>
      <c r="L240" s="43"/>
      <c r="M240" s="43"/>
      <c r="N240" s="43"/>
      <c r="O240" s="43"/>
      <c r="P240" s="40"/>
      <c r="Q240" s="43"/>
      <c r="R240" s="43"/>
      <c r="S240" s="43"/>
      <c r="T240" s="43"/>
      <c r="U240" s="43"/>
      <c r="V240" s="43"/>
      <c r="W240" s="17" t="str">
        <f>W200</f>
        <v>Natural Gas Consumption, MWh/MWh Total Inputs</v>
      </c>
      <c r="X240" s="43"/>
      <c r="Y240" s="43"/>
    </row>
    <row r="241" spans="3:25">
      <c r="C241" s="43"/>
      <c r="D241" s="43"/>
      <c r="E241" s="43"/>
      <c r="F241" s="43"/>
      <c r="G241" s="43" t="s">
        <v>76</v>
      </c>
      <c r="H241" s="43"/>
      <c r="I241" s="43"/>
      <c r="J241" s="43"/>
      <c r="K241" s="43"/>
      <c r="L241" s="33">
        <f>INDEX('92 HVO jet fuel'!$D$4:$H$59,MATCH(SUP_Biofuels!Y241,'92 HVO jet fuel'!$B$4:$B$59,0),MATCH(SUP_Biofuels!$I237,'92 HVO jet fuel'!$D$3:$H$3,0))*(SUM(K237:K240))</f>
        <v>9.8636363636363647E-2</v>
      </c>
      <c r="M241" s="43"/>
      <c r="N241" s="43"/>
      <c r="O241" s="43"/>
      <c r="P241" s="40"/>
      <c r="Q241" s="43"/>
      <c r="R241" s="43"/>
      <c r="S241" s="43"/>
      <c r="T241" s="43"/>
      <c r="U241" s="43"/>
      <c r="V241" s="43"/>
      <c r="W241" s="43"/>
      <c r="X241" s="43"/>
      <c r="Y241" s="17" t="str">
        <f>Y201</f>
        <v>Naphta Output, MWh/MWh Total Input</v>
      </c>
    </row>
    <row r="242" spans="3:25">
      <c r="C242" s="43"/>
      <c r="D242" s="43"/>
      <c r="E242" s="43"/>
      <c r="F242" s="43"/>
      <c r="G242" s="43" t="s">
        <v>78</v>
      </c>
      <c r="H242" s="43"/>
      <c r="I242" s="43"/>
      <c r="J242" s="43"/>
      <c r="K242" s="43"/>
      <c r="L242" s="33">
        <f>INDEX('92 HVO jet fuel'!$D$4:$H$59,MATCH(SUP_Biofuels!Y242,'92 HVO jet fuel'!$B$4:$B$59,0),MATCH(SUP_Biofuels!$I237,'92 HVO jet fuel'!$D$3:$H$3,0))*(SUM(K237:K240))</f>
        <v>0.13999999999999999</v>
      </c>
      <c r="M242" s="43"/>
      <c r="N242" s="43"/>
      <c r="O242" s="43"/>
      <c r="P242" s="40"/>
      <c r="Q242" s="43"/>
      <c r="R242" s="43"/>
      <c r="S242" s="43"/>
      <c r="T242" s="43"/>
      <c r="U242" s="43"/>
      <c r="V242" s="43"/>
      <c r="W242" s="43"/>
      <c r="X242" s="43"/>
      <c r="Y242" s="17" t="str">
        <f>Y202</f>
        <v>LPG Output, MWh/MWh Total Input</v>
      </c>
    </row>
    <row r="243" spans="3:25">
      <c r="C243" s="43"/>
      <c r="D243" s="43"/>
      <c r="E243" s="43"/>
      <c r="F243" s="43"/>
      <c r="G243" s="43" t="s">
        <v>77</v>
      </c>
      <c r="H243" s="43"/>
      <c r="I243" s="43"/>
      <c r="J243" s="43"/>
      <c r="K243" s="43"/>
      <c r="L243" s="33">
        <f>INDEX('92 HVO jet fuel'!$D$4:$H$59,MATCH(SUP_Biofuels!Y243,'92 HVO jet fuel'!$B$4:$B$59,0),MATCH(SUP_Biofuels!$I237,'92 HVO jet fuel'!$D$3:$H$3,0))*(SUM(K237:K240))</f>
        <v>0.15151515151515152</v>
      </c>
      <c r="M243" s="43"/>
      <c r="N243" s="43"/>
      <c r="O243" s="43"/>
      <c r="P243" s="40"/>
      <c r="Q243" s="43"/>
      <c r="R243" s="43"/>
      <c r="S243" s="43"/>
      <c r="T243" s="43"/>
      <c r="U243" s="43"/>
      <c r="V243" s="43"/>
      <c r="W243" s="43"/>
      <c r="X243" s="43"/>
      <c r="Y243" s="17" t="str">
        <f>Y203</f>
        <v>Fuel Gas Output, MWh/MWh Total Input</v>
      </c>
    </row>
    <row r="244" spans="3:25">
      <c r="C244" s="43"/>
      <c r="D244" s="43"/>
      <c r="E244" s="43"/>
      <c r="F244" s="43"/>
      <c r="G244" s="7" t="s">
        <v>216</v>
      </c>
      <c r="H244" s="43"/>
      <c r="I244" s="43"/>
      <c r="J244" s="43"/>
      <c r="K244" s="43"/>
      <c r="L244" s="33">
        <f>INDEX('92 HVO jet fuel'!$D$4:$H$59,MATCH(SUP_Biofuels!Y244,'92 HVO jet fuel'!$B$4:$B$59,0),MATCH(SUP_Biofuels!$I237,'92 HVO jet fuel'!$D$3:$H$3,0))*(SUM(K237:K240))</f>
        <v>4.0227272727272723E-2</v>
      </c>
      <c r="M244" s="43"/>
      <c r="N244" s="43"/>
      <c r="O244" s="43"/>
      <c r="P244" s="40"/>
      <c r="Q244" s="43"/>
      <c r="R244" s="43"/>
      <c r="S244" s="43"/>
      <c r="T244" s="43"/>
      <c r="U244" s="43"/>
      <c r="V244" s="43"/>
      <c r="W244" s="43"/>
      <c r="X244" s="43"/>
      <c r="Y244" s="17" t="str">
        <f>Y204</f>
        <v>District Heating Output, MWh/MWh Total input</v>
      </c>
    </row>
    <row r="245" spans="3:25" ht="15.6">
      <c r="C245" s="17"/>
      <c r="D245" s="32"/>
      <c r="E245" s="17" t="str">
        <f>E237</f>
        <v>SUPCRB</v>
      </c>
      <c r="F245" s="17" t="str">
        <f>F237</f>
        <v>KRB1</v>
      </c>
      <c r="G245" s="17"/>
      <c r="H245" s="17" t="s">
        <v>70</v>
      </c>
      <c r="I245" s="17">
        <v>2020</v>
      </c>
      <c r="J245" s="17"/>
      <c r="K245" s="33">
        <f>(INDEX('92 HVO jet fuel'!$D$4:$H$59,MATCH(SUP_Biofuels!W245,'92 HVO jet fuel'!$B$4:$B$59,0),MATCH(SUP_Biofuels!$I245,'92 HVO jet fuel'!$D$3:$H$3,0)))/INDEX('92 HVO jet fuel'!$D$4:$H$59,MATCH(SUP_Biofuels!X245,'92 HVO jet fuel'!$B$4:$B$59,0),MATCH(SUP_Biofuels!$I245,'92 HVO jet fuel'!$D$3:$H$3,0))</f>
        <v>1.1803030303030302</v>
      </c>
      <c r="L245" s="33"/>
      <c r="M245" s="34">
        <f>INDEX('92 HVO jet fuel'!$D$4:$H$59,MATCH(SUP_Biofuels!M$8,'92 HVO jet fuel'!$B$4:$B$59,0),MATCH(SUP_Biofuels!$I245,'92 HVO jet fuel'!$D$3:$H$3,0))</f>
        <v>25</v>
      </c>
      <c r="N245" s="35">
        <f>INDEX('92 HVO jet fuel'!$D$4:$H$59,MATCH(SUP_Biofuels!N$8,'92 HVO jet fuel'!$B$4:$B$59,0),MATCH(SUP_Biofuels!$I245,'92 HVO jet fuel'!$D$3:$H$3,0))*7.45</f>
        <v>7.1397223466188997</v>
      </c>
      <c r="O245" s="35">
        <f>INDEX('92 HVO jet fuel'!$D$4:$H$59,MATCH(SUP_Biofuels!O$8,'92 HVO jet fuel'!$B$4:$B$59,0),MATCH(SUP_Biofuels!$I245,'92 HVO jet fuel'!$D$3:$H$3,0))*7.45</f>
        <v>0.26690550828481863</v>
      </c>
      <c r="P245" s="35">
        <f>INDEX('92 HVO jet fuel'!$D$4:$H$59,MATCH(SUP_Biofuels!P$8,'92 HVO jet fuel'!$B$4:$B$59,0),MATCH(SUP_Biofuels!$I245,'92 HVO jet fuel'!$D$3:$H$3,0))*7.45/3.6</f>
        <v>17.591358678811794</v>
      </c>
      <c r="Q245" s="33">
        <f>1-INDEX('92 HVO jet fuel'!$D$4:$H$59,MATCH(SUP_Biofuels!Q$7,'92 HVO jet fuel'!$B$4:$B$59,0),MATCH(SUP_Biofuels!$I245,'92 HVO jet fuel'!$D$3:$H$3,0))/52-INDEX('92 HVO jet fuel'!$D$4:$H$59,MATCH(SUP_Biofuels!Q$8,'92 HVO jet fuel'!$B$4:$B$59,0),MATCH(SUP_Biofuels!$I245,'92 HVO jet fuel'!$D$3:$H$3,0))/100</f>
        <v>0.96153846153846156</v>
      </c>
      <c r="R245" s="36">
        <f>$R$39</f>
        <v>3.1536000000000002E-2</v>
      </c>
      <c r="S245" s="34">
        <f>INDEX('92 HVO jet fuel'!$D$4:$H$59,MATCH(SUP_Biofuels!S$8,'92 HVO jet fuel'!$B$4:$B$59,0),MATCH(SUP_Biofuels!$I245,'92 HVO jet fuel'!$D$3:$H$3,0))</f>
        <v>2</v>
      </c>
      <c r="T245" s="34"/>
      <c r="U245" s="44"/>
      <c r="V245" s="45"/>
      <c r="W245" s="17" t="str">
        <f>W237</f>
        <v>Feedstock Consumption, MWh/MWh Total Inputs</v>
      </c>
      <c r="X245" s="17" t="str">
        <f>X237</f>
        <v>HVO Jet Output, GJ/GJ Total Input</v>
      </c>
      <c r="Y245" s="17"/>
    </row>
    <row r="246" spans="3:25">
      <c r="C246" s="17"/>
      <c r="D246" s="17"/>
      <c r="E246" s="17" t="str">
        <f>E238</f>
        <v>SUPH2</v>
      </c>
      <c r="F246" s="17"/>
      <c r="G246" s="17"/>
      <c r="H246" s="17"/>
      <c r="I246" s="17"/>
      <c r="J246" s="17"/>
      <c r="K246" s="33">
        <f>(INDEX('92 HVO jet fuel'!$D$4:$H$59,MATCH(SUP_Biofuels!W246,'92 HVO jet fuel'!$B$4:$B$59,0),MATCH(SUP_Biofuels!$I245,'92 HVO jet fuel'!$D$3:$H$3,0)))/INDEX('92 HVO jet fuel'!$D$4:$H$59,MATCH(SUP_Biofuels!X245,'92 HVO jet fuel'!$B$4:$B$59,0),MATCH(SUP_Biofuels!$I245,'92 HVO jet fuel'!$D$3:$H$3,0))</f>
        <v>0.15</v>
      </c>
      <c r="L246" s="33"/>
      <c r="M246" s="39"/>
      <c r="N246" s="40"/>
      <c r="O246" s="40"/>
      <c r="P246" s="40"/>
      <c r="Q246" s="41"/>
      <c r="R246" s="42"/>
      <c r="S246" s="39"/>
      <c r="T246" s="39"/>
      <c r="U246" s="43"/>
      <c r="V246" s="43"/>
      <c r="W246" s="17" t="str">
        <f>W238</f>
        <v>Hydrogen Consumption, MWh/MWh Total Inputs</v>
      </c>
      <c r="X246" s="17"/>
      <c r="Y246" s="17"/>
    </row>
    <row r="247" spans="3:25">
      <c r="C247" s="43"/>
      <c r="D247" s="43"/>
      <c r="E247" s="17" t="str">
        <f>E239</f>
        <v>SUPELC</v>
      </c>
      <c r="F247" s="43"/>
      <c r="G247" s="43"/>
      <c r="H247" s="43"/>
      <c r="I247" s="43"/>
      <c r="J247" s="43"/>
      <c r="K247" s="33">
        <f>(INDEX('92 HVO jet fuel'!$D$4:$H$59,MATCH(SUP_Biofuels!W247,'92 HVO jet fuel'!$B$4:$B$59,0),MATCH(SUP_Biofuels!$I245,'92 HVO jet fuel'!$D$3:$H$3,0)))/INDEX('92 HVO jet fuel'!$D$4:$H$59,MATCH(SUP_Biofuels!X245,'92 HVO jet fuel'!$B$4:$B$59,0),MATCH(SUP_Biofuels!$I245,'92 HVO jet fuel'!$D$3:$H$3,0))</f>
        <v>4.5454545454545452E-3</v>
      </c>
      <c r="L247" s="43"/>
      <c r="M247" s="43"/>
      <c r="N247" s="43"/>
      <c r="O247" s="43"/>
      <c r="P247" s="40"/>
      <c r="Q247" s="43"/>
      <c r="R247" s="43"/>
      <c r="S247" s="43"/>
      <c r="T247" s="43"/>
      <c r="U247" s="43"/>
      <c r="V247" s="43"/>
      <c r="W247" s="17" t="str">
        <f>W239</f>
        <v>Electricity Consumption, MWh/MWh Total Inputs</v>
      </c>
      <c r="X247" s="43"/>
      <c r="Y247" s="43"/>
    </row>
    <row r="248" spans="3:25">
      <c r="C248" s="43"/>
      <c r="D248" s="43"/>
      <c r="E248" s="17" t="str">
        <f>E240</f>
        <v>SUPNGA,SUPSNG,SUPH2</v>
      </c>
      <c r="F248" s="43"/>
      <c r="G248" s="43"/>
      <c r="H248" s="43"/>
      <c r="I248" s="43"/>
      <c r="J248" s="43"/>
      <c r="K248" s="33">
        <f>(INDEX('92 HVO jet fuel'!$D$4:$H$59,MATCH(SUP_Biofuels!W248,'92 HVO jet fuel'!$B$4:$B$59,0),MATCH(SUP_Biofuels!$I245,'92 HVO jet fuel'!$D$3:$H$3,0)))/INDEX('92 HVO jet fuel'!$D$4:$H$59,MATCH(SUP_Biofuels!X245,'92 HVO jet fuel'!$B$4:$B$59,0),MATCH(SUP_Biofuels!$I245,'92 HVO jet fuel'!$D$3:$H$3,0))</f>
        <v>0.1803030303030303</v>
      </c>
      <c r="L248" s="43"/>
      <c r="M248" s="43"/>
      <c r="N248" s="43"/>
      <c r="O248" s="43"/>
      <c r="P248" s="40"/>
      <c r="Q248" s="43"/>
      <c r="R248" s="43"/>
      <c r="S248" s="43"/>
      <c r="T248" s="43"/>
      <c r="U248" s="43"/>
      <c r="V248" s="43"/>
      <c r="W248" s="17" t="str">
        <f>W240</f>
        <v>Natural Gas Consumption, MWh/MWh Total Inputs</v>
      </c>
      <c r="X248" s="43"/>
      <c r="Y248" s="43"/>
    </row>
    <row r="249" spans="3:25" ht="15.6">
      <c r="C249" s="43"/>
      <c r="D249" s="32"/>
      <c r="E249" s="43"/>
      <c r="F249" s="43"/>
      <c r="G249" s="17" t="str">
        <f>G241</f>
        <v>LVN</v>
      </c>
      <c r="H249" s="43"/>
      <c r="I249" s="43"/>
      <c r="J249" s="43"/>
      <c r="K249" s="43"/>
      <c r="L249" s="33">
        <f>INDEX('92 HVO jet fuel'!$D$4:$H$59,MATCH(SUP_Biofuels!Y249,'92 HVO jet fuel'!$B$4:$B$59,0),MATCH(SUP_Biofuels!$I245,'92 HVO jet fuel'!$D$3:$H$3,0))*(SUM(K245:K248))</f>
        <v>9.8636363636363647E-2</v>
      </c>
      <c r="M249" s="43"/>
      <c r="N249" s="43"/>
      <c r="O249" s="43"/>
      <c r="P249" s="40"/>
      <c r="Q249" s="43"/>
      <c r="R249" s="43"/>
      <c r="S249" s="43"/>
      <c r="T249" s="43"/>
      <c r="U249" s="43"/>
      <c r="V249" s="45"/>
      <c r="W249" s="43"/>
      <c r="X249" s="43"/>
      <c r="Y249" s="17" t="str">
        <f>Y241</f>
        <v>Naphta Output, MWh/MWh Total Input</v>
      </c>
    </row>
    <row r="250" spans="3:25">
      <c r="C250" s="43"/>
      <c r="D250" s="43"/>
      <c r="E250" s="43"/>
      <c r="F250" s="43"/>
      <c r="G250" s="17" t="str">
        <f>G242</f>
        <v>LPG</v>
      </c>
      <c r="H250" s="43"/>
      <c r="I250" s="43"/>
      <c r="J250" s="43"/>
      <c r="K250" s="43"/>
      <c r="L250" s="33">
        <f>INDEX('92 HVO jet fuel'!$D$4:$H$59,MATCH(SUP_Biofuels!Y250,'92 HVO jet fuel'!$B$4:$B$59,0),MATCH(SUP_Biofuels!$I245,'92 HVO jet fuel'!$D$3:$H$3,0))*(SUM(K245:K248))</f>
        <v>0.13999999999999999</v>
      </c>
      <c r="M250" s="43"/>
      <c r="N250" s="43"/>
      <c r="O250" s="43"/>
      <c r="P250" s="40"/>
      <c r="Q250" s="43"/>
      <c r="R250" s="43"/>
      <c r="S250" s="43"/>
      <c r="T250" s="43"/>
      <c r="U250" s="43"/>
      <c r="V250" s="43"/>
      <c r="W250" s="43"/>
      <c r="X250" s="43"/>
      <c r="Y250" s="17" t="str">
        <f>Y242</f>
        <v>LPG Output, MWh/MWh Total Input</v>
      </c>
    </row>
    <row r="251" spans="3:25">
      <c r="C251" s="43"/>
      <c r="D251" s="43"/>
      <c r="E251" s="43"/>
      <c r="F251" s="43"/>
      <c r="G251" s="17" t="str">
        <f>G243</f>
        <v>SNG1</v>
      </c>
      <c r="H251" s="43"/>
      <c r="I251" s="43"/>
      <c r="J251" s="43"/>
      <c r="K251" s="43"/>
      <c r="L251" s="33">
        <f>INDEX('92 HVO jet fuel'!$D$4:$H$59,MATCH(SUP_Biofuels!Y251,'92 HVO jet fuel'!$B$4:$B$59,0),MATCH(SUP_Biofuels!$I245,'92 HVO jet fuel'!$D$3:$H$3,0))*(SUM(K245:K248))</f>
        <v>0.15151515151515152</v>
      </c>
      <c r="M251" s="43"/>
      <c r="N251" s="43"/>
      <c r="O251" s="43"/>
      <c r="P251" s="40"/>
      <c r="Q251" s="43"/>
      <c r="R251" s="43"/>
      <c r="S251" s="43"/>
      <c r="T251" s="43"/>
      <c r="U251" s="43"/>
      <c r="V251" s="43"/>
      <c r="W251" s="43"/>
      <c r="X251" s="43"/>
      <c r="Y251" s="17" t="str">
        <f>Y243</f>
        <v>Fuel Gas Output, MWh/MWh Total Input</v>
      </c>
    </row>
    <row r="252" spans="3:25">
      <c r="C252" s="43"/>
      <c r="D252" s="43"/>
      <c r="E252" s="43"/>
      <c r="F252" s="43"/>
      <c r="G252" s="7" t="s">
        <v>216</v>
      </c>
      <c r="H252" s="43"/>
      <c r="I252" s="43"/>
      <c r="J252" s="43"/>
      <c r="K252" s="43"/>
      <c r="L252" s="33">
        <f>INDEX('92 HVO jet fuel'!$D$4:$H$59,MATCH(SUP_Biofuels!Y252,'92 HVO jet fuel'!$B$4:$B$59,0),MATCH(SUP_Biofuels!$I245,'92 HVO jet fuel'!$D$3:$H$3,0))*(SUM(K245:K248))</f>
        <v>4.0227272727272723E-2</v>
      </c>
      <c r="M252" s="43"/>
      <c r="N252" s="43"/>
      <c r="O252" s="43"/>
      <c r="P252" s="40"/>
      <c r="Q252" s="43"/>
      <c r="R252" s="43"/>
      <c r="S252" s="43"/>
      <c r="T252" s="43"/>
      <c r="U252" s="43"/>
      <c r="V252" s="43"/>
      <c r="W252" s="43"/>
      <c r="X252" s="43"/>
      <c r="Y252" s="17" t="str">
        <f>Y244</f>
        <v>District Heating Output, MWh/MWh Total input</v>
      </c>
    </row>
    <row r="253" spans="3:25">
      <c r="C253" s="43"/>
      <c r="D253" s="17"/>
      <c r="E253" s="17" t="str">
        <f>E245</f>
        <v>SUPCRB</v>
      </c>
      <c r="F253" s="17" t="str">
        <f>F245</f>
        <v>KRB1</v>
      </c>
      <c r="G253" s="17"/>
      <c r="H253" s="17" t="s">
        <v>70</v>
      </c>
      <c r="I253" s="17">
        <v>2030</v>
      </c>
      <c r="J253" s="17"/>
      <c r="K253" s="33">
        <f>(INDEX('92 HVO jet fuel'!$D$4:$H$59,MATCH(SUP_Biofuels!W253,'92 HVO jet fuel'!$B$4:$B$59,0),MATCH(SUP_Biofuels!$I253,'92 HVO jet fuel'!$D$3:$H$3,0)))/INDEX('92 HVO jet fuel'!$D$4:$H$59,MATCH(SUP_Biofuels!X253,'92 HVO jet fuel'!$B$4:$B$59,0),MATCH(SUP_Biofuels!$I253,'92 HVO jet fuel'!$D$3:$H$3,0))</f>
        <v>1.1803030303030302</v>
      </c>
      <c r="L253" s="33"/>
      <c r="M253" s="34">
        <f>INDEX('92 HVO jet fuel'!$D$4:$H$59,MATCH(SUP_Biofuels!M$8,'92 HVO jet fuel'!$B$4:$B$59,0),MATCH(SUP_Biofuels!$I253,'92 HVO jet fuel'!$D$3:$H$3,0))</f>
        <v>25</v>
      </c>
      <c r="N253" s="35">
        <f>INDEX('92 HVO jet fuel'!$D$4:$H$59,MATCH(SUP_Biofuels!N$8,'92 HVO jet fuel'!$B$4:$B$59,0),MATCH(SUP_Biofuels!$I253,'92 HVO jet fuel'!$D$3:$H$3,0))*7.45</f>
        <v>6.0374025974025978</v>
      </c>
      <c r="O253" s="35">
        <f>INDEX('92 HVO jet fuel'!$D$4:$H$59,MATCH(SUP_Biofuels!O$8,'92 HVO jet fuel'!$B$4:$B$59,0),MATCH(SUP_Biofuels!$I253,'92 HVO jet fuel'!$D$3:$H$3,0))*7.45</f>
        <v>0.26538033395176247</v>
      </c>
      <c r="P253" s="35">
        <f>INDEX('92 HVO jet fuel'!$D$4:$H$59,MATCH(SUP_Biofuels!P$8,'92 HVO jet fuel'!$B$4:$B$59,0),MATCH(SUP_Biofuels!$I253,'92 HVO jet fuel'!$D$3:$H$3,0))*7.45/3.6</f>
        <v>17.591358678811794</v>
      </c>
      <c r="Q253" s="33">
        <f>1-INDEX('92 HVO jet fuel'!$D$4:$H$59,MATCH(SUP_Biofuels!Q$7,'92 HVO jet fuel'!$B$4:$B$59,0),MATCH(SUP_Biofuels!$I253,'92 HVO jet fuel'!$D$3:$H$3,0))/52-INDEX('92 HVO jet fuel'!$D$4:$H$59,MATCH(SUP_Biofuels!Q$8,'92 HVO jet fuel'!$B$4:$B$59,0),MATCH(SUP_Biofuels!$I253,'92 HVO jet fuel'!$D$3:$H$3,0))/100</f>
        <v>0.96153846153846156</v>
      </c>
      <c r="R253" s="36">
        <f>$R$39</f>
        <v>3.1536000000000002E-2</v>
      </c>
      <c r="S253" s="34">
        <f>INDEX('92 HVO jet fuel'!$D$4:$H$59,MATCH(SUP_Biofuels!S$8,'92 HVO jet fuel'!$B$4:$B$59,0),MATCH(SUP_Biofuels!$I253,'92 HVO jet fuel'!$D$3:$H$3,0))</f>
        <v>2</v>
      </c>
      <c r="T253" s="34"/>
      <c r="U253" s="44"/>
      <c r="V253" s="43"/>
      <c r="W253" s="17" t="str">
        <f>W245</f>
        <v>Feedstock Consumption, MWh/MWh Total Inputs</v>
      </c>
      <c r="X253" s="17" t="str">
        <f>X245</f>
        <v>HVO Jet Output, GJ/GJ Total Input</v>
      </c>
      <c r="Y253" s="17"/>
    </row>
    <row r="254" spans="3:25">
      <c r="C254" s="43"/>
      <c r="D254" s="43"/>
      <c r="E254" s="17" t="str">
        <f>E246</f>
        <v>SUPH2</v>
      </c>
      <c r="F254" s="17"/>
      <c r="G254" s="17"/>
      <c r="H254" s="17"/>
      <c r="I254" s="17"/>
      <c r="J254" s="17"/>
      <c r="K254" s="33">
        <f>(INDEX('92 HVO jet fuel'!$D$4:$H$59,MATCH(SUP_Biofuels!W254,'92 HVO jet fuel'!$B$4:$B$59,0),MATCH(SUP_Biofuels!$I253,'92 HVO jet fuel'!$D$3:$H$3,0)))/INDEX('92 HVO jet fuel'!$D$4:$H$59,MATCH(SUP_Biofuels!X253,'92 HVO jet fuel'!$B$4:$B$59,0),MATCH(SUP_Biofuels!$I253,'92 HVO jet fuel'!$D$3:$H$3,0))</f>
        <v>0.15</v>
      </c>
      <c r="L254" s="33"/>
      <c r="M254" s="39"/>
      <c r="N254" s="40"/>
      <c r="O254" s="40"/>
      <c r="P254" s="40"/>
      <c r="Q254" s="41"/>
      <c r="R254" s="42"/>
      <c r="S254" s="39"/>
      <c r="T254" s="39"/>
      <c r="U254" s="43"/>
      <c r="V254" s="43"/>
      <c r="W254" s="17" t="str">
        <f>W246</f>
        <v>Hydrogen Consumption, MWh/MWh Total Inputs</v>
      </c>
      <c r="X254" s="17"/>
      <c r="Y254" s="17"/>
    </row>
    <row r="255" spans="3:25">
      <c r="C255" s="43"/>
      <c r="D255" s="43"/>
      <c r="E255" s="17" t="str">
        <f>E247</f>
        <v>SUPELC</v>
      </c>
      <c r="F255" s="43"/>
      <c r="G255" s="43"/>
      <c r="H255" s="43"/>
      <c r="I255" s="43"/>
      <c r="J255" s="43"/>
      <c r="K255" s="33">
        <f>(INDEX('92 HVO jet fuel'!$D$4:$H$59,MATCH(SUP_Biofuels!W255,'92 HVO jet fuel'!$B$4:$B$59,0),MATCH(SUP_Biofuels!$I253,'92 HVO jet fuel'!$D$3:$H$3,0)))/INDEX('92 HVO jet fuel'!$D$4:$H$59,MATCH(SUP_Biofuels!X253,'92 HVO jet fuel'!$B$4:$B$59,0),MATCH(SUP_Biofuels!$I253,'92 HVO jet fuel'!$D$3:$H$3,0))</f>
        <v>4.5454545454545452E-3</v>
      </c>
      <c r="L255" s="43"/>
      <c r="M255" s="43"/>
      <c r="N255" s="43"/>
      <c r="O255" s="43"/>
      <c r="P255" s="40"/>
      <c r="Q255" s="43"/>
      <c r="R255" s="43"/>
      <c r="S255" s="43"/>
      <c r="T255" s="43"/>
      <c r="U255" s="43"/>
      <c r="V255" s="43"/>
      <c r="W255" s="17" t="str">
        <f>W247</f>
        <v>Electricity Consumption, MWh/MWh Total Inputs</v>
      </c>
      <c r="X255" s="43"/>
      <c r="Y255" s="43"/>
    </row>
    <row r="256" spans="3:25" ht="15.6">
      <c r="C256" s="43"/>
      <c r="D256" s="32"/>
      <c r="E256" s="17" t="str">
        <f>E248</f>
        <v>SUPNGA,SUPSNG,SUPH2</v>
      </c>
      <c r="F256" s="43"/>
      <c r="G256" s="43"/>
      <c r="H256" s="43"/>
      <c r="I256" s="43"/>
      <c r="J256" s="43"/>
      <c r="K256" s="33">
        <f>(INDEX('92 HVO jet fuel'!$D$4:$H$59,MATCH(SUP_Biofuels!W256,'92 HVO jet fuel'!$B$4:$B$59,0),MATCH(SUP_Biofuels!$I253,'92 HVO jet fuel'!$D$3:$H$3,0)))/INDEX('92 HVO jet fuel'!$D$4:$H$59,MATCH(SUP_Biofuels!X253,'92 HVO jet fuel'!$B$4:$B$59,0),MATCH(SUP_Biofuels!$I253,'92 HVO jet fuel'!$D$3:$H$3,0))</f>
        <v>0.1803030303030303</v>
      </c>
      <c r="L256" s="43"/>
      <c r="M256" s="43"/>
      <c r="N256" s="43"/>
      <c r="O256" s="43"/>
      <c r="P256" s="40"/>
      <c r="Q256" s="43"/>
      <c r="R256" s="43"/>
      <c r="S256" s="43"/>
      <c r="T256" s="43"/>
      <c r="U256" s="43"/>
      <c r="V256" s="45"/>
      <c r="W256" s="17" t="str">
        <f>W248</f>
        <v>Natural Gas Consumption, MWh/MWh Total Inputs</v>
      </c>
      <c r="X256" s="43"/>
      <c r="Y256" s="43"/>
    </row>
    <row r="257" spans="3:25">
      <c r="C257" s="43"/>
      <c r="D257" s="17"/>
      <c r="E257" s="43"/>
      <c r="F257" s="43"/>
      <c r="G257" s="17" t="str">
        <f>G249</f>
        <v>LVN</v>
      </c>
      <c r="H257" s="43"/>
      <c r="I257" s="43"/>
      <c r="J257" s="43"/>
      <c r="K257" s="43"/>
      <c r="L257" s="33">
        <f>INDEX('92 HVO jet fuel'!$D$4:$H$59,MATCH(SUP_Biofuels!Y257,'92 HVO jet fuel'!$B$4:$B$59,0),MATCH(SUP_Biofuels!$I253,'92 HVO jet fuel'!$D$3:$H$3,0))*(SUM(K253:K256))</f>
        <v>9.8636363636363647E-2</v>
      </c>
      <c r="M257" s="43"/>
      <c r="N257" s="43"/>
      <c r="O257" s="43"/>
      <c r="P257" s="40"/>
      <c r="Q257" s="43"/>
      <c r="R257" s="43"/>
      <c r="S257" s="43"/>
      <c r="T257" s="43"/>
      <c r="U257" s="43"/>
      <c r="V257" s="43"/>
      <c r="W257" s="43"/>
      <c r="X257" s="43"/>
      <c r="Y257" s="17" t="str">
        <f>Y249</f>
        <v>Naphta Output, MWh/MWh Total Input</v>
      </c>
    </row>
    <row r="258" spans="3:25">
      <c r="C258" s="43"/>
      <c r="D258" s="43"/>
      <c r="E258" s="43"/>
      <c r="F258" s="43"/>
      <c r="G258" s="17" t="str">
        <f>G250</f>
        <v>LPG</v>
      </c>
      <c r="H258" s="43"/>
      <c r="I258" s="43"/>
      <c r="J258" s="43"/>
      <c r="K258" s="43"/>
      <c r="L258" s="33">
        <f>INDEX('92 HVO jet fuel'!$D$4:$H$59,MATCH(SUP_Biofuels!Y258,'92 HVO jet fuel'!$B$4:$B$59,0),MATCH(SUP_Biofuels!$I253,'92 HVO jet fuel'!$D$3:$H$3,0))*(SUM(K253:K256))</f>
        <v>0.13999999999999999</v>
      </c>
      <c r="M258" s="43"/>
      <c r="N258" s="43"/>
      <c r="O258" s="43"/>
      <c r="P258" s="40"/>
      <c r="Q258" s="43"/>
      <c r="R258" s="43"/>
      <c r="S258" s="43"/>
      <c r="T258" s="43"/>
      <c r="U258" s="43"/>
      <c r="V258" s="43"/>
      <c r="W258" s="43"/>
      <c r="X258" s="43"/>
      <c r="Y258" s="17" t="str">
        <f>Y250</f>
        <v>LPG Output, MWh/MWh Total Input</v>
      </c>
    </row>
    <row r="259" spans="3:25">
      <c r="C259" s="43"/>
      <c r="D259" s="43"/>
      <c r="E259" s="43"/>
      <c r="F259" s="43"/>
      <c r="G259" s="17" t="str">
        <f>G251</f>
        <v>SNG1</v>
      </c>
      <c r="H259" s="43"/>
      <c r="I259" s="43"/>
      <c r="J259" s="43"/>
      <c r="K259" s="43"/>
      <c r="L259" s="33">
        <f>INDEX('92 HVO jet fuel'!$D$4:$H$59,MATCH(SUP_Biofuels!Y259,'92 HVO jet fuel'!$B$4:$B$59,0),MATCH(SUP_Biofuels!$I253,'92 HVO jet fuel'!$D$3:$H$3,0))*(SUM(K253:K256))</f>
        <v>0.15151515151515152</v>
      </c>
      <c r="M259" s="43"/>
      <c r="N259" s="43"/>
      <c r="O259" s="43"/>
      <c r="P259" s="40"/>
      <c r="Q259" s="43"/>
      <c r="R259" s="43"/>
      <c r="S259" s="43"/>
      <c r="T259" s="43"/>
      <c r="U259" s="43"/>
      <c r="V259" s="43"/>
      <c r="W259" s="43"/>
      <c r="X259" s="43"/>
      <c r="Y259" s="17" t="str">
        <f>Y251</f>
        <v>Fuel Gas Output, MWh/MWh Total Input</v>
      </c>
    </row>
    <row r="260" spans="3:25">
      <c r="C260" s="43"/>
      <c r="D260" s="43"/>
      <c r="E260" s="43"/>
      <c r="F260" s="43"/>
      <c r="G260" s="7" t="s">
        <v>216</v>
      </c>
      <c r="H260" s="43"/>
      <c r="I260" s="43"/>
      <c r="J260" s="43"/>
      <c r="K260" s="43"/>
      <c r="L260" s="33">
        <f>INDEX('92 HVO jet fuel'!$D$4:$H$59,MATCH(SUP_Biofuels!Y260,'92 HVO jet fuel'!$B$4:$B$59,0),MATCH(SUP_Biofuels!$I253,'92 HVO jet fuel'!$D$3:$H$3,0))*(SUM(K253:K256))</f>
        <v>4.0227272727272723E-2</v>
      </c>
      <c r="M260" s="43"/>
      <c r="N260" s="43"/>
      <c r="O260" s="43"/>
      <c r="P260" s="40"/>
      <c r="Q260" s="43"/>
      <c r="R260" s="43"/>
      <c r="S260" s="43"/>
      <c r="T260" s="43"/>
      <c r="U260" s="43"/>
      <c r="V260" s="43"/>
      <c r="W260" s="43"/>
      <c r="X260" s="43"/>
      <c r="Y260" s="17" t="str">
        <f>Y252</f>
        <v>District Heating Output, MWh/MWh Total input</v>
      </c>
    </row>
    <row r="261" spans="3:25">
      <c r="C261" s="43"/>
      <c r="D261" s="43"/>
      <c r="E261" s="17" t="str">
        <f>E253</f>
        <v>SUPCRB</v>
      </c>
      <c r="F261" s="17" t="str">
        <f>F253</f>
        <v>KRB1</v>
      </c>
      <c r="G261" s="17"/>
      <c r="H261" s="17" t="s">
        <v>70</v>
      </c>
      <c r="I261" s="17">
        <v>2040</v>
      </c>
      <c r="J261" s="17"/>
      <c r="K261" s="33">
        <f>(INDEX('92 HVO jet fuel'!$D$4:$H$59,MATCH(SUP_Biofuels!W261,'92 HVO jet fuel'!$B$4:$B$59,0),MATCH(SUP_Biofuels!$I261,'92 HVO jet fuel'!$D$3:$H$3,0)))/INDEX('92 HVO jet fuel'!$D$4:$H$59,MATCH(SUP_Biofuels!X261,'92 HVO jet fuel'!$B$4:$B$59,0),MATCH(SUP_Biofuels!$I261,'92 HVO jet fuel'!$D$3:$H$3,0))</f>
        <v>1.1803030303030302</v>
      </c>
      <c r="L261" s="33"/>
      <c r="M261" s="34">
        <f>INDEX('92 HVO jet fuel'!$D$4:$H$59,MATCH(SUP_Biofuels!M$8,'92 HVO jet fuel'!$B$4:$B$59,0),MATCH(SUP_Biofuels!$I261,'92 HVO jet fuel'!$D$3:$H$3,0))</f>
        <v>25</v>
      </c>
      <c r="N261" s="35">
        <f>INDEX('92 HVO jet fuel'!$D$4:$H$59,MATCH(SUP_Biofuels!N$8,'92 HVO jet fuel'!$B$4:$B$59,0),MATCH(SUP_Biofuels!$I261,'92 HVO jet fuel'!$D$3:$H$3,0))*7.45</f>
        <v>5.6240196078431381</v>
      </c>
      <c r="O261" s="35">
        <f>INDEX('92 HVO jet fuel'!$D$4:$H$59,MATCH(SUP_Biofuels!O$8,'92 HVO jet fuel'!$B$4:$B$59,0),MATCH(SUP_Biofuels!$I261,'92 HVO jet fuel'!$D$3:$H$3,0))*7.45</f>
        <v>0.2655971479500891</v>
      </c>
      <c r="P261" s="35">
        <f>INDEX('92 HVO jet fuel'!$D$4:$H$59,MATCH(SUP_Biofuels!P$8,'92 HVO jet fuel'!$B$4:$B$59,0),MATCH(SUP_Biofuels!$I261,'92 HVO jet fuel'!$D$3:$H$3,0))*7.45/3.6</f>
        <v>17.591358678811794</v>
      </c>
      <c r="Q261" s="33">
        <f>1-INDEX('92 HVO jet fuel'!$D$4:$H$59,MATCH(SUP_Biofuels!Q$7,'92 HVO jet fuel'!$B$4:$B$59,0),MATCH(SUP_Biofuels!$I261,'92 HVO jet fuel'!$D$3:$H$3,0))/52-INDEX('92 HVO jet fuel'!$D$4:$H$59,MATCH(SUP_Biofuels!Q$8,'92 HVO jet fuel'!$B$4:$B$59,0),MATCH(SUP_Biofuels!$I261,'92 HVO jet fuel'!$D$3:$H$3,0))/100</f>
        <v>0.96153846153846156</v>
      </c>
      <c r="R261" s="36">
        <f>$R$39</f>
        <v>3.1536000000000002E-2</v>
      </c>
      <c r="S261" s="34">
        <f>INDEX('92 HVO jet fuel'!$D$4:$H$59,MATCH(SUP_Biofuels!S$8,'92 HVO jet fuel'!$B$4:$B$59,0),MATCH(SUP_Biofuels!$I261,'92 HVO jet fuel'!$D$3:$H$3,0))</f>
        <v>2</v>
      </c>
      <c r="T261" s="34"/>
      <c r="U261" s="44"/>
      <c r="V261" s="43"/>
      <c r="W261" s="17" t="str">
        <f>W253</f>
        <v>Feedstock Consumption, MWh/MWh Total Inputs</v>
      </c>
      <c r="X261" s="17" t="str">
        <f>X253</f>
        <v>HVO Jet Output, GJ/GJ Total Input</v>
      </c>
      <c r="Y261" s="17"/>
    </row>
    <row r="262" spans="3:25">
      <c r="C262" s="43"/>
      <c r="D262" s="43"/>
      <c r="E262" s="17" t="str">
        <f>E254</f>
        <v>SUPH2</v>
      </c>
      <c r="F262" s="17"/>
      <c r="G262" s="17"/>
      <c r="H262" s="17"/>
      <c r="I262" s="17"/>
      <c r="J262" s="17"/>
      <c r="K262" s="33">
        <f>(INDEX('92 HVO jet fuel'!$D$4:$H$59,MATCH(SUP_Biofuels!W262,'92 HVO jet fuel'!$B$4:$B$59,0),MATCH(SUP_Biofuels!$I261,'92 HVO jet fuel'!$D$3:$H$3,0)))/INDEX('92 HVO jet fuel'!$D$4:$H$59,MATCH(SUP_Biofuels!X261,'92 HVO jet fuel'!$B$4:$B$59,0),MATCH(SUP_Biofuels!$I261,'92 HVO jet fuel'!$D$3:$H$3,0))</f>
        <v>0.15</v>
      </c>
      <c r="L262" s="33"/>
      <c r="M262" s="39"/>
      <c r="N262" s="40"/>
      <c r="O262" s="40"/>
      <c r="P262" s="40"/>
      <c r="Q262" s="41"/>
      <c r="R262" s="42"/>
      <c r="S262" s="39"/>
      <c r="T262" s="39"/>
      <c r="U262" s="43"/>
      <c r="V262" s="43"/>
      <c r="W262" s="17" t="str">
        <f>W254</f>
        <v>Hydrogen Consumption, MWh/MWh Total Inputs</v>
      </c>
      <c r="X262" s="17"/>
      <c r="Y262" s="17"/>
    </row>
    <row r="263" spans="3:25">
      <c r="C263" s="43"/>
      <c r="D263" s="43"/>
      <c r="E263" s="17" t="str">
        <f>E255</f>
        <v>SUPELC</v>
      </c>
      <c r="F263" s="43"/>
      <c r="G263" s="43"/>
      <c r="H263" s="43"/>
      <c r="I263" s="43"/>
      <c r="J263" s="43"/>
      <c r="K263" s="33">
        <f>(INDEX('92 HVO jet fuel'!$D$4:$H$59,MATCH(SUP_Biofuels!W263,'92 HVO jet fuel'!$B$4:$B$59,0),MATCH(SUP_Biofuels!$I261,'92 HVO jet fuel'!$D$3:$H$3,0)))/INDEX('92 HVO jet fuel'!$D$4:$H$59,MATCH(SUP_Biofuels!X261,'92 HVO jet fuel'!$B$4:$B$59,0),MATCH(SUP_Biofuels!$I261,'92 HVO jet fuel'!$D$3:$H$3,0))</f>
        <v>4.5454545454545452E-3</v>
      </c>
      <c r="L263" s="43"/>
      <c r="M263" s="43"/>
      <c r="N263" s="43"/>
      <c r="O263" s="43"/>
      <c r="P263" s="40"/>
      <c r="Q263" s="43"/>
      <c r="R263" s="43"/>
      <c r="S263" s="43"/>
      <c r="T263" s="43"/>
      <c r="U263" s="43"/>
      <c r="V263" s="43"/>
      <c r="W263" s="17" t="str">
        <f>W255</f>
        <v>Electricity Consumption, MWh/MWh Total Inputs</v>
      </c>
      <c r="X263" s="43"/>
      <c r="Y263" s="43"/>
    </row>
    <row r="264" spans="3:25">
      <c r="C264" s="43"/>
      <c r="D264" s="43"/>
      <c r="E264" s="17" t="str">
        <f>E256</f>
        <v>SUPNGA,SUPSNG,SUPH2</v>
      </c>
      <c r="F264" s="43"/>
      <c r="G264" s="43"/>
      <c r="H264" s="43"/>
      <c r="I264" s="43"/>
      <c r="J264" s="43"/>
      <c r="K264" s="33">
        <f>(INDEX('92 HVO jet fuel'!$D$4:$H$59,MATCH(SUP_Biofuels!W264,'92 HVO jet fuel'!$B$4:$B$59,0),MATCH(SUP_Biofuels!$I261,'92 HVO jet fuel'!$D$3:$H$3,0)))/INDEX('92 HVO jet fuel'!$D$4:$H$59,MATCH(SUP_Biofuels!X261,'92 HVO jet fuel'!$B$4:$B$59,0),MATCH(SUP_Biofuels!$I261,'92 HVO jet fuel'!$D$3:$H$3,0))</f>
        <v>0.1803030303030303</v>
      </c>
      <c r="L264" s="43"/>
      <c r="M264" s="43"/>
      <c r="N264" s="43"/>
      <c r="O264" s="43"/>
      <c r="P264" s="40"/>
      <c r="Q264" s="43"/>
      <c r="R264" s="43"/>
      <c r="S264" s="43"/>
      <c r="T264" s="43"/>
      <c r="U264" s="43"/>
      <c r="V264" s="43"/>
      <c r="W264" s="17" t="str">
        <f>W256</f>
        <v>Natural Gas Consumption, MWh/MWh Total Inputs</v>
      </c>
      <c r="X264" s="43"/>
      <c r="Y264" s="43"/>
    </row>
    <row r="265" spans="3:25">
      <c r="C265" s="43"/>
      <c r="D265" s="43"/>
      <c r="E265" s="43"/>
      <c r="F265" s="43"/>
      <c r="G265" s="17" t="str">
        <f>G257</f>
        <v>LVN</v>
      </c>
      <c r="H265" s="43"/>
      <c r="I265" s="43"/>
      <c r="J265" s="43"/>
      <c r="K265" s="43"/>
      <c r="L265" s="33">
        <f>INDEX('92 HVO jet fuel'!$D$4:$H$59,MATCH(SUP_Biofuels!Y265,'92 HVO jet fuel'!$B$4:$B$59,0),MATCH(SUP_Biofuels!$I261,'92 HVO jet fuel'!$D$3:$H$3,0))*(SUM(K261:K264))</f>
        <v>9.8636363636363647E-2</v>
      </c>
      <c r="M265" s="43"/>
      <c r="N265" s="43"/>
      <c r="O265" s="43"/>
      <c r="P265" s="40"/>
      <c r="Q265" s="43"/>
      <c r="R265" s="43"/>
      <c r="S265" s="43"/>
      <c r="T265" s="43"/>
      <c r="U265" s="43"/>
      <c r="V265" s="43"/>
      <c r="W265" s="43"/>
      <c r="X265" s="43"/>
      <c r="Y265" s="17" t="str">
        <f>Y257</f>
        <v>Naphta Output, MWh/MWh Total Input</v>
      </c>
    </row>
    <row r="266" spans="3:25">
      <c r="C266" s="43"/>
      <c r="D266" s="43"/>
      <c r="E266" s="43"/>
      <c r="F266" s="43"/>
      <c r="G266" s="17" t="str">
        <f>G258</f>
        <v>LPG</v>
      </c>
      <c r="H266" s="43"/>
      <c r="I266" s="43"/>
      <c r="J266" s="43"/>
      <c r="K266" s="43"/>
      <c r="L266" s="33">
        <f>INDEX('92 HVO jet fuel'!$D$4:$H$59,MATCH(SUP_Biofuels!Y266,'92 HVO jet fuel'!$B$4:$B$59,0),MATCH(SUP_Biofuels!$I261,'92 HVO jet fuel'!$D$3:$H$3,0))*(SUM(K261:K264))</f>
        <v>0.13999999999999999</v>
      </c>
      <c r="M266" s="43"/>
      <c r="N266" s="43"/>
      <c r="O266" s="43"/>
      <c r="P266" s="40"/>
      <c r="Q266" s="43"/>
      <c r="R266" s="43"/>
      <c r="S266" s="43"/>
      <c r="T266" s="43"/>
      <c r="U266" s="43"/>
      <c r="V266" s="43"/>
      <c r="W266" s="43"/>
      <c r="X266" s="43"/>
      <c r="Y266" s="17" t="str">
        <f>Y258</f>
        <v>LPG Output, MWh/MWh Total Input</v>
      </c>
    </row>
    <row r="267" spans="3:25">
      <c r="C267" s="43"/>
      <c r="D267" s="43"/>
      <c r="E267" s="43"/>
      <c r="F267" s="43"/>
      <c r="G267" s="17" t="str">
        <f>G259</f>
        <v>SNG1</v>
      </c>
      <c r="H267" s="43"/>
      <c r="I267" s="43"/>
      <c r="J267" s="43"/>
      <c r="K267" s="43"/>
      <c r="L267" s="33">
        <f>INDEX('92 HVO jet fuel'!$D$4:$H$59,MATCH(SUP_Biofuels!Y267,'92 HVO jet fuel'!$B$4:$B$59,0),MATCH(SUP_Biofuels!$I261,'92 HVO jet fuel'!$D$3:$H$3,0))*(SUM(K261:K264))</f>
        <v>0.15151515151515152</v>
      </c>
      <c r="M267" s="43"/>
      <c r="N267" s="43"/>
      <c r="O267" s="43"/>
      <c r="P267" s="40"/>
      <c r="Q267" s="43"/>
      <c r="R267" s="43"/>
      <c r="S267" s="43"/>
      <c r="T267" s="43"/>
      <c r="U267" s="43"/>
      <c r="V267" s="43"/>
      <c r="W267" s="43"/>
      <c r="X267" s="43"/>
      <c r="Y267" s="17" t="str">
        <f>Y259</f>
        <v>Fuel Gas Output, MWh/MWh Total Input</v>
      </c>
    </row>
    <row r="268" spans="3:25">
      <c r="C268" s="43"/>
      <c r="D268" s="43"/>
      <c r="E268" s="43"/>
      <c r="F268" s="43"/>
      <c r="G268" s="17" t="str">
        <f>G260</f>
        <v>HETC</v>
      </c>
      <c r="H268" s="43"/>
      <c r="I268" s="43"/>
      <c r="J268" s="43"/>
      <c r="K268" s="43"/>
      <c r="L268" s="33">
        <f>INDEX('92 HVO jet fuel'!$D$4:$H$59,MATCH(SUP_Biofuels!Y268,'92 HVO jet fuel'!$B$4:$B$59,0),MATCH(SUP_Biofuels!$I261,'92 HVO jet fuel'!$D$3:$H$3,0))*(SUM(K261:K264))</f>
        <v>4.0227272727272723E-2</v>
      </c>
      <c r="M268" s="43"/>
      <c r="N268" s="43"/>
      <c r="O268" s="43"/>
      <c r="P268" s="40"/>
      <c r="Q268" s="43"/>
      <c r="R268" s="43"/>
      <c r="S268" s="43"/>
      <c r="T268" s="43"/>
      <c r="U268" s="43"/>
      <c r="V268" s="43"/>
      <c r="W268" s="43"/>
      <c r="X268" s="43"/>
      <c r="Y268" s="17" t="str">
        <f>Y260</f>
        <v>District Heating Output, MWh/MWh Total input</v>
      </c>
    </row>
    <row r="269" spans="3:25">
      <c r="C269" s="43"/>
      <c r="D269" s="43"/>
      <c r="E269" s="17" t="str">
        <f>E261</f>
        <v>SUPCRB</v>
      </c>
      <c r="F269" s="17" t="str">
        <f>F261</f>
        <v>KRB1</v>
      </c>
      <c r="G269" s="17"/>
      <c r="H269" s="17" t="s">
        <v>70</v>
      </c>
      <c r="I269" s="17">
        <v>2050</v>
      </c>
      <c r="J269" s="17"/>
      <c r="K269" s="33">
        <f>(INDEX('92 HVO jet fuel'!$D$4:$H$59,MATCH(SUP_Biofuels!W269,'92 HVO jet fuel'!$B$4:$B$59,0),MATCH(SUP_Biofuels!$I269,'92 HVO jet fuel'!$D$3:$H$3,0)))/INDEX('92 HVO jet fuel'!$D$4:$H$59,MATCH(SUP_Biofuels!X269,'92 HVO jet fuel'!$B$4:$B$59,0),MATCH(SUP_Biofuels!$I269,'92 HVO jet fuel'!$D$3:$H$3,0))</f>
        <v>1.1803030303030302</v>
      </c>
      <c r="L269" s="33"/>
      <c r="M269" s="34">
        <f>INDEX('92 HVO jet fuel'!$D$4:$H$59,MATCH(SUP_Biofuels!M$8,'92 HVO jet fuel'!$B$4:$B$59,0),MATCH(SUP_Biofuels!$I269,'92 HVO jet fuel'!$D$3:$H$3,0))</f>
        <v>25</v>
      </c>
      <c r="N269" s="35">
        <f>INDEX('92 HVO jet fuel'!$D$4:$H$59,MATCH(SUP_Biofuels!N$8,'92 HVO jet fuel'!$B$4:$B$59,0),MATCH(SUP_Biofuels!$I269,'92 HVO jet fuel'!$D$3:$H$3,0))*7.45</f>
        <v>5.3151998216375906</v>
      </c>
      <c r="O269" s="35">
        <f>INDEX('92 HVO jet fuel'!$D$4:$H$59,MATCH(SUP_Biofuels!O$8,'92 HVO jet fuel'!$B$4:$B$59,0),MATCH(SUP_Biofuels!$I269,'92 HVO jet fuel'!$D$3:$H$3,0))*7.45</f>
        <v>0.26575999108187948</v>
      </c>
      <c r="P269" s="35">
        <f>INDEX('92 HVO jet fuel'!$D$4:$H$59,MATCH(SUP_Biofuels!P$8,'92 HVO jet fuel'!$B$4:$B$59,0),MATCH(SUP_Biofuels!$I269,'92 HVO jet fuel'!$D$3:$H$3,0))*7.45/3.6</f>
        <v>17.591358678811794</v>
      </c>
      <c r="Q269" s="33">
        <f>1-INDEX('92 HVO jet fuel'!$D$4:$H$59,MATCH(SUP_Biofuels!Q$7,'92 HVO jet fuel'!$B$4:$B$59,0),MATCH(SUP_Biofuels!$I269,'92 HVO jet fuel'!$D$3:$H$3,0))/52-INDEX('92 HVO jet fuel'!$D$4:$H$59,MATCH(SUP_Biofuels!Q$8,'92 HVO jet fuel'!$B$4:$B$59,0),MATCH(SUP_Biofuels!$I269,'92 HVO jet fuel'!$D$3:$H$3,0))/100</f>
        <v>0.96153846153846156</v>
      </c>
      <c r="R269" s="36">
        <f>$R$39</f>
        <v>3.1536000000000002E-2</v>
      </c>
      <c r="S269" s="34">
        <f>INDEX('92 HVO jet fuel'!$D$4:$H$59,MATCH(SUP_Biofuels!S$8,'92 HVO jet fuel'!$B$4:$B$59,0),MATCH(SUP_Biofuels!$I269,'92 HVO jet fuel'!$D$3:$H$3,0))</f>
        <v>2</v>
      </c>
      <c r="T269" s="34"/>
      <c r="U269" s="44"/>
      <c r="V269" s="43"/>
      <c r="W269" s="17" t="str">
        <f>W261</f>
        <v>Feedstock Consumption, MWh/MWh Total Inputs</v>
      </c>
      <c r="X269" s="17" t="str">
        <f>X261</f>
        <v>HVO Jet Output, GJ/GJ Total Input</v>
      </c>
      <c r="Y269" s="17"/>
    </row>
    <row r="270" spans="3:25">
      <c r="C270" s="43"/>
      <c r="D270" s="43"/>
      <c r="E270" s="17" t="str">
        <f>E262</f>
        <v>SUPH2</v>
      </c>
      <c r="F270" s="17"/>
      <c r="G270" s="17"/>
      <c r="H270" s="17"/>
      <c r="I270" s="17"/>
      <c r="J270" s="17"/>
      <c r="K270" s="33">
        <f>(INDEX('92 HVO jet fuel'!$D$4:$H$59,MATCH(SUP_Biofuels!W270,'92 HVO jet fuel'!$B$4:$B$59,0),MATCH(SUP_Biofuels!$I269,'92 HVO jet fuel'!$D$3:$H$3,0)))/INDEX('92 HVO jet fuel'!$D$4:$H$59,MATCH(SUP_Biofuels!X269,'92 HVO jet fuel'!$B$4:$B$59,0),MATCH(SUP_Biofuels!$I269,'92 HVO jet fuel'!$D$3:$H$3,0))</f>
        <v>0.15</v>
      </c>
      <c r="L270" s="33"/>
      <c r="M270" s="39"/>
      <c r="N270" s="40"/>
      <c r="O270" s="40"/>
      <c r="P270" s="40"/>
      <c r="Q270" s="41"/>
      <c r="R270" s="42"/>
      <c r="S270" s="39"/>
      <c r="T270" s="39"/>
      <c r="U270" s="43"/>
      <c r="V270" s="43"/>
      <c r="W270" s="17" t="str">
        <f>W262</f>
        <v>Hydrogen Consumption, MWh/MWh Total Inputs</v>
      </c>
      <c r="X270" s="17"/>
      <c r="Y270" s="17"/>
    </row>
    <row r="271" spans="3:25" ht="15.6">
      <c r="C271" s="43"/>
      <c r="D271" s="32"/>
      <c r="E271" s="17" t="str">
        <f>E263</f>
        <v>SUPELC</v>
      </c>
      <c r="F271" s="43"/>
      <c r="G271" s="43"/>
      <c r="H271" s="43"/>
      <c r="I271" s="43"/>
      <c r="J271" s="43"/>
      <c r="K271" s="33">
        <f>(INDEX('92 HVO jet fuel'!$D$4:$H$59,MATCH(SUP_Biofuels!W271,'92 HVO jet fuel'!$B$4:$B$59,0),MATCH(SUP_Biofuels!$I269,'92 HVO jet fuel'!$D$3:$H$3,0)))/INDEX('92 HVO jet fuel'!$D$4:$H$59,MATCH(SUP_Biofuels!X269,'92 HVO jet fuel'!$B$4:$B$59,0),MATCH(SUP_Biofuels!$I269,'92 HVO jet fuel'!$D$3:$H$3,0))</f>
        <v>4.5454545454545452E-3</v>
      </c>
      <c r="L271" s="43"/>
      <c r="M271" s="43"/>
      <c r="N271" s="43"/>
      <c r="O271" s="43"/>
      <c r="P271" s="40"/>
      <c r="Q271" s="43"/>
      <c r="R271" s="43"/>
      <c r="S271" s="43"/>
      <c r="T271" s="43"/>
      <c r="U271" s="43"/>
      <c r="V271" s="43"/>
      <c r="W271" s="17" t="str">
        <f>W263</f>
        <v>Electricity Consumption, MWh/MWh Total Inputs</v>
      </c>
      <c r="X271" s="43"/>
      <c r="Y271" s="43"/>
    </row>
    <row r="272" spans="3:25">
      <c r="C272" s="43"/>
      <c r="D272" s="17"/>
      <c r="E272" s="17" t="str">
        <f>E264</f>
        <v>SUPNGA,SUPSNG,SUPH2</v>
      </c>
      <c r="F272" s="43"/>
      <c r="G272" s="43"/>
      <c r="H272" s="43"/>
      <c r="I272" s="43"/>
      <c r="J272" s="43"/>
      <c r="K272" s="33">
        <f>(INDEX('92 HVO jet fuel'!$D$4:$H$59,MATCH(SUP_Biofuels!W272,'92 HVO jet fuel'!$B$4:$B$59,0),MATCH(SUP_Biofuels!$I269,'92 HVO jet fuel'!$D$3:$H$3,0)))/INDEX('92 HVO jet fuel'!$D$4:$H$59,MATCH(SUP_Biofuels!X269,'92 HVO jet fuel'!$B$4:$B$59,0),MATCH(SUP_Biofuels!$I269,'92 HVO jet fuel'!$D$3:$H$3,0))</f>
        <v>0.1803030303030303</v>
      </c>
      <c r="L272" s="43"/>
      <c r="M272" s="43"/>
      <c r="N272" s="43"/>
      <c r="O272" s="43"/>
      <c r="P272" s="40"/>
      <c r="Q272" s="43"/>
      <c r="R272" s="43"/>
      <c r="S272" s="43"/>
      <c r="T272" s="43"/>
      <c r="U272" s="43"/>
      <c r="V272" s="43"/>
      <c r="W272" s="17" t="str">
        <f>W264</f>
        <v>Natural Gas Consumption, MWh/MWh Total Inputs</v>
      </c>
      <c r="X272" s="43"/>
      <c r="Y272" s="43"/>
    </row>
    <row r="273" spans="3:25">
      <c r="C273" s="43"/>
      <c r="D273" s="43"/>
      <c r="E273" s="43"/>
      <c r="F273" s="43"/>
      <c r="G273" s="17" t="str">
        <f>G265</f>
        <v>LVN</v>
      </c>
      <c r="H273" s="43"/>
      <c r="I273" s="43"/>
      <c r="J273" s="43"/>
      <c r="K273" s="43"/>
      <c r="L273" s="33">
        <f>INDEX('92 HVO jet fuel'!$D$4:$H$59,MATCH(SUP_Biofuels!Y273,'92 HVO jet fuel'!$B$4:$B$59,0),MATCH(SUP_Biofuels!$I269,'92 HVO jet fuel'!$D$3:$H$3,0))*(SUM(K269:K272))</f>
        <v>9.8636363636363647E-2</v>
      </c>
      <c r="M273" s="43"/>
      <c r="N273" s="43"/>
      <c r="O273" s="43"/>
      <c r="P273" s="40"/>
      <c r="Q273" s="43"/>
      <c r="R273" s="43"/>
      <c r="S273" s="43"/>
      <c r="T273" s="43"/>
      <c r="U273" s="43"/>
      <c r="V273" s="43"/>
      <c r="W273" s="43"/>
      <c r="X273" s="43"/>
      <c r="Y273" s="17" t="str">
        <f>Y265</f>
        <v>Naphta Output, MWh/MWh Total Input</v>
      </c>
    </row>
    <row r="274" spans="3:25">
      <c r="C274" s="43"/>
      <c r="D274" s="43"/>
      <c r="E274" s="43"/>
      <c r="F274" s="43"/>
      <c r="G274" s="43" t="str">
        <f>G266</f>
        <v>LPG</v>
      </c>
      <c r="H274" s="43"/>
      <c r="I274" s="43"/>
      <c r="J274" s="43"/>
      <c r="K274" s="43"/>
      <c r="L274" s="33">
        <f>INDEX('92 HVO jet fuel'!$D$4:$H$59,MATCH(SUP_Biofuels!Y274,'92 HVO jet fuel'!$B$4:$B$59,0),MATCH(SUP_Biofuels!$I269,'92 HVO jet fuel'!$D$3:$H$3,0))*(SUM(K269:K272))</f>
        <v>0.13999999999999999</v>
      </c>
      <c r="M274" s="43"/>
      <c r="N274" s="43"/>
      <c r="O274" s="43"/>
      <c r="P274" s="40"/>
      <c r="Q274" s="43"/>
      <c r="R274" s="43"/>
      <c r="S274" s="43"/>
      <c r="T274" s="43"/>
      <c r="U274" s="43"/>
      <c r="V274" s="43"/>
      <c r="W274" s="43"/>
      <c r="X274" s="43"/>
      <c r="Y274" s="43" t="str">
        <f>Y266</f>
        <v>LPG Output, MWh/MWh Total Input</v>
      </c>
    </row>
    <row r="275" spans="3:25">
      <c r="C275" s="43"/>
      <c r="D275" s="43"/>
      <c r="E275" s="43"/>
      <c r="F275" s="43"/>
      <c r="G275" s="43" t="str">
        <f>G267</f>
        <v>SNG1</v>
      </c>
      <c r="H275" s="43"/>
      <c r="I275" s="43"/>
      <c r="J275" s="43"/>
      <c r="K275" s="43"/>
      <c r="L275" s="33">
        <f>INDEX('92 HVO jet fuel'!$D$4:$H$59,MATCH(SUP_Biofuels!Y275,'92 HVO jet fuel'!$B$4:$B$59,0),MATCH(SUP_Biofuels!$I269,'92 HVO jet fuel'!$D$3:$H$3,0))*(SUM(K269:K272))</f>
        <v>0.15151515151515152</v>
      </c>
      <c r="M275" s="43"/>
      <c r="N275" s="43"/>
      <c r="O275" s="43"/>
      <c r="P275" s="40"/>
      <c r="Q275" s="43"/>
      <c r="R275" s="43"/>
      <c r="S275" s="43"/>
      <c r="T275" s="43"/>
      <c r="U275" s="43"/>
      <c r="V275" s="43"/>
      <c r="W275" s="43"/>
      <c r="X275" s="43"/>
      <c r="Y275" s="43" t="str">
        <f>Y267</f>
        <v>Fuel Gas Output, MWh/MWh Total Input</v>
      </c>
    </row>
    <row r="276" spans="3:25" ht="15" thickBot="1">
      <c r="C276" s="46"/>
      <c r="D276" s="46"/>
      <c r="E276" s="46"/>
      <c r="F276" s="46"/>
      <c r="G276" s="47" t="str">
        <f>G268</f>
        <v>HETC</v>
      </c>
      <c r="H276" s="46"/>
      <c r="I276" s="46"/>
      <c r="J276" s="46"/>
      <c r="K276" s="43"/>
      <c r="L276" s="33">
        <f>INDEX('92 HVO jet fuel'!$D$4:$H$59,MATCH(SUP_Biofuels!Y276,'92 HVO jet fuel'!$B$4:$B$59,0),MATCH(SUP_Biofuels!$I269,'92 HVO jet fuel'!$D$3:$H$3,0))*(SUM(K269:K272))</f>
        <v>4.0227272727272723E-2</v>
      </c>
      <c r="M276" s="43"/>
      <c r="N276" s="43"/>
      <c r="O276" s="43"/>
      <c r="P276" s="40"/>
      <c r="Q276" s="43"/>
      <c r="R276" s="43"/>
      <c r="S276" s="43"/>
      <c r="T276" s="43"/>
      <c r="U276" s="46"/>
      <c r="V276" s="46"/>
      <c r="W276" s="46"/>
      <c r="X276" s="46"/>
      <c r="Y276" s="47" t="str">
        <f>Y268</f>
        <v>District Heating Output, MWh/MWh Total input</v>
      </c>
    </row>
    <row r="277" spans="3:25" ht="15.6">
      <c r="C277" s="17" t="str">
        <f>"SUP"&amp;F277&amp;RIGHT(E277,3)&amp;IF(RIGHT(D277,7)="Central","C1","D1")</f>
        <v>SUPGSB1CRNC1</v>
      </c>
      <c r="D277" s="21" t="str">
        <f>'93 1st generation ethanol'!D2&amp;" Central"</f>
        <v>1st Generation Ethanol Central</v>
      </c>
      <c r="E277" s="7" t="s">
        <v>80</v>
      </c>
      <c r="F277" s="7" t="s">
        <v>81</v>
      </c>
      <c r="G277" s="7"/>
      <c r="H277" s="7" t="s">
        <v>70</v>
      </c>
      <c r="I277" s="7">
        <f>'93 1st generation ethanol'!$D$3</f>
        <v>2015</v>
      </c>
      <c r="J277" s="19">
        <v>2030</v>
      </c>
      <c r="K277" s="7">
        <f>'93 1st generation ethanol'!$D$9/'93 1st generation ethanol'!$D$13</f>
        <v>1.8043478260869563</v>
      </c>
      <c r="L277" s="50"/>
      <c r="M277" s="7">
        <f>'93 1st generation ethanol'!$D$18</f>
        <v>25</v>
      </c>
      <c r="N277" s="23">
        <f>'93 1st generation ethanol'!$D$21*7.45</f>
        <v>5.4965641952983724</v>
      </c>
      <c r="O277" s="24">
        <f>'93 1st generation ethanol'!$D$24*7.45</f>
        <v>0.45265822784810128</v>
      </c>
      <c r="P277" s="51">
        <f>'93 1st generation ethanol'!$D$25*7.45/3.6</f>
        <v>17.177877729206291</v>
      </c>
      <c r="Q277" s="22">
        <f>1-'93 1st generation ethanol'!$D$17/52</f>
        <v>0.96153846153846156</v>
      </c>
      <c r="R277" s="7">
        <f>$R$39</f>
        <v>3.1536000000000002E-2</v>
      </c>
      <c r="S277">
        <f>'93 1st generation ethanol'!$D$19</f>
        <v>2</v>
      </c>
      <c r="U277" s="52"/>
      <c r="V277" s="38" t="s">
        <v>74</v>
      </c>
      <c r="W277" s="7"/>
      <c r="X277" s="7"/>
      <c r="Y277" s="7"/>
    </row>
    <row r="278" spans="3:25">
      <c r="D278" s="7"/>
      <c r="E278" s="7" t="s">
        <v>71</v>
      </c>
      <c r="F278" s="7"/>
      <c r="G278" s="7"/>
      <c r="H278" s="7"/>
      <c r="I278" s="7"/>
      <c r="J278" s="7"/>
      <c r="K278" s="7">
        <f>'93 1st generation ethanol'!$D$10/'93 1st generation ethanol'!$D$13</f>
        <v>4.3478260869565216E-2</v>
      </c>
      <c r="L278" s="7"/>
      <c r="M278" s="7"/>
      <c r="N278" s="7"/>
      <c r="O278" s="7"/>
      <c r="P278" s="51"/>
      <c r="Q278" s="7"/>
      <c r="R278" s="7"/>
      <c r="S278" s="7"/>
      <c r="T278" s="7"/>
      <c r="U278" s="7"/>
      <c r="W278" s="7"/>
      <c r="X278" s="7"/>
      <c r="Y278" s="7"/>
    </row>
    <row r="279" spans="3:25">
      <c r="E279" s="43" t="s">
        <v>1760</v>
      </c>
      <c r="K279" s="7">
        <f>'93 1st generation ethanol'!$D$11/'93 1st generation ethanol'!$D$13</f>
        <v>0.32608695652173908</v>
      </c>
      <c r="P279" s="51"/>
    </row>
    <row r="280" spans="3:25">
      <c r="G280" t="s">
        <v>1418</v>
      </c>
      <c r="L280">
        <f>'93 1st generation ethanol'!$D$14</f>
        <v>0.28999999999999998</v>
      </c>
      <c r="P280" s="51"/>
    </row>
    <row r="281" spans="3:25" ht="15.6">
      <c r="C281" s="7"/>
      <c r="D281" s="21"/>
      <c r="E281" s="7" t="str">
        <f>E277</f>
        <v>SUPCRN</v>
      </c>
      <c r="F281" s="7" t="s">
        <v>81</v>
      </c>
      <c r="G281" s="7"/>
      <c r="H281" s="7" t="s">
        <v>70</v>
      </c>
      <c r="I281" s="7">
        <f>'93 1st generation ethanol'!$E$3</f>
        <v>2020</v>
      </c>
      <c r="J281" s="7"/>
      <c r="K281" s="7">
        <f>'93 1st generation ethanol'!$E$9/'93 1st generation ethanol'!$E$13</f>
        <v>1.8043478260869563</v>
      </c>
      <c r="L281" s="50"/>
      <c r="M281" s="7">
        <f>'93 1st generation ethanol'!$E$18</f>
        <v>25</v>
      </c>
      <c r="N281" s="23">
        <f>'93 1st generation ethanol'!$E$21*7.45</f>
        <v>5.3887884267631092</v>
      </c>
      <c r="O281" s="24">
        <f>'93 1st generation ethanol'!$E$24*7.45</f>
        <v>0.45265822784810128</v>
      </c>
      <c r="P281" s="51">
        <f>'93 1st generation ethanol'!$E$25*7.45/3.6</f>
        <v>17.177877729206291</v>
      </c>
      <c r="Q281" s="22">
        <f>1-'93 1st generation ethanol'!$E$17/52</f>
        <v>0.96153846153846156</v>
      </c>
      <c r="R281" s="7">
        <f>$R$39</f>
        <v>3.1536000000000002E-2</v>
      </c>
      <c r="S281">
        <f>'93 1st generation ethanol'!$E$19</f>
        <v>2</v>
      </c>
      <c r="U281" s="53"/>
      <c r="V281" s="45"/>
      <c r="W281" s="7"/>
      <c r="X281" s="7"/>
      <c r="Y281" s="7"/>
    </row>
    <row r="282" spans="3:25">
      <c r="C282" s="54"/>
      <c r="D282" s="7"/>
      <c r="E282" s="7" t="str">
        <f>E278</f>
        <v>SUPELC</v>
      </c>
      <c r="F282" s="7"/>
      <c r="G282" s="7"/>
      <c r="H282" s="7"/>
      <c r="I282" s="7"/>
      <c r="J282" s="7"/>
      <c r="K282" s="7">
        <f>'93 1st generation ethanol'!$E$10/'93 1st generation ethanol'!$E$13</f>
        <v>4.3478260869565216E-2</v>
      </c>
      <c r="L282" s="7"/>
      <c r="M282" s="7"/>
      <c r="N282" s="7"/>
      <c r="O282" s="7"/>
      <c r="P282" s="51"/>
      <c r="Q282" s="7"/>
      <c r="R282" s="7"/>
      <c r="S282" s="7"/>
      <c r="T282" s="7"/>
      <c r="U282" s="7"/>
      <c r="W282" s="7"/>
      <c r="X282" s="7"/>
      <c r="Y282" s="7"/>
    </row>
    <row r="283" spans="3:25">
      <c r="E283" s="7" t="str">
        <f>E279</f>
        <v>SUPNGA,SUPSNG,SUPH2</v>
      </c>
      <c r="K283" s="7">
        <f>'93 1st generation ethanol'!$E$11/'93 1st generation ethanol'!$E$13</f>
        <v>0.32608695652173908</v>
      </c>
      <c r="P283" s="51"/>
    </row>
    <row r="284" spans="3:25">
      <c r="G284" t="s">
        <v>1418</v>
      </c>
      <c r="L284">
        <f>'93 1st generation ethanol'!$E$14</f>
        <v>0.27</v>
      </c>
      <c r="P284" s="51"/>
    </row>
    <row r="285" spans="3:25" ht="15.6">
      <c r="D285" s="21"/>
      <c r="E285" s="7" t="str">
        <f>E281</f>
        <v>SUPCRN</v>
      </c>
      <c r="F285" s="7" t="s">
        <v>81</v>
      </c>
      <c r="G285" s="7"/>
      <c r="H285" s="7" t="s">
        <v>70</v>
      </c>
      <c r="I285" s="7">
        <f>'93 1st generation ethanol'!$F$3</f>
        <v>2030</v>
      </c>
      <c r="J285" s="7"/>
      <c r="K285" s="7">
        <f>'93 1st generation ethanol'!$F$9/'93 1st generation ethanol'!$F$13</f>
        <v>1.7872340425531916</v>
      </c>
      <c r="L285" s="50"/>
      <c r="M285" s="7">
        <f>'93 1st generation ethanol'!$F$18</f>
        <v>25</v>
      </c>
      <c r="N285" s="23">
        <f>'93 1st generation ethanol'!$F$21*7.45</f>
        <v>5.1732368896925855</v>
      </c>
      <c r="O285" s="24">
        <f>'93 1st generation ethanol'!$F$24*7.45</f>
        <v>0.45265822784810128</v>
      </c>
      <c r="P285" s="51">
        <f>'93 1st generation ethanol'!$F$25*7.45/3.6</f>
        <v>17.177877729206291</v>
      </c>
      <c r="Q285" s="22">
        <f>1-'93 1st generation ethanol'!$F$17/52</f>
        <v>0.96153846153846156</v>
      </c>
      <c r="R285" s="7">
        <f>$R$39</f>
        <v>3.1536000000000002E-2</v>
      </c>
      <c r="S285">
        <f>'93 1st generation ethanol'!$F$19</f>
        <v>2</v>
      </c>
      <c r="U285" s="53"/>
      <c r="V285" s="45"/>
      <c r="W285" s="7"/>
      <c r="X285" s="7"/>
      <c r="Y285" s="7"/>
    </row>
    <row r="286" spans="3:25">
      <c r="D286" s="7"/>
      <c r="E286" s="7" t="str">
        <f>E282</f>
        <v>SUPELC</v>
      </c>
      <c r="F286" s="7"/>
      <c r="G286" s="7"/>
      <c r="H286" s="7"/>
      <c r="I286" s="7"/>
      <c r="J286" s="7"/>
      <c r="K286" s="7">
        <f>'93 1st generation ethanol'!$F$10/'93 1st generation ethanol'!$F$13</f>
        <v>4.2553191489361708E-2</v>
      </c>
      <c r="L286" s="7"/>
      <c r="M286" s="7"/>
      <c r="N286" s="7"/>
      <c r="O286" s="7"/>
      <c r="P286" s="51"/>
      <c r="Q286" s="7"/>
      <c r="R286" s="7"/>
      <c r="S286" s="7"/>
      <c r="T286" s="7"/>
      <c r="U286" s="7"/>
      <c r="W286" s="7"/>
      <c r="X286" s="7"/>
      <c r="Y286" s="7"/>
    </row>
    <row r="287" spans="3:25">
      <c r="E287" s="7" t="str">
        <f>E283</f>
        <v>SUPNGA,SUPSNG,SUPH2</v>
      </c>
      <c r="K287" s="7">
        <f>'93 1st generation ethanol'!$F$11/'93 1st generation ethanol'!$F$13</f>
        <v>0.29787234042553196</v>
      </c>
      <c r="P287" s="51"/>
    </row>
    <row r="288" spans="3:25">
      <c r="G288" t="s">
        <v>1418</v>
      </c>
      <c r="L288">
        <f>'93 1st generation ethanol'!$F$14</f>
        <v>0.28000000000000003</v>
      </c>
      <c r="P288" s="51"/>
    </row>
    <row r="289" spans="3:25" ht="15.6">
      <c r="D289" s="21"/>
      <c r="E289" s="7" t="str">
        <f>E285</f>
        <v>SUPCRN</v>
      </c>
      <c r="F289" s="7" t="s">
        <v>81</v>
      </c>
      <c r="G289" s="7"/>
      <c r="H289" s="7" t="s">
        <v>70</v>
      </c>
      <c r="I289" s="7">
        <f>'93 1st generation ethanol'!$G$3</f>
        <v>2040</v>
      </c>
      <c r="J289" s="7"/>
      <c r="K289" s="7">
        <f>'93 1st generation ethanol'!$G$9/'93 1st generation ethanol'!$G$13</f>
        <v>1.8085106382978724</v>
      </c>
      <c r="L289" s="50"/>
      <c r="M289" s="7">
        <f>'93 1st generation ethanol'!$G$18</f>
        <v>25</v>
      </c>
      <c r="N289" s="23">
        <f>'93 1st generation ethanol'!$G$21*7.45</f>
        <v>4.9449375</v>
      </c>
      <c r="O289" s="24">
        <f>'93 1st generation ethanol'!$G$24*7.45</f>
        <v>0.45265822784810128</v>
      </c>
      <c r="P289" s="51">
        <f>'93 1st generation ethanol'!$G$25*7.45/3.6</f>
        <v>17.177877729206294</v>
      </c>
      <c r="Q289" s="22">
        <f>1-'93 1st generation ethanol'!$G$17/52</f>
        <v>0.96153846153846156</v>
      </c>
      <c r="R289" s="7">
        <f>$R$39</f>
        <v>3.1536000000000002E-2</v>
      </c>
      <c r="S289">
        <f>'93 1st generation ethanol'!$G$19</f>
        <v>2</v>
      </c>
      <c r="U289" s="53"/>
      <c r="V289" s="45"/>
      <c r="W289" s="7"/>
      <c r="X289" s="7"/>
      <c r="Y289" s="7"/>
    </row>
    <row r="290" spans="3:25">
      <c r="D290" s="7"/>
      <c r="E290" s="7" t="str">
        <f>E286</f>
        <v>SUPELC</v>
      </c>
      <c r="F290" s="7"/>
      <c r="G290" s="7"/>
      <c r="H290" s="7"/>
      <c r="I290" s="7"/>
      <c r="J290" s="7"/>
      <c r="K290" s="7">
        <f>'93 1st generation ethanol'!$G$10/'93 1st generation ethanol'!$G$13</f>
        <v>4.2553191489361708E-2</v>
      </c>
      <c r="L290" s="7"/>
      <c r="M290" s="7"/>
      <c r="N290" s="7"/>
      <c r="O290" s="7"/>
      <c r="P290" s="51"/>
      <c r="Q290" s="7"/>
      <c r="R290" s="7"/>
      <c r="S290" s="7"/>
      <c r="T290" s="7"/>
      <c r="U290" s="7"/>
      <c r="W290" s="7"/>
      <c r="X290" s="7"/>
      <c r="Y290" s="7"/>
    </row>
    <row r="291" spans="3:25">
      <c r="E291" s="7" t="str">
        <f>E287</f>
        <v>SUPNGA,SUPSNG,SUPH2</v>
      </c>
      <c r="K291" s="7">
        <f>'93 1st generation ethanol'!$G$11/'93 1st generation ethanol'!$G$13</f>
        <v>0.27659574468085107</v>
      </c>
      <c r="P291" s="51"/>
    </row>
    <row r="292" spans="3:25">
      <c r="G292" t="s">
        <v>1418</v>
      </c>
      <c r="L292">
        <f>'93 1st generation ethanol'!$G$14</f>
        <v>0.25</v>
      </c>
      <c r="P292" s="51"/>
    </row>
    <row r="293" spans="3:25" ht="15.6">
      <c r="D293" s="21"/>
      <c r="E293" s="7" t="str">
        <f>E289</f>
        <v>SUPCRN</v>
      </c>
      <c r="F293" s="7" t="s">
        <v>81</v>
      </c>
      <c r="G293" s="7"/>
      <c r="H293" s="7" t="s">
        <v>70</v>
      </c>
      <c r="I293" s="7">
        <f>'93 1st generation ethanol'!$H$3</f>
        <v>2050</v>
      </c>
      <c r="J293" s="7"/>
      <c r="K293" s="7">
        <f>'93 1st generation ethanol'!$H$9/'93 1st generation ethanol'!$H$13</f>
        <v>1.8085106382978724</v>
      </c>
      <c r="L293" s="50"/>
      <c r="M293" s="7">
        <f>'93 1st generation ethanol'!$H$18</f>
        <v>25</v>
      </c>
      <c r="N293" s="23">
        <f>'93 1st generation ethanol'!$H$21*7.45</f>
        <v>4.9295166858457993</v>
      </c>
      <c r="O293" s="24">
        <f>'93 1st generation ethanol'!$H$24*7.45</f>
        <v>0.45265822784810128</v>
      </c>
      <c r="P293" s="51">
        <f>'93 1st generation ethanol'!$H$25*7.45/3.6</f>
        <v>17.177877729206294</v>
      </c>
      <c r="Q293" s="22">
        <f>1-'93 1st generation ethanol'!$H$17/52</f>
        <v>0.96153846153846156</v>
      </c>
      <c r="R293" s="7">
        <f>$R$39</f>
        <v>3.1536000000000002E-2</v>
      </c>
      <c r="S293">
        <f>'93 1st generation ethanol'!$H$19</f>
        <v>2</v>
      </c>
      <c r="U293" s="53"/>
      <c r="V293" s="45"/>
      <c r="W293" s="7"/>
      <c r="X293" s="7"/>
      <c r="Y293" s="7"/>
    </row>
    <row r="294" spans="3:25">
      <c r="D294" s="7"/>
      <c r="E294" s="7" t="str">
        <f>E290</f>
        <v>SUPELC</v>
      </c>
      <c r="F294" s="7"/>
      <c r="G294" s="7"/>
      <c r="H294" s="7"/>
      <c r="I294" s="7"/>
      <c r="J294" s="7"/>
      <c r="K294" s="7">
        <f>'93 1st generation ethanol'!$H$10/'93 1st generation ethanol'!$H$13</f>
        <v>4.2553191489361708E-2</v>
      </c>
      <c r="L294" s="7"/>
      <c r="M294" s="7"/>
      <c r="N294" s="7"/>
      <c r="O294" s="7"/>
      <c r="P294" s="51"/>
      <c r="Q294" s="7"/>
      <c r="R294" s="7"/>
      <c r="S294" s="7"/>
      <c r="T294" s="7"/>
      <c r="U294" s="7"/>
      <c r="W294" s="7"/>
      <c r="X294" s="7"/>
      <c r="Y294" s="7"/>
    </row>
    <row r="295" spans="3:25">
      <c r="E295" s="7" t="str">
        <f>E291</f>
        <v>SUPNGA,SUPSNG,SUPH2</v>
      </c>
      <c r="K295" s="7">
        <f>'93 1st generation ethanol'!$H$11/'93 1st generation ethanol'!$H$13</f>
        <v>0.27659574468085107</v>
      </c>
      <c r="P295" s="51"/>
    </row>
    <row r="296" spans="3:25" ht="15" thickBot="1">
      <c r="C296" s="55"/>
      <c r="D296" s="55"/>
      <c r="E296" s="55"/>
      <c r="F296" s="55"/>
      <c r="G296" t="s">
        <v>1418</v>
      </c>
      <c r="H296" s="55"/>
      <c r="I296" s="55"/>
      <c r="J296" s="55"/>
      <c r="K296" s="55"/>
      <c r="L296" s="55">
        <f>'93 1st generation ethanol'!$H$14</f>
        <v>0.25</v>
      </c>
      <c r="M296" s="55"/>
      <c r="N296" s="55"/>
      <c r="O296" s="55"/>
      <c r="P296" s="56"/>
      <c r="Q296" s="55"/>
      <c r="R296" s="55"/>
      <c r="S296" s="55"/>
      <c r="T296" s="55"/>
      <c r="U296" s="55"/>
      <c r="V296" s="55"/>
      <c r="W296" s="55"/>
      <c r="X296" s="55"/>
      <c r="Y296" s="55"/>
    </row>
    <row r="297" spans="3:25" ht="15.6">
      <c r="C297" s="54" t="str">
        <f>"SUP"&amp;F297&amp;RIGHT(E297,3)&amp;IF(RIGHT(D297,7)="Central","C1","D1")</f>
        <v>SUPCRBCRND1</v>
      </c>
      <c r="D297" s="32" t="str">
        <f>'94 Pyrolysis oils'!D2</f>
        <v>Fast Pyrolysis Bio Oil</v>
      </c>
      <c r="E297" s="17" t="s">
        <v>1763</v>
      </c>
      <c r="F297" s="17" t="s">
        <v>1762</v>
      </c>
      <c r="G297" s="17"/>
      <c r="H297" s="17" t="s">
        <v>70</v>
      </c>
      <c r="I297" s="17">
        <f>'93 1st generation ethanol'!$D$3</f>
        <v>2015</v>
      </c>
      <c r="J297" s="1251">
        <v>2025</v>
      </c>
      <c r="K297" s="17">
        <f>'93 1st generation ethanol'!$D$9/'93 1st generation ethanol'!$D$13</f>
        <v>1.8043478260869563</v>
      </c>
      <c r="L297" s="1252"/>
      <c r="M297" s="17">
        <f>'93 1st generation ethanol'!$D$18</f>
        <v>25</v>
      </c>
      <c r="N297" s="34">
        <f>'93 1st generation ethanol'!$D$21*7.45</f>
        <v>5.4965641952983724</v>
      </c>
      <c r="O297" s="35">
        <f>'93 1st generation ethanol'!$D$24*7.45</f>
        <v>0.45265822784810128</v>
      </c>
      <c r="P297" s="40">
        <f t="array" ref="P297">'93 1st generation ethanol'!$D$25*7.45/3.6</f>
        <v>17.177877729206291</v>
      </c>
      <c r="Q297" s="33">
        <f>1-'93 1st generation ethanol'!$D$17/52</f>
        <v>0.96153846153846156</v>
      </c>
      <c r="R297" s="17">
        <f>$R$39</f>
        <v>3.1536000000000002E-2</v>
      </c>
      <c r="S297" s="43">
        <f>'93 1st generation ethanol'!$D$19</f>
        <v>2</v>
      </c>
      <c r="T297" s="43"/>
      <c r="U297" s="44"/>
      <c r="V297" s="45" t="s">
        <v>74</v>
      </c>
      <c r="W297" s="54"/>
      <c r="X297" s="54"/>
      <c r="Y297" s="54"/>
    </row>
    <row r="298" spans="3:25">
      <c r="C298" s="54"/>
      <c r="D298" s="17"/>
      <c r="E298" s="17" t="s">
        <v>71</v>
      </c>
      <c r="F298" s="17"/>
      <c r="G298" s="17"/>
      <c r="H298" s="17"/>
      <c r="I298" s="17"/>
      <c r="J298" s="17"/>
      <c r="K298" s="17">
        <f>'93 1st generation ethanol'!$D$10/'93 1st generation ethanol'!$D$13</f>
        <v>4.3478260869565216E-2</v>
      </c>
      <c r="L298" s="17"/>
      <c r="M298" s="17"/>
      <c r="N298" s="17"/>
      <c r="O298" s="17"/>
      <c r="P298" s="40"/>
      <c r="Q298" s="17"/>
      <c r="R298" s="17"/>
      <c r="S298" s="17"/>
      <c r="T298" s="17"/>
      <c r="U298" s="17"/>
      <c r="V298" s="1253" t="s">
        <v>82</v>
      </c>
      <c r="W298" s="54"/>
      <c r="X298" s="54"/>
      <c r="Y298" s="54"/>
    </row>
    <row r="299" spans="3:25">
      <c r="C299" s="5"/>
      <c r="D299" s="43"/>
      <c r="E299" s="43" t="s">
        <v>1760</v>
      </c>
      <c r="F299" s="43"/>
      <c r="G299" s="43"/>
      <c r="H299" s="43"/>
      <c r="I299" s="43"/>
      <c r="J299" s="43"/>
      <c r="K299" s="17">
        <f>'93 1st generation ethanol'!$D$11/'93 1st generation ethanol'!$D$13</f>
        <v>0.32608695652173908</v>
      </c>
      <c r="L299" s="43"/>
      <c r="M299" s="43"/>
      <c r="N299" s="43"/>
      <c r="O299" s="43"/>
      <c r="P299" s="40"/>
      <c r="Q299" s="43"/>
      <c r="R299" s="43"/>
      <c r="S299" s="43"/>
      <c r="T299" s="43"/>
      <c r="U299" s="43"/>
      <c r="V299" s="43"/>
      <c r="W299" s="5"/>
      <c r="X299" s="5"/>
      <c r="Y299" s="5"/>
    </row>
    <row r="300" spans="3:25">
      <c r="C300" s="5"/>
      <c r="D300" s="43"/>
      <c r="E300" s="43"/>
      <c r="F300" s="43"/>
      <c r="G300" s="43" t="s">
        <v>1418</v>
      </c>
      <c r="H300" s="43"/>
      <c r="I300" s="43"/>
      <c r="J300" s="43"/>
      <c r="K300" s="43"/>
      <c r="L300" s="43">
        <f>'93 1st generation ethanol'!$D$14</f>
        <v>0.28999999999999998</v>
      </c>
      <c r="M300" s="43"/>
      <c r="N300" s="43"/>
      <c r="O300" s="43"/>
      <c r="P300" s="40"/>
      <c r="Q300" s="43"/>
      <c r="R300" s="43"/>
      <c r="S300" s="43"/>
      <c r="T300" s="43"/>
      <c r="U300" s="43"/>
      <c r="V300" s="43"/>
      <c r="W300" s="5"/>
      <c r="X300" s="5"/>
      <c r="Y300" s="5"/>
    </row>
    <row r="301" spans="3:25" ht="15.6">
      <c r="C301" s="54"/>
      <c r="D301" s="32"/>
      <c r="E301" s="17" t="str">
        <f>E297</f>
        <v>SUPWCH,SUPCRN</v>
      </c>
      <c r="F301" s="17" t="str">
        <f>F297</f>
        <v>CRB</v>
      </c>
      <c r="G301" s="17"/>
      <c r="H301" s="17" t="s">
        <v>70</v>
      </c>
      <c r="I301" s="17">
        <f>'93 1st generation ethanol'!$E$3</f>
        <v>2020</v>
      </c>
      <c r="J301" s="17"/>
      <c r="K301" s="17">
        <f>'93 1st generation ethanol'!$E$9/'93 1st generation ethanol'!$E$13</f>
        <v>1.8043478260869563</v>
      </c>
      <c r="L301" s="1252"/>
      <c r="M301" s="17">
        <f>'93 1st generation ethanol'!$E$18</f>
        <v>25</v>
      </c>
      <c r="N301" s="34">
        <f>'93 1st generation ethanol'!$E$21*7.45</f>
        <v>5.3887884267631092</v>
      </c>
      <c r="O301" s="35">
        <f>'93 1st generation ethanol'!$E$24*7.45</f>
        <v>0.45265822784810128</v>
      </c>
      <c r="P301" s="40">
        <f>'93 1st generation ethanol'!$E$25*7.45/3.6</f>
        <v>17.177877729206291</v>
      </c>
      <c r="Q301" s="33">
        <f>1-'93 1st generation ethanol'!$E$17/52</f>
        <v>0.96153846153846156</v>
      </c>
      <c r="R301" s="17">
        <f>$R$39</f>
        <v>3.1536000000000002E-2</v>
      </c>
      <c r="S301" s="43">
        <f>'93 1st generation ethanol'!$E$19</f>
        <v>2</v>
      </c>
      <c r="T301" s="43"/>
      <c r="U301" s="44"/>
      <c r="V301" s="45"/>
      <c r="W301" s="54"/>
      <c r="X301" s="54"/>
      <c r="Y301" s="54"/>
    </row>
    <row r="302" spans="3:25">
      <c r="C302" s="54"/>
      <c r="D302" s="17"/>
      <c r="E302" s="17" t="str">
        <f>E298</f>
        <v>SUPELC</v>
      </c>
      <c r="F302" s="17"/>
      <c r="G302" s="17"/>
      <c r="H302" s="17"/>
      <c r="I302" s="17"/>
      <c r="J302" s="17"/>
      <c r="K302" s="17">
        <f>'93 1st generation ethanol'!$E$10/'93 1st generation ethanol'!$E$13</f>
        <v>4.3478260869565216E-2</v>
      </c>
      <c r="L302" s="17"/>
      <c r="M302" s="17"/>
      <c r="N302" s="17"/>
      <c r="O302" s="17"/>
      <c r="P302" s="40"/>
      <c r="Q302" s="17"/>
      <c r="R302" s="17"/>
      <c r="S302" s="17"/>
      <c r="T302" s="17"/>
      <c r="U302" s="17"/>
      <c r="V302" s="43"/>
      <c r="W302" s="54"/>
      <c r="X302" s="54"/>
      <c r="Y302" s="54"/>
    </row>
    <row r="303" spans="3:25">
      <c r="C303" s="5"/>
      <c r="D303" s="43"/>
      <c r="E303" s="17" t="str">
        <f>E299</f>
        <v>SUPNGA,SUPSNG,SUPH2</v>
      </c>
      <c r="F303" s="43"/>
      <c r="G303" s="43"/>
      <c r="H303" s="43"/>
      <c r="I303" s="43"/>
      <c r="J303" s="43"/>
      <c r="K303" s="17">
        <f>'93 1st generation ethanol'!$E$11/'93 1st generation ethanol'!$E$13</f>
        <v>0.32608695652173908</v>
      </c>
      <c r="L303" s="43"/>
      <c r="M303" s="43"/>
      <c r="N303" s="43"/>
      <c r="O303" s="43"/>
      <c r="P303" s="40"/>
      <c r="Q303" s="43"/>
      <c r="R303" s="43"/>
      <c r="S303" s="43"/>
      <c r="T303" s="43"/>
      <c r="U303" s="43"/>
      <c r="V303" s="43"/>
      <c r="W303" s="5"/>
      <c r="X303" s="5"/>
      <c r="Y303" s="5"/>
    </row>
    <row r="304" spans="3:25">
      <c r="C304" s="5"/>
      <c r="D304" s="43"/>
      <c r="E304" s="43"/>
      <c r="F304" s="43"/>
      <c r="G304" s="43" t="s">
        <v>1418</v>
      </c>
      <c r="H304" s="43"/>
      <c r="I304" s="43"/>
      <c r="J304" s="43"/>
      <c r="K304" s="43"/>
      <c r="L304" s="43">
        <f>'93 1st generation ethanol'!$E$14</f>
        <v>0.27</v>
      </c>
      <c r="M304" s="43"/>
      <c r="N304" s="43"/>
      <c r="O304" s="43"/>
      <c r="P304" s="40"/>
      <c r="Q304" s="43"/>
      <c r="R304" s="43"/>
      <c r="S304" s="43"/>
      <c r="T304" s="43"/>
      <c r="U304" s="43"/>
      <c r="V304" s="43"/>
      <c r="W304" s="5"/>
      <c r="X304" s="5"/>
      <c r="Y304" s="5"/>
    </row>
    <row r="305" spans="3:25" ht="15.6">
      <c r="C305" s="5"/>
      <c r="D305" s="32"/>
      <c r="E305" s="17" t="str">
        <f>E301</f>
        <v>SUPWCH,SUPCRN</v>
      </c>
      <c r="F305" s="17" t="str">
        <f>F301</f>
        <v>CRB</v>
      </c>
      <c r="G305" s="17"/>
      <c r="H305" s="17" t="s">
        <v>70</v>
      </c>
      <c r="I305" s="17">
        <f>'93 1st generation ethanol'!$F$3</f>
        <v>2030</v>
      </c>
      <c r="J305" s="17"/>
      <c r="K305" s="17">
        <f>'93 1st generation ethanol'!$F$9/'93 1st generation ethanol'!$F$13</f>
        <v>1.7872340425531916</v>
      </c>
      <c r="L305" s="1252"/>
      <c r="M305" s="17">
        <f>'93 1st generation ethanol'!$F$18</f>
        <v>25</v>
      </c>
      <c r="N305" s="34">
        <f>'93 1st generation ethanol'!$F$21*7.45</f>
        <v>5.1732368896925855</v>
      </c>
      <c r="O305" s="35">
        <f>'93 1st generation ethanol'!$F$24*7.45</f>
        <v>0.45265822784810128</v>
      </c>
      <c r="P305" s="40">
        <f>'93 1st generation ethanol'!$F$25*7.45/3.6</f>
        <v>17.177877729206291</v>
      </c>
      <c r="Q305" s="33">
        <f>1-'93 1st generation ethanol'!$F$17/52</f>
        <v>0.96153846153846156</v>
      </c>
      <c r="R305" s="17">
        <f>$R$39</f>
        <v>3.1536000000000002E-2</v>
      </c>
      <c r="S305" s="43">
        <f>'93 1st generation ethanol'!$F$19</f>
        <v>2</v>
      </c>
      <c r="T305" s="43"/>
      <c r="U305" s="44"/>
      <c r="V305" s="45"/>
      <c r="W305" s="54"/>
      <c r="X305" s="54"/>
      <c r="Y305" s="54"/>
    </row>
    <row r="306" spans="3:25">
      <c r="C306" s="5"/>
      <c r="D306" s="17"/>
      <c r="E306" s="17" t="str">
        <f>E302</f>
        <v>SUPELC</v>
      </c>
      <c r="F306" s="17"/>
      <c r="G306" s="17"/>
      <c r="H306" s="17"/>
      <c r="I306" s="17"/>
      <c r="J306" s="17"/>
      <c r="K306" s="17">
        <f>'93 1st generation ethanol'!$F$10/'93 1st generation ethanol'!$F$13</f>
        <v>4.2553191489361708E-2</v>
      </c>
      <c r="L306" s="17"/>
      <c r="M306" s="17"/>
      <c r="N306" s="17"/>
      <c r="O306" s="17"/>
      <c r="P306" s="40"/>
      <c r="Q306" s="17"/>
      <c r="R306" s="17"/>
      <c r="S306" s="17"/>
      <c r="T306" s="17"/>
      <c r="U306" s="17"/>
      <c r="V306" s="43"/>
      <c r="W306" s="54"/>
      <c r="X306" s="54"/>
      <c r="Y306" s="54"/>
    </row>
    <row r="307" spans="3:25">
      <c r="C307" s="5"/>
      <c r="D307" s="43"/>
      <c r="E307" s="17" t="str">
        <f>E303</f>
        <v>SUPNGA,SUPSNG,SUPH2</v>
      </c>
      <c r="F307" s="43"/>
      <c r="G307" s="43"/>
      <c r="H307" s="43"/>
      <c r="I307" s="43"/>
      <c r="J307" s="43"/>
      <c r="K307" s="17">
        <f>'93 1st generation ethanol'!$F$11/'93 1st generation ethanol'!$F$13</f>
        <v>0.29787234042553196</v>
      </c>
      <c r="L307" s="43"/>
      <c r="M307" s="43"/>
      <c r="N307" s="43"/>
      <c r="O307" s="43"/>
      <c r="P307" s="40"/>
      <c r="Q307" s="43"/>
      <c r="R307" s="43"/>
      <c r="S307" s="43"/>
      <c r="T307" s="43"/>
      <c r="U307" s="43"/>
      <c r="V307" s="43"/>
      <c r="W307" s="5"/>
      <c r="X307" s="5"/>
      <c r="Y307" s="5"/>
    </row>
    <row r="308" spans="3:25">
      <c r="C308" s="5"/>
      <c r="D308" s="43"/>
      <c r="E308" s="43"/>
      <c r="F308" s="43"/>
      <c r="G308" s="43" t="s">
        <v>1418</v>
      </c>
      <c r="H308" s="43"/>
      <c r="I308" s="43"/>
      <c r="J308" s="43"/>
      <c r="K308" s="43"/>
      <c r="L308" s="43">
        <f>'93 1st generation ethanol'!$F$14</f>
        <v>0.28000000000000003</v>
      </c>
      <c r="M308" s="43"/>
      <c r="N308" s="43"/>
      <c r="O308" s="43"/>
      <c r="P308" s="40"/>
      <c r="Q308" s="43"/>
      <c r="R308" s="43"/>
      <c r="S308" s="43"/>
      <c r="T308" s="43"/>
      <c r="U308" s="43"/>
      <c r="V308" s="43"/>
      <c r="W308" s="5"/>
      <c r="X308" s="5"/>
      <c r="Y308" s="5"/>
    </row>
    <row r="309" spans="3:25" ht="15.6">
      <c r="C309" s="5"/>
      <c r="D309" s="32"/>
      <c r="E309" s="17" t="str">
        <f>E305</f>
        <v>SUPWCH,SUPCRN</v>
      </c>
      <c r="F309" s="17" t="str">
        <f>F305</f>
        <v>CRB</v>
      </c>
      <c r="G309" s="17"/>
      <c r="H309" s="17" t="s">
        <v>70</v>
      </c>
      <c r="I309" s="17">
        <f>'93 1st generation ethanol'!$G$3</f>
        <v>2040</v>
      </c>
      <c r="J309" s="17"/>
      <c r="K309" s="17">
        <f>'93 1st generation ethanol'!$G$9/'93 1st generation ethanol'!$G$13</f>
        <v>1.8085106382978724</v>
      </c>
      <c r="L309" s="1252"/>
      <c r="M309" s="17">
        <f>'93 1st generation ethanol'!$G$18</f>
        <v>25</v>
      </c>
      <c r="N309" s="34">
        <f>'93 1st generation ethanol'!$G$21*7.45</f>
        <v>4.9449375</v>
      </c>
      <c r="O309" s="35">
        <f>'93 1st generation ethanol'!$G$24*7.45</f>
        <v>0.45265822784810128</v>
      </c>
      <c r="P309" s="40">
        <f>'93 1st generation ethanol'!$G$25*7.45/3.6</f>
        <v>17.177877729206294</v>
      </c>
      <c r="Q309" s="33">
        <f>1-'93 1st generation ethanol'!$G$17/52</f>
        <v>0.96153846153846156</v>
      </c>
      <c r="R309" s="17">
        <f>$R$39</f>
        <v>3.1536000000000002E-2</v>
      </c>
      <c r="S309" s="43">
        <f>'93 1st generation ethanol'!$G$19</f>
        <v>2</v>
      </c>
      <c r="T309" s="43"/>
      <c r="U309" s="44"/>
      <c r="V309" s="45"/>
      <c r="W309" s="54"/>
      <c r="X309" s="54"/>
      <c r="Y309" s="54"/>
    </row>
    <row r="310" spans="3:25">
      <c r="C310" s="5"/>
      <c r="D310" s="17"/>
      <c r="E310" s="17" t="str">
        <f>E306</f>
        <v>SUPELC</v>
      </c>
      <c r="F310" s="17"/>
      <c r="G310" s="17"/>
      <c r="H310" s="17"/>
      <c r="I310" s="17"/>
      <c r="J310" s="17"/>
      <c r="K310" s="17">
        <f>'93 1st generation ethanol'!$G$10/'93 1st generation ethanol'!$G$13</f>
        <v>4.2553191489361708E-2</v>
      </c>
      <c r="L310" s="17"/>
      <c r="M310" s="17"/>
      <c r="N310" s="17"/>
      <c r="O310" s="17"/>
      <c r="P310" s="40"/>
      <c r="Q310" s="17"/>
      <c r="R310" s="17"/>
      <c r="S310" s="17"/>
      <c r="T310" s="17"/>
      <c r="U310" s="17"/>
      <c r="V310" s="43"/>
      <c r="W310" s="54"/>
      <c r="X310" s="54"/>
      <c r="Y310" s="54"/>
    </row>
    <row r="311" spans="3:25">
      <c r="C311" s="5"/>
      <c r="D311" s="43"/>
      <c r="E311" s="17" t="str">
        <f>E307</f>
        <v>SUPNGA,SUPSNG,SUPH2</v>
      </c>
      <c r="F311" s="43"/>
      <c r="G311" s="43"/>
      <c r="H311" s="43"/>
      <c r="I311" s="43"/>
      <c r="J311" s="43"/>
      <c r="K311" s="17">
        <f>'93 1st generation ethanol'!$G$11/'93 1st generation ethanol'!$G$13</f>
        <v>0.27659574468085107</v>
      </c>
      <c r="L311" s="43"/>
      <c r="M311" s="43"/>
      <c r="N311" s="43"/>
      <c r="O311" s="43"/>
      <c r="P311" s="40"/>
      <c r="Q311" s="43"/>
      <c r="R311" s="43"/>
      <c r="S311" s="43"/>
      <c r="T311" s="43"/>
      <c r="U311" s="43"/>
      <c r="V311" s="43"/>
      <c r="W311" s="5"/>
      <c r="X311" s="5"/>
      <c r="Y311" s="5"/>
    </row>
    <row r="312" spans="3:25">
      <c r="C312" s="5"/>
      <c r="D312" s="43"/>
      <c r="E312" s="43"/>
      <c r="F312" s="43"/>
      <c r="G312" s="43" t="s">
        <v>1418</v>
      </c>
      <c r="H312" s="43"/>
      <c r="I312" s="43"/>
      <c r="J312" s="43"/>
      <c r="K312" s="43"/>
      <c r="L312" s="43">
        <f>'93 1st generation ethanol'!$G$14</f>
        <v>0.25</v>
      </c>
      <c r="M312" s="43"/>
      <c r="N312" s="43"/>
      <c r="O312" s="43"/>
      <c r="P312" s="40"/>
      <c r="Q312" s="43"/>
      <c r="R312" s="43"/>
      <c r="S312" s="43"/>
      <c r="T312" s="43"/>
      <c r="U312" s="43"/>
      <c r="V312" s="43"/>
      <c r="W312" s="5"/>
      <c r="X312" s="5"/>
      <c r="Y312" s="5"/>
    </row>
    <row r="313" spans="3:25" ht="15.6">
      <c r="C313" s="5"/>
      <c r="D313" s="32"/>
      <c r="E313" s="17" t="str">
        <f>E309</f>
        <v>SUPWCH,SUPCRN</v>
      </c>
      <c r="F313" s="17" t="str">
        <f>F309</f>
        <v>CRB</v>
      </c>
      <c r="G313" s="17"/>
      <c r="H313" s="17" t="s">
        <v>70</v>
      </c>
      <c r="I313" s="17">
        <f>'93 1st generation ethanol'!$H$3</f>
        <v>2050</v>
      </c>
      <c r="J313" s="17"/>
      <c r="K313" s="17">
        <f>'93 1st generation ethanol'!$H$9/'93 1st generation ethanol'!$H$13</f>
        <v>1.8085106382978724</v>
      </c>
      <c r="L313" s="1252"/>
      <c r="M313" s="17">
        <f>'93 1st generation ethanol'!$H$18</f>
        <v>25</v>
      </c>
      <c r="N313" s="34">
        <f>'93 1st generation ethanol'!$H$21*7.45</f>
        <v>4.9295166858457993</v>
      </c>
      <c r="O313" s="35">
        <f>'93 1st generation ethanol'!$H$24*7.45</f>
        <v>0.45265822784810128</v>
      </c>
      <c r="P313" s="40">
        <f>'93 1st generation ethanol'!$H$25*7.45/3.6</f>
        <v>17.177877729206294</v>
      </c>
      <c r="Q313" s="33">
        <f>1-'93 1st generation ethanol'!$H$17/52</f>
        <v>0.96153846153846156</v>
      </c>
      <c r="R313" s="17">
        <f>$R$39</f>
        <v>3.1536000000000002E-2</v>
      </c>
      <c r="S313" s="43">
        <f>'93 1st generation ethanol'!$H$19</f>
        <v>2</v>
      </c>
      <c r="T313" s="43"/>
      <c r="U313" s="44"/>
      <c r="V313" s="45"/>
      <c r="W313" s="54"/>
      <c r="X313" s="54"/>
      <c r="Y313" s="54"/>
    </row>
    <row r="314" spans="3:25">
      <c r="C314" s="5"/>
      <c r="D314" s="17"/>
      <c r="E314" s="17" t="str">
        <f>E310</f>
        <v>SUPELC</v>
      </c>
      <c r="F314" s="17"/>
      <c r="G314" s="17"/>
      <c r="H314" s="17"/>
      <c r="I314" s="17"/>
      <c r="J314" s="17"/>
      <c r="K314" s="17">
        <f>'93 1st generation ethanol'!$H$10/'93 1st generation ethanol'!$H$13</f>
        <v>4.2553191489361708E-2</v>
      </c>
      <c r="L314" s="17"/>
      <c r="M314" s="17"/>
      <c r="N314" s="17"/>
      <c r="O314" s="17"/>
      <c r="P314" s="40"/>
      <c r="Q314" s="17"/>
      <c r="R314" s="17"/>
      <c r="S314" s="17"/>
      <c r="T314" s="17"/>
      <c r="U314" s="17"/>
      <c r="V314" s="43"/>
      <c r="W314" s="54"/>
      <c r="X314" s="54"/>
      <c r="Y314" s="54"/>
    </row>
    <row r="315" spans="3:25">
      <c r="C315" s="5"/>
      <c r="D315" s="43"/>
      <c r="E315" s="17" t="str">
        <f>E311</f>
        <v>SUPNGA,SUPSNG,SUPH2</v>
      </c>
      <c r="F315" s="43"/>
      <c r="G315" s="43"/>
      <c r="H315" s="43"/>
      <c r="I315" s="43"/>
      <c r="J315" s="43"/>
      <c r="K315" s="17">
        <f>'93 1st generation ethanol'!$H$11/'93 1st generation ethanol'!$H$13</f>
        <v>0.27659574468085107</v>
      </c>
      <c r="L315" s="43"/>
      <c r="M315" s="43"/>
      <c r="N315" s="43"/>
      <c r="O315" s="43"/>
      <c r="P315" s="40"/>
      <c r="Q315" s="43"/>
      <c r="R315" s="43"/>
      <c r="S315" s="43"/>
      <c r="T315" s="43"/>
      <c r="U315" s="43"/>
      <c r="V315" s="43"/>
      <c r="W315" s="5"/>
      <c r="X315" s="5"/>
      <c r="Y315" s="5"/>
    </row>
    <row r="316" spans="3:25" ht="15" thickBot="1">
      <c r="C316" s="58"/>
      <c r="D316" s="46"/>
      <c r="E316" s="46"/>
      <c r="F316" s="46"/>
      <c r="G316" s="43" t="s">
        <v>1418</v>
      </c>
      <c r="H316" s="46"/>
      <c r="I316" s="46"/>
      <c r="J316" s="46"/>
      <c r="K316" s="46"/>
      <c r="L316" s="46">
        <f>'93 1st generation ethanol'!$H$14</f>
        <v>0.25</v>
      </c>
      <c r="M316" s="46"/>
      <c r="N316" s="46"/>
      <c r="O316" s="46"/>
      <c r="P316" s="49"/>
      <c r="Q316" s="46"/>
      <c r="R316" s="46"/>
      <c r="S316" s="46"/>
      <c r="T316" s="46"/>
      <c r="U316" s="46"/>
      <c r="V316" s="46"/>
      <c r="W316" s="58"/>
      <c r="X316" s="58"/>
      <c r="Y316" s="58"/>
    </row>
    <row r="317" spans="3:25" s="43" customFormat="1" ht="15.6">
      <c r="C317" s="17" t="str">
        <f>"SUP"&amp;F317&amp;RIGHT(E317,3)&amp;IF(RIGHT(D317,7)="Central","C1","D1")</f>
        <v>SUPGSB1STRC1</v>
      </c>
      <c r="D317" s="32" t="str">
        <f>'95 Cellulosic ethanol'!$D$2&amp;" Central"</f>
        <v>Cellulosic Ethanol Central</v>
      </c>
      <c r="E317" s="17" t="s">
        <v>83</v>
      </c>
      <c r="F317" s="17" t="s">
        <v>81</v>
      </c>
      <c r="G317" s="17"/>
      <c r="H317" s="17" t="s">
        <v>70</v>
      </c>
      <c r="I317" s="17">
        <f>'93 1st generation ethanol'!$D$3</f>
        <v>2015</v>
      </c>
      <c r="J317" s="19">
        <v>2030</v>
      </c>
      <c r="K317" s="33">
        <f>1/INDEX('95 Cellulosic ethanol'!$D$4:$H$59,MATCH(SUP_Biofuels!X317,'95 Cellulosic ethanol'!$B$4:$B$59,0),MATCH(SUP_Biofuels!$I317,'95 Cellulosic ethanol'!$D$3:$H$3,0))</f>
        <v>3.4482758620689657</v>
      </c>
      <c r="L317" s="33"/>
      <c r="M317" s="34">
        <f>INDEX('95 Cellulosic ethanol'!$D$4:$H$59,MATCH(SUP_Biofuels!M$8,'95 Cellulosic ethanol'!$B$4:$B$59,0),MATCH(SUP_Biofuels!$I317,'95 Cellulosic ethanol'!$D$3:$H$3,0))</f>
        <v>25</v>
      </c>
      <c r="N317" s="35">
        <f>INDEX('95 Cellulosic ethanol'!$D$4:$H$59,MATCH(SUP_Biofuels!N$8,'95 Cellulosic ethanol'!$B$4:$B$59,0),MATCH(SUP_Biofuels!$I317,'95 Cellulosic ethanol'!$D$3:$H$3,0))*7.45</f>
        <v>42.404818165812109</v>
      </c>
      <c r="O317" s="35">
        <f>INDEX('95 Cellulosic ethanol'!$D$4:$H$59,MATCH(SUP_Biofuels!O$8,'95 Cellulosic ethanol'!$B$4:$B$59,0),MATCH(SUP_Biofuels!$I317,'95 Cellulosic ethanol'!$D$3:$H$3,0))*7.45</f>
        <v>0.84809636331624216</v>
      </c>
      <c r="P317" s="35">
        <f>INDEX('95 Cellulosic ethanol'!$D$4:$H$59,MATCH(SUP_Biofuels!P$8,'95 Cellulosic ethanol'!$B$4:$B$59,0),MATCH(SUP_Biofuels!$I317,'95 Cellulosic ethanol'!$D$3:$H$3,0))*7.45/3.6</f>
        <v>56.091029319857284</v>
      </c>
      <c r="Q317" s="33">
        <f>1-INDEX('95 Cellulosic ethanol'!$D$4:$H$59,MATCH(SUP_Biofuels!Q$7,'95 Cellulosic ethanol'!$B$4:$B$59,0),MATCH(SUP_Biofuels!$I317,'95 Cellulosic ethanol'!$D$3:$H$3,0))/52-INDEX('95 Cellulosic ethanol'!$D$4:$H$59,MATCH(SUP_Biofuels!Q$8,'95 Cellulosic ethanol'!$B$4:$B$59,0),MATCH(SUP_Biofuels!$I317,'95 Cellulosic ethanol'!$D$3:$H$3,0))/100</f>
        <v>0.92153846153846153</v>
      </c>
      <c r="R317" s="36">
        <f>$R$39</f>
        <v>3.1536000000000002E-2</v>
      </c>
      <c r="S317" s="34">
        <f>INDEX('95 Cellulosic ethanol'!$D$4:$H$59,MATCH(SUP_Biofuels!S$8,'95 Cellulosic ethanol'!$B$4:$B$59,0),MATCH(SUP_Biofuels!$I317,'95 Cellulosic ethanol'!$D$3:$H$3,0))</f>
        <v>2</v>
      </c>
      <c r="T317" s="34"/>
      <c r="U317" s="37"/>
      <c r="V317" s="38" t="s">
        <v>74</v>
      </c>
      <c r="W317" s="17" t="str">
        <f>'95 Cellulosic ethanol'!C9</f>
        <v>Feedstock Consumption, MWh/MWh Total Input</v>
      </c>
      <c r="X317" s="17" t="str">
        <f>'95 Cellulosic ethanol'!C11</f>
        <v>Ethanol Output, MWh/MWh Total Input</v>
      </c>
      <c r="Y317" s="17"/>
    </row>
    <row r="318" spans="3:25" s="43" customFormat="1">
      <c r="G318" s="43" t="s">
        <v>84</v>
      </c>
      <c r="K318" s="41"/>
      <c r="L318" s="33">
        <f>INDEX('95 Cellulosic ethanol'!$D$4:$H$59,MATCH(SUP_Biofuels!Y318,'95 Cellulosic ethanol'!$B$4:$B$59,0),MATCH(SUP_Biofuels!$I317,'95 Cellulosic ethanol'!$D$3:$H$3,0))*K317</f>
        <v>0.13793103448275865</v>
      </c>
      <c r="M318" s="39"/>
      <c r="N318" s="40"/>
      <c r="O318" s="40"/>
      <c r="P318" s="40"/>
      <c r="Q318" s="41"/>
      <c r="R318" s="42"/>
      <c r="S318" s="39"/>
      <c r="T318" s="39"/>
      <c r="Y318" s="43" t="str">
        <f>'95 Cellulosic ethanol'!C12</f>
        <v>Electiricity Output, MWh/MWh Total Input</v>
      </c>
    </row>
    <row r="319" spans="3:25" s="43" customFormat="1" ht="15.6">
      <c r="C319" s="17"/>
      <c r="D319" s="32"/>
      <c r="E319" s="17" t="s">
        <v>83</v>
      </c>
      <c r="F319" s="17" t="s">
        <v>81</v>
      </c>
      <c r="G319" s="17"/>
      <c r="H319" s="17" t="s">
        <v>70</v>
      </c>
      <c r="I319" s="17">
        <f>'93 1st generation ethanol'!$E$3</f>
        <v>2020</v>
      </c>
      <c r="J319" s="17"/>
      <c r="K319" s="33">
        <f>1/INDEX('95 Cellulosic ethanol'!$D$4:$H$59,MATCH(SUP_Biofuels!X319,'95 Cellulosic ethanol'!$B$4:$B$59,0),MATCH(SUP_Biofuels!$I319,'95 Cellulosic ethanol'!$D$3:$H$3,0))</f>
        <v>3.4482758620689657</v>
      </c>
      <c r="L319" s="33"/>
      <c r="M319" s="34">
        <f>INDEX('95 Cellulosic ethanol'!$D$4:$H$59,MATCH(SUP_Biofuels!M$8,'95 Cellulosic ethanol'!$B$4:$B$59,0),MATCH(SUP_Biofuels!$I319,'95 Cellulosic ethanol'!$D$3:$H$3,0))</f>
        <v>25</v>
      </c>
      <c r="N319" s="35">
        <f>INDEX('95 Cellulosic ethanol'!$D$4:$H$59,MATCH(SUP_Biofuels!N$8,'95 Cellulosic ethanol'!$B$4:$B$59,0),MATCH(SUP_Biofuels!$I319,'95 Cellulosic ethanol'!$D$3:$H$3,0))*7.45</f>
        <v>42.404818165812109</v>
      </c>
      <c r="O319" s="35">
        <f>INDEX('95 Cellulosic ethanol'!$D$4:$H$59,MATCH(SUP_Biofuels!O$8,'95 Cellulosic ethanol'!$B$4:$B$59,0),MATCH(SUP_Biofuels!$I319,'95 Cellulosic ethanol'!$D$3:$H$3,0))*7.45</f>
        <v>0.84809636331624216</v>
      </c>
      <c r="P319" s="35">
        <f>INDEX('95 Cellulosic ethanol'!$D$4:$H$59,MATCH(SUP_Biofuels!P$8,'95 Cellulosic ethanol'!$B$4:$B$59,0),MATCH(SUP_Biofuels!$I319,'95 Cellulosic ethanol'!$D$3:$H$3,0))*7.45/3.6</f>
        <v>56.091029319857284</v>
      </c>
      <c r="Q319" s="33">
        <f>1-INDEX('95 Cellulosic ethanol'!$D$4:$H$59,MATCH(SUP_Biofuels!Q$7,'95 Cellulosic ethanol'!$B$4:$B$59,0),MATCH(SUP_Biofuels!$I319,'95 Cellulosic ethanol'!$D$3:$H$3,0))/52-INDEX('95 Cellulosic ethanol'!$D$4:$H$59,MATCH(SUP_Biofuels!Q$8,'95 Cellulosic ethanol'!$B$4:$B$59,0),MATCH(SUP_Biofuels!$I319,'95 Cellulosic ethanol'!$D$3:$H$3,0))/100</f>
        <v>0.92153846153846153</v>
      </c>
      <c r="R319" s="36">
        <f>$R$39</f>
        <v>3.1536000000000002E-2</v>
      </c>
      <c r="S319" s="34">
        <f>INDEX('95 Cellulosic ethanol'!$D$4:$H$59,MATCH(SUP_Biofuels!S$8,'95 Cellulosic ethanol'!$B$4:$B$59,0),MATCH(SUP_Biofuels!$I319,'95 Cellulosic ethanol'!$D$3:$H$3,0))</f>
        <v>2</v>
      </c>
      <c r="T319" s="34"/>
      <c r="U319" s="44"/>
      <c r="V319" s="45"/>
      <c r="W319" s="17" t="str">
        <f>W317</f>
        <v>Feedstock Consumption, MWh/MWh Total Input</v>
      </c>
      <c r="X319" s="17" t="str">
        <f>X317</f>
        <v>Ethanol Output, MWh/MWh Total Input</v>
      </c>
      <c r="Y319" s="17"/>
    </row>
    <row r="320" spans="3:25" s="43" customFormat="1">
      <c r="C320" s="17"/>
      <c r="D320" s="17"/>
      <c r="G320" s="43" t="s">
        <v>84</v>
      </c>
      <c r="H320" s="17"/>
      <c r="I320" s="17"/>
      <c r="J320" s="17"/>
      <c r="K320" s="41"/>
      <c r="L320" s="33">
        <f>INDEX('95 Cellulosic ethanol'!$D$4:$H$59,MATCH(SUP_Biofuels!Y320,'95 Cellulosic ethanol'!$B$4:$B$59,0),MATCH(SUP_Biofuels!$I319,'95 Cellulosic ethanol'!$D$3:$H$3,0))*K319</f>
        <v>0.13793103448275865</v>
      </c>
      <c r="M320" s="39"/>
      <c r="N320" s="40"/>
      <c r="O320" s="40"/>
      <c r="P320" s="40"/>
      <c r="Q320" s="41"/>
      <c r="R320" s="42"/>
      <c r="S320" s="39"/>
      <c r="T320" s="39"/>
      <c r="U320" s="17"/>
      <c r="Y320" s="17" t="str">
        <f>Y318</f>
        <v>Electiricity Output, MWh/MWh Total Input</v>
      </c>
    </row>
    <row r="321" spans="3:25" s="43" customFormat="1" ht="15.6">
      <c r="D321" s="32"/>
      <c r="E321" s="17" t="s">
        <v>83</v>
      </c>
      <c r="F321" s="17" t="s">
        <v>81</v>
      </c>
      <c r="G321" s="17"/>
      <c r="H321" s="17" t="s">
        <v>70</v>
      </c>
      <c r="I321" s="17">
        <f>'93 1st generation ethanol'!$F$3</f>
        <v>2030</v>
      </c>
      <c r="J321" s="17"/>
      <c r="K321" s="33">
        <f>1/INDEX('95 Cellulosic ethanol'!$D$4:$H$59,MATCH(SUP_Biofuels!X321,'95 Cellulosic ethanol'!$B$4:$B$59,0),MATCH(SUP_Biofuels!$I321,'95 Cellulosic ethanol'!$D$3:$H$3,0))</f>
        <v>2.7027027027027026</v>
      </c>
      <c r="L321" s="33"/>
      <c r="M321" s="34">
        <f>INDEX('95 Cellulosic ethanol'!$D$4:$H$59,MATCH(SUP_Biofuels!M$8,'95 Cellulosic ethanol'!$B$4:$B$59,0),MATCH(SUP_Biofuels!$I321,'95 Cellulosic ethanol'!$D$3:$H$3,0))</f>
        <v>25</v>
      </c>
      <c r="N321" s="35">
        <f>INDEX('95 Cellulosic ethanol'!$D$4:$H$59,MATCH(SUP_Biofuels!N$8,'95 Cellulosic ethanol'!$B$4:$B$59,0),MATCH(SUP_Biofuels!$I321,'95 Cellulosic ethanol'!$D$3:$H$3,0))*7.45</f>
        <v>19.082168174615454</v>
      </c>
      <c r="O321" s="35">
        <f>INDEX('95 Cellulosic ethanol'!$D$4:$H$59,MATCH(SUP_Biofuels!O$8,'95 Cellulosic ethanol'!$B$4:$B$59,0),MATCH(SUP_Biofuels!$I321,'95 Cellulosic ethanol'!$D$3:$H$3,0))*7.45</f>
        <v>0.42404818165812114</v>
      </c>
      <c r="P321" s="35">
        <f>INDEX('95 Cellulosic ethanol'!$D$4:$H$59,MATCH(SUP_Biofuels!P$8,'95 Cellulosic ethanol'!$B$4:$B$59,0),MATCH(SUP_Biofuels!$I321,'95 Cellulosic ethanol'!$D$3:$H$3,0))*7.45/3.6</f>
        <v>28.045514659928642</v>
      </c>
      <c r="Q321" s="33">
        <f>1-INDEX('95 Cellulosic ethanol'!$D$4:$H$59,MATCH(SUP_Biofuels!Q$7,'95 Cellulosic ethanol'!$B$4:$B$59,0),MATCH(SUP_Biofuels!$I321,'95 Cellulosic ethanol'!$D$3:$H$3,0))/52-INDEX('95 Cellulosic ethanol'!$D$4:$H$59,MATCH(SUP_Biofuels!Q$8,'95 Cellulosic ethanol'!$B$4:$B$59,0),MATCH(SUP_Biofuels!$I321,'95 Cellulosic ethanol'!$D$3:$H$3,0))/100</f>
        <v>0.94153846153846155</v>
      </c>
      <c r="R321" s="36">
        <f>$R$39</f>
        <v>3.1536000000000002E-2</v>
      </c>
      <c r="S321" s="34">
        <f>INDEX('95 Cellulosic ethanol'!$D$4:$H$59,MATCH(SUP_Biofuels!S$8,'95 Cellulosic ethanol'!$B$4:$B$59,0),MATCH(SUP_Biofuels!$I321,'95 Cellulosic ethanol'!$D$3:$H$3,0))</f>
        <v>2</v>
      </c>
      <c r="T321" s="34"/>
      <c r="U321" s="44"/>
      <c r="V321" s="45"/>
      <c r="W321" s="17" t="str">
        <f>W319</f>
        <v>Feedstock Consumption, MWh/MWh Total Input</v>
      </c>
      <c r="X321" s="17" t="str">
        <f>X319</f>
        <v>Ethanol Output, MWh/MWh Total Input</v>
      </c>
      <c r="Y321" s="17"/>
    </row>
    <row r="322" spans="3:25" s="43" customFormat="1">
      <c r="G322" s="43" t="s">
        <v>84</v>
      </c>
      <c r="H322" s="17"/>
      <c r="K322" s="41"/>
      <c r="L322" s="33">
        <f>INDEX('95 Cellulosic ethanol'!$D$4:$H$59,MATCH(SUP_Biofuels!Y322,'95 Cellulosic ethanol'!$B$4:$B$59,0),MATCH(SUP_Biofuels!$I321,'95 Cellulosic ethanol'!$D$3:$H$3,0))*K321</f>
        <v>0.13513513513513514</v>
      </c>
      <c r="M322" s="39"/>
      <c r="N322" s="40"/>
      <c r="O322" s="40"/>
      <c r="P322" s="40"/>
      <c r="Q322" s="41"/>
      <c r="R322" s="42"/>
      <c r="S322" s="39"/>
      <c r="T322" s="39"/>
      <c r="Y322" s="17" t="str">
        <f>Y320</f>
        <v>Electiricity Output, MWh/MWh Total Input</v>
      </c>
    </row>
    <row r="323" spans="3:25" s="43" customFormat="1" ht="15.6">
      <c r="D323" s="32"/>
      <c r="E323" s="17" t="s">
        <v>83</v>
      </c>
      <c r="F323" s="17" t="s">
        <v>81</v>
      </c>
      <c r="G323" s="17"/>
      <c r="H323" s="17" t="s">
        <v>70</v>
      </c>
      <c r="I323" s="17">
        <f>'93 1st generation ethanol'!$G$3</f>
        <v>2040</v>
      </c>
      <c r="J323" s="17"/>
      <c r="K323" s="33">
        <f>1/INDEX('95 Cellulosic ethanol'!$D$4:$H$59,MATCH(SUP_Biofuels!X323,'95 Cellulosic ethanol'!$B$4:$B$59,0),MATCH(SUP_Biofuels!$I323,'95 Cellulosic ethanol'!$D$3:$H$3,0))</f>
        <v>2.5641025641025639</v>
      </c>
      <c r="L323" s="33"/>
      <c r="M323" s="34">
        <f>INDEX('95 Cellulosic ethanol'!$D$4:$H$59,MATCH(SUP_Biofuels!M$8,'95 Cellulosic ethanol'!$B$4:$B$59,0),MATCH(SUP_Biofuels!$I323,'95 Cellulosic ethanol'!$D$3:$H$3,0))</f>
        <v>25</v>
      </c>
      <c r="N323" s="35">
        <f>INDEX('95 Cellulosic ethanol'!$D$4:$H$59,MATCH(SUP_Biofuels!N$8,'95 Cellulosic ethanol'!$B$4:$B$59,0),MATCH(SUP_Biofuels!$I323,'95 Cellulosic ethanol'!$D$3:$H$3,0))*7.45</f>
        <v>16.749903175495785</v>
      </c>
      <c r="O323" s="35">
        <f>INDEX('95 Cellulosic ethanol'!$D$4:$H$59,MATCH(SUP_Biofuels!O$8,'95 Cellulosic ethanol'!$B$4:$B$59,0),MATCH(SUP_Biofuels!$I323,'95 Cellulosic ethanol'!$D$3:$H$3,0))*7.45</f>
        <v>0.42712253097514241</v>
      </c>
      <c r="P323" s="35">
        <f>INDEX('95 Cellulosic ethanol'!$D$4:$H$59,MATCH(SUP_Biofuels!P$8,'95 Cellulosic ethanol'!$B$4:$B$59,0),MATCH(SUP_Biofuels!$I323,'95 Cellulosic ethanol'!$D$3:$H$3,0))*7.45/3.6</f>
        <v>27.694945726679535</v>
      </c>
      <c r="Q323" s="33">
        <f>1-INDEX('95 Cellulosic ethanol'!$D$4:$H$59,MATCH(SUP_Biofuels!Q$7,'95 Cellulosic ethanol'!$B$4:$B$59,0),MATCH(SUP_Biofuels!$I323,'95 Cellulosic ethanol'!$D$3:$H$3,0))/52-INDEX('95 Cellulosic ethanol'!$D$4:$H$59,MATCH(SUP_Biofuels!Q$8,'95 Cellulosic ethanol'!$B$4:$B$59,0),MATCH(SUP_Biofuels!$I323,'95 Cellulosic ethanol'!$D$3:$H$3,0))/100</f>
        <v>0.96153846153846156</v>
      </c>
      <c r="R323" s="36">
        <f>$R$39</f>
        <v>3.1536000000000002E-2</v>
      </c>
      <c r="S323" s="34">
        <f>INDEX('95 Cellulosic ethanol'!$D$4:$H$59,MATCH(SUP_Biofuels!S$8,'95 Cellulosic ethanol'!$B$4:$B$59,0),MATCH(SUP_Biofuels!$I323,'95 Cellulosic ethanol'!$D$3:$H$3,0))</f>
        <v>2</v>
      </c>
      <c r="T323" s="34"/>
      <c r="U323" s="44"/>
      <c r="V323" s="45"/>
      <c r="W323" s="17" t="str">
        <f>W321</f>
        <v>Feedstock Consumption, MWh/MWh Total Input</v>
      </c>
      <c r="X323" s="17" t="str">
        <f>X321</f>
        <v>Ethanol Output, MWh/MWh Total Input</v>
      </c>
      <c r="Y323" s="17"/>
    </row>
    <row r="324" spans="3:25" s="43" customFormat="1">
      <c r="G324" s="43" t="s">
        <v>84</v>
      </c>
      <c r="H324" s="17"/>
      <c r="K324" s="41"/>
      <c r="L324" s="33">
        <f>INDEX('95 Cellulosic ethanol'!$D$4:$H$59,MATCH(SUP_Biofuels!Y324,'95 Cellulosic ethanol'!$B$4:$B$59,0),MATCH(SUP_Biofuels!$I323,'95 Cellulosic ethanol'!$D$3:$H$3,0))*K323</f>
        <v>0.12820512820512819</v>
      </c>
      <c r="M324" s="39"/>
      <c r="N324" s="40"/>
      <c r="O324" s="40"/>
      <c r="P324" s="40"/>
      <c r="Q324" s="41"/>
      <c r="R324" s="42"/>
      <c r="S324" s="39"/>
      <c r="T324" s="39"/>
      <c r="Y324" s="17" t="str">
        <f>Y322</f>
        <v>Electiricity Output, MWh/MWh Total Input</v>
      </c>
    </row>
    <row r="325" spans="3:25" s="43" customFormat="1" ht="15.6">
      <c r="D325" s="32"/>
      <c r="E325" s="17" t="s">
        <v>83</v>
      </c>
      <c r="F325" s="17" t="s">
        <v>81</v>
      </c>
      <c r="G325" s="17"/>
      <c r="H325" s="17" t="s">
        <v>70</v>
      </c>
      <c r="I325" s="17">
        <f>'93 1st generation ethanol'!$H$3</f>
        <v>2050</v>
      </c>
      <c r="J325" s="17"/>
      <c r="K325" s="33">
        <f>1/INDEX('95 Cellulosic ethanol'!$D$4:$H$59,MATCH(SUP_Biofuels!X325,'95 Cellulosic ethanol'!$B$4:$B$59,0),MATCH(SUP_Biofuels!$I325,'95 Cellulosic ethanol'!$D$3:$H$3,0))</f>
        <v>2.5</v>
      </c>
      <c r="L325" s="33"/>
      <c r="M325" s="34">
        <f>INDEX('95 Cellulosic ethanol'!$D$4:$H$59,MATCH(SUP_Biofuels!M$8,'95 Cellulosic ethanol'!$B$4:$B$59,0),MATCH(SUP_Biofuels!$I325,'95 Cellulosic ethanol'!$D$3:$H$3,0))</f>
        <v>25</v>
      </c>
      <c r="N325" s="35">
        <f>INDEX('95 Cellulosic ethanol'!$D$4:$H$59,MATCH(SUP_Biofuels!N$8,'95 Cellulosic ethanol'!$B$4:$B$59,0),MATCH(SUP_Biofuels!$I325,'95 Cellulosic ethanol'!$D$3:$H$3,0))*7.45</f>
        <v>15.901806812179542</v>
      </c>
      <c r="O325" s="35">
        <f>INDEX('95 Cellulosic ethanol'!$D$4:$H$59,MATCH(SUP_Biofuels!O$8,'95 Cellulosic ethanol'!$B$4:$B$59,0),MATCH(SUP_Biofuels!$I325,'95 Cellulosic ethanol'!$D$3:$H$3,0))*7.45</f>
        <v>0.42404818165812114</v>
      </c>
      <c r="P325" s="35">
        <f>INDEX('95 Cellulosic ethanol'!$D$4:$H$59,MATCH(SUP_Biofuels!P$8,'95 Cellulosic ethanol'!$B$4:$B$59,0),MATCH(SUP_Biofuels!$I325,'95 Cellulosic ethanol'!$D$3:$H$3,0))*7.45/3.6</f>
        <v>28.045514659928649</v>
      </c>
      <c r="Q325" s="33">
        <f>1-INDEX('95 Cellulosic ethanol'!$D$4:$H$59,MATCH(SUP_Biofuels!Q$7,'95 Cellulosic ethanol'!$B$4:$B$59,0),MATCH(SUP_Biofuels!$I325,'95 Cellulosic ethanol'!$D$3:$H$3,0))/52-INDEX('95 Cellulosic ethanol'!$D$4:$H$59,MATCH(SUP_Biofuels!Q$8,'95 Cellulosic ethanol'!$B$4:$B$59,0),MATCH(SUP_Biofuels!$I325,'95 Cellulosic ethanol'!$D$3:$H$3,0))/100</f>
        <v>0.96153846153846156</v>
      </c>
      <c r="R325" s="36">
        <f>$R$39</f>
        <v>3.1536000000000002E-2</v>
      </c>
      <c r="S325" s="39">
        <f>INDEX('95 Cellulosic ethanol'!$D$4:$H$59,MATCH(SUP_Biofuels!S$8,'95 Cellulosic ethanol'!$B$4:$B$59,0),MATCH(SUP_Biofuels!$I325,'95 Cellulosic ethanol'!$D$3:$H$3,0))</f>
        <v>2</v>
      </c>
      <c r="T325" s="39"/>
      <c r="U325" s="44"/>
      <c r="V325" s="45"/>
      <c r="W325" s="17" t="str">
        <f>W323</f>
        <v>Feedstock Consumption, MWh/MWh Total Input</v>
      </c>
      <c r="X325" s="17" t="str">
        <f>X323</f>
        <v>Ethanol Output, MWh/MWh Total Input</v>
      </c>
      <c r="Y325" s="17"/>
    </row>
    <row r="326" spans="3:25" s="43" customFormat="1" ht="15" thickBot="1">
      <c r="C326" s="46"/>
      <c r="D326" s="46"/>
      <c r="E326" s="46"/>
      <c r="F326" s="46"/>
      <c r="G326" s="46" t="s">
        <v>84</v>
      </c>
      <c r="H326" s="46"/>
      <c r="I326" s="46"/>
      <c r="J326" s="46"/>
      <c r="K326" s="59"/>
      <c r="L326" s="59">
        <f>INDEX('95 Cellulosic ethanol'!$D$4:$H$59,MATCH(SUP_Biofuels!Y326,'95 Cellulosic ethanol'!$B$4:$B$59,0),MATCH(SUP_Biofuels!$I325,'95 Cellulosic ethanol'!$D$3:$H$3,0))*K325</f>
        <v>0.15</v>
      </c>
      <c r="M326" s="46"/>
      <c r="N326" s="46"/>
      <c r="O326" s="46"/>
      <c r="P326" s="49"/>
      <c r="Q326" s="46"/>
      <c r="R326" s="46"/>
      <c r="S326" s="46"/>
      <c r="T326" s="46"/>
      <c r="U326" s="46"/>
      <c r="V326" s="46"/>
      <c r="W326" s="46"/>
      <c r="X326" s="46"/>
      <c r="Y326" s="46" t="str">
        <f>Y324</f>
        <v>Electiricity Output, MWh/MWh Total Input</v>
      </c>
    </row>
    <row r="327" spans="3:25" s="43" customFormat="1" ht="15.6">
      <c r="C327" s="17" t="str">
        <f>"SUP"&amp;F327&amp;RIGHT(E327,3)&amp;IF(RIGHT(D327,7)="Central","C1","D1")</f>
        <v>SUPCRBWCHC1</v>
      </c>
      <c r="D327" s="32" t="str">
        <f>'100 Hydrothermal liquifaction'!$D$2&amp;" Central"</f>
        <v>Bio Oil Central</v>
      </c>
      <c r="E327" s="17" t="s">
        <v>68</v>
      </c>
      <c r="F327" s="17" t="s">
        <v>1762</v>
      </c>
      <c r="G327" s="17"/>
      <c r="H327" s="17" t="s">
        <v>70</v>
      </c>
      <c r="I327" s="17">
        <f>'93 1st generation ethanol'!$E$3</f>
        <v>2020</v>
      </c>
      <c r="J327" s="19">
        <v>2030</v>
      </c>
      <c r="K327" s="33">
        <f>(INDEX('100 Hydrothermal liquifaction'!$D$4:$H$59,MATCH(SUP_Biofuels!W327,'100 Hydrothermal liquifaction'!$B$4:$B$59,0),MATCH(SUP_Biofuels!$I327,'100 Hydrothermal liquifaction'!$D$3:$H$3,0)))/INDEX('100 Hydrothermal liquifaction'!$D$4:$H$59,MATCH(SUP_Biofuels!X327,'100 Hydrothermal liquifaction'!$B$4:$B$59,0),MATCH(SUP_Biofuels!$I327,'100 Hydrothermal liquifaction'!$D$3:$H$3,0))</f>
        <v>1.1585365853658536</v>
      </c>
      <c r="L327" s="33"/>
      <c r="M327" s="34">
        <v>20</v>
      </c>
      <c r="N327" s="35">
        <f>INDEX('100 Hydrothermal liquifaction'!$D$4:$H$59,MATCH(SUP_Biofuels!N$8,'100 Hydrothermal liquifaction'!$B$4:$B$59,0),MATCH(SUP_Biofuels!$I327,'100 Hydrothermal liquifaction'!$D$3:$H$3,0))*7.45</f>
        <v>16.369700272479566</v>
      </c>
      <c r="O327" s="35">
        <f>INDEX('100 Hydrothermal liquifaction'!$D$4:$H$59,MATCH(SUP_Biofuels!O$8,'100 Hydrothermal liquifaction'!$B$4:$B$59,0),MATCH(SUP_Biofuels!$I327,'100 Hydrothermal liquifaction'!$D$3:$H$3,0))*7.45</f>
        <v>0.46770572207084465</v>
      </c>
      <c r="P327" s="35">
        <f>INDEX('100 Hydrothermal liquifaction'!$D$4:$H$59,MATCH(SUP_Biofuels!P$8,'100 Hydrothermal liquifaction'!$B$4:$B$59,0),MATCH(SUP_Biofuels!$I327,'100 Hydrothermal liquifaction'!$D$3:$H$3,0))*7.45/3.6</f>
        <v>28.999610743479955</v>
      </c>
      <c r="Q327" s="33">
        <f>1-INDEX('100 Hydrothermal liquifaction'!$D$4:$H$59,MATCH(SUP_Biofuels!Q$7,'100 Hydrothermal liquifaction'!$B$4:$B$59,0),MATCH(SUP_Biofuels!$I327,'100 Hydrothermal liquifaction'!$D$3:$H$3,0))/52-INDEX('100 Hydrothermal liquifaction'!$D$4:$H$59,MATCH(SUP_Biofuels!Q$8,'100 Hydrothermal liquifaction'!$B$4:$B$59,0),MATCH(SUP_Biofuels!$I327,'100 Hydrothermal liquifaction'!$D$3:$H$3,0))/100</f>
        <v>0.88307692307692309</v>
      </c>
      <c r="R327" s="36">
        <f>$R$39</f>
        <v>3.1536000000000002E-2</v>
      </c>
      <c r="S327" s="34">
        <f>INDEX('100 Hydrothermal liquifaction'!$D$4:$H$59,MATCH(SUP_Biofuels!S$8,'100 Hydrothermal liquifaction'!$B$4:$B$59,0),MATCH(SUP_Biofuels!$I327,'100 Hydrothermal liquifaction'!$D$3:$H$3,0))</f>
        <v>2</v>
      </c>
      <c r="T327" s="34"/>
      <c r="U327" s="44"/>
      <c r="V327" s="38" t="s">
        <v>74</v>
      </c>
      <c r="W327" s="17" t="str">
        <f>'100 Hydrothermal liquifaction'!$B$9</f>
        <v>Feedstock Consumption, MWh/MWh Total Input</v>
      </c>
      <c r="X327" s="43" t="str">
        <f>'100 Hydrothermal liquifaction'!$B$12</f>
        <v>Bio Oil Output, MWh/MWh Total Input</v>
      </c>
      <c r="Y327" s="17"/>
    </row>
    <row r="328" spans="3:25" s="43" customFormat="1">
      <c r="E328" s="17" t="s">
        <v>71</v>
      </c>
      <c r="F328" s="17"/>
      <c r="G328" s="17"/>
      <c r="H328" s="17"/>
      <c r="I328" s="17"/>
      <c r="J328" s="17"/>
      <c r="K328" s="33">
        <f>(INDEX('100 Hydrothermal liquifaction'!$D$4:$H$59,MATCH(SUP_Biofuels!W328,'100 Hydrothermal liquifaction'!$B$4:$B$59,0),MATCH(SUP_Biofuels!$I327,'100 Hydrothermal liquifaction'!$D$3:$H$3,0)))/INDEX('100 Hydrothermal liquifaction'!$D$4:$H$59,MATCH(SUP_Biofuels!X327,'100 Hydrothermal liquifaction'!$B$4:$B$59,0),MATCH(SUP_Biofuels!$I327,'100 Hydrothermal liquifaction'!$D$3:$H$3,0))</f>
        <v>6.0975609756097567E-2</v>
      </c>
      <c r="L328" s="33"/>
      <c r="M328" s="34"/>
      <c r="N328" s="35"/>
      <c r="O328" s="35"/>
      <c r="P328" s="35"/>
      <c r="Q328" s="33"/>
      <c r="R328" s="36"/>
      <c r="S328" s="34"/>
      <c r="T328" s="34"/>
      <c r="U328" s="44"/>
      <c r="V328" s="45"/>
      <c r="W328" s="17" t="str">
        <f>'100 Hydrothermal liquifaction'!$B$10</f>
        <v>Electricity Consumption, MWh/MWh Total Input</v>
      </c>
      <c r="Y328" s="17"/>
    </row>
    <row r="329" spans="3:25" s="43" customFormat="1" ht="15.6">
      <c r="C329" s="17"/>
      <c r="D329" s="32"/>
      <c r="E329" s="17" t="s">
        <v>68</v>
      </c>
      <c r="F329" s="17" t="str">
        <f>F327</f>
        <v>CRB</v>
      </c>
      <c r="G329" s="17"/>
      <c r="H329" s="17" t="s">
        <v>70</v>
      </c>
      <c r="I329" s="17">
        <v>2030</v>
      </c>
      <c r="J329" s="17"/>
      <c r="K329" s="33">
        <f>(INDEX('100 Hydrothermal liquifaction'!$D$4:$H$59,MATCH(SUP_Biofuels!W329,'100 Hydrothermal liquifaction'!$B$4:$B$59,0),MATCH(SUP_Biofuels!$I329,'100 Hydrothermal liquifaction'!$D$3:$H$3,0)))/INDEX('100 Hydrothermal liquifaction'!$D$4:$H$59,MATCH(SUP_Biofuels!X329,'100 Hydrothermal liquifaction'!$B$4:$B$59,0),MATCH(SUP_Biofuels!$I329,'100 Hydrothermal liquifaction'!$D$3:$H$3,0))</f>
        <v>1.1585365853658536</v>
      </c>
      <c r="L329" s="33"/>
      <c r="M329" s="34">
        <v>20</v>
      </c>
      <c r="N329" s="35">
        <f>INDEX('100 Hydrothermal liquifaction'!$D$4:$H$59,MATCH(SUP_Biofuels!N$8,'100 Hydrothermal liquifaction'!$B$4:$B$59,0),MATCH(SUP_Biofuels!$I329,'100 Hydrothermal liquifaction'!$D$3:$H$3,0))*7.45</f>
        <v>12.277275204359672</v>
      </c>
      <c r="O329" s="35">
        <f>INDEX('100 Hydrothermal liquifaction'!$D$4:$H$59,MATCH(SUP_Biofuels!O$8,'100 Hydrothermal liquifaction'!$B$4:$B$59,0),MATCH(SUP_Biofuels!$I329,'100 Hydrothermal liquifaction'!$D$3:$H$3,0))*7.45</f>
        <v>0.4677057220708446</v>
      </c>
      <c r="P329" s="35">
        <f>INDEX('100 Hydrothermal liquifaction'!$D$4:$H$59,MATCH(SUP_Biofuels!P$8,'100 Hydrothermal liquifaction'!$B$4:$B$59,0),MATCH(SUP_Biofuels!$I329,'100 Hydrothermal liquifaction'!$D$3:$H$3,0))*7.45/3.6</f>
        <v>28.999610743479952</v>
      </c>
      <c r="Q329" s="33">
        <f>1-INDEX('100 Hydrothermal liquifaction'!$D$4:$H$59,MATCH(SUP_Biofuels!Q$7,'100 Hydrothermal liquifaction'!$B$4:$B$59,0),MATCH(SUP_Biofuels!$I329,'100 Hydrothermal liquifaction'!$D$3:$H$3,0))/52-INDEX('100 Hydrothermal liquifaction'!$D$4:$H$59,MATCH(SUP_Biofuels!Q$8,'100 Hydrothermal liquifaction'!$B$4:$B$59,0),MATCH(SUP_Biofuels!$I329,'100 Hydrothermal liquifaction'!$D$3:$H$3,0))/100</f>
        <v>0.92307692307692313</v>
      </c>
      <c r="R329" s="36">
        <f>$R$39</f>
        <v>3.1536000000000002E-2</v>
      </c>
      <c r="S329" s="34">
        <f>INDEX('100 Hydrothermal liquifaction'!$D$4:$H$59,MATCH(SUP_Biofuels!S$8,'100 Hydrothermal liquifaction'!$B$4:$B$59,0),MATCH(SUP_Biofuels!$I329,'100 Hydrothermal liquifaction'!$D$3:$H$3,0))</f>
        <v>2</v>
      </c>
      <c r="T329" s="34"/>
      <c r="U329" s="44"/>
      <c r="V329" s="45"/>
      <c r="W329" s="17" t="str">
        <f>W327</f>
        <v>Feedstock Consumption, MWh/MWh Total Input</v>
      </c>
      <c r="X329" s="17" t="str">
        <f>X327</f>
        <v>Bio Oil Output, MWh/MWh Total Input</v>
      </c>
      <c r="Y329" s="17"/>
    </row>
    <row r="330" spans="3:25" s="43" customFormat="1">
      <c r="C330" s="17"/>
      <c r="D330" s="17"/>
      <c r="E330" s="17" t="s">
        <v>71</v>
      </c>
      <c r="F330" s="17"/>
      <c r="G330" s="17"/>
      <c r="H330" s="17"/>
      <c r="I330" s="17"/>
      <c r="J330" s="17"/>
      <c r="K330" s="33">
        <f>(INDEX('100 Hydrothermal liquifaction'!$D$4:$H$59,MATCH(SUP_Biofuels!W330,'100 Hydrothermal liquifaction'!$B$4:$B$59,0),MATCH(SUP_Biofuels!$I329,'100 Hydrothermal liquifaction'!$D$3:$H$3,0)))/INDEX('100 Hydrothermal liquifaction'!$D$4:$H$59,MATCH(SUP_Biofuels!X329,'100 Hydrothermal liquifaction'!$B$4:$B$59,0),MATCH(SUP_Biofuels!$I329,'100 Hydrothermal liquifaction'!$D$3:$H$3,0))</f>
        <v>6.0975609756097567E-2</v>
      </c>
      <c r="L330" s="33"/>
      <c r="M330" s="34"/>
      <c r="N330" s="35"/>
      <c r="O330" s="35"/>
      <c r="P330" s="35"/>
      <c r="Q330" s="33"/>
      <c r="R330" s="36"/>
      <c r="S330" s="34"/>
      <c r="T330" s="34"/>
      <c r="U330" s="44"/>
      <c r="V330" s="45"/>
      <c r="W330" s="17" t="str">
        <f>W328</f>
        <v>Electricity Consumption, MWh/MWh Total Input</v>
      </c>
      <c r="Y330" s="17"/>
    </row>
    <row r="331" spans="3:25" s="43" customFormat="1" ht="15.6">
      <c r="C331" s="17"/>
      <c r="D331" s="32"/>
      <c r="E331" s="17" t="s">
        <v>68</v>
      </c>
      <c r="F331" s="17" t="str">
        <f>F329</f>
        <v>CRB</v>
      </c>
      <c r="G331" s="17"/>
      <c r="H331" s="17" t="s">
        <v>70</v>
      </c>
      <c r="I331" s="17">
        <v>2040</v>
      </c>
      <c r="J331" s="17"/>
      <c r="K331" s="33">
        <f>(INDEX('100 Hydrothermal liquifaction'!$D$4:$H$59,MATCH(SUP_Biofuels!W331,'100 Hydrothermal liquifaction'!$B$4:$B$59,0),MATCH(SUP_Biofuels!$I331,'100 Hydrothermal liquifaction'!$D$3:$H$3,0)))/INDEX('100 Hydrothermal liquifaction'!$D$4:$H$59,MATCH(SUP_Biofuels!X331,'100 Hydrothermal liquifaction'!$B$4:$B$59,0),MATCH(SUP_Biofuels!$I331,'100 Hydrothermal liquifaction'!$D$3:$H$3,0))</f>
        <v>1.1585365853658536</v>
      </c>
      <c r="L331" s="33"/>
      <c r="M331" s="34">
        <v>20</v>
      </c>
      <c r="N331" s="35">
        <f>INDEX('100 Hydrothermal liquifaction'!$D$4:$H$59,MATCH(SUP_Biofuels!N$8,'100 Hydrothermal liquifaction'!$B$4:$B$59,0),MATCH(SUP_Biofuels!$I331,'100 Hydrothermal liquifaction'!$D$3:$H$3,0))*7.45</f>
        <v>9.2079564032697547</v>
      </c>
      <c r="O331" s="35">
        <f>INDEX('100 Hydrothermal liquifaction'!$D$4:$H$59,MATCH(SUP_Biofuels!O$8,'100 Hydrothermal liquifaction'!$B$4:$B$59,0),MATCH(SUP_Biofuels!$I331,'100 Hydrothermal liquifaction'!$D$3:$H$3,0))*7.45</f>
        <v>0.4677057220708446</v>
      </c>
      <c r="P331" s="35">
        <f>INDEX('100 Hydrothermal liquifaction'!$D$4:$H$59,MATCH(SUP_Biofuels!P$8,'100 Hydrothermal liquifaction'!$B$4:$B$59,0),MATCH(SUP_Biofuels!$I331,'100 Hydrothermal liquifaction'!$D$3:$H$3,0))*7.45/3.6</f>
        <v>28.999610743479952</v>
      </c>
      <c r="Q331" s="33">
        <f>1-INDEX('100 Hydrothermal liquifaction'!$D$4:$H$59,MATCH(SUP_Biofuels!Q$7,'100 Hydrothermal liquifaction'!$B$4:$B$59,0),MATCH(SUP_Biofuels!$I331,'100 Hydrothermal liquifaction'!$D$3:$H$3,0))/52-INDEX('100 Hydrothermal liquifaction'!$D$4:$H$59,MATCH(SUP_Biofuels!Q$8,'100 Hydrothermal liquifaction'!$B$4:$B$59,0),MATCH(SUP_Biofuels!$I331,'100 Hydrothermal liquifaction'!$D$3:$H$3,0))/100</f>
        <v>0.92307692307692313</v>
      </c>
      <c r="R331" s="36">
        <f>$R$39</f>
        <v>3.1536000000000002E-2</v>
      </c>
      <c r="S331" s="34">
        <f>INDEX('100 Hydrothermal liquifaction'!$D$4:$H$59,MATCH(SUP_Biofuels!S$8,'100 Hydrothermal liquifaction'!$B$4:$B$59,0),MATCH(SUP_Biofuels!$I331,'100 Hydrothermal liquifaction'!$D$3:$H$3,0))</f>
        <v>2</v>
      </c>
      <c r="T331" s="34"/>
      <c r="U331" s="44"/>
      <c r="V331" s="45"/>
      <c r="W331" s="17" t="str">
        <f>W329</f>
        <v>Feedstock Consumption, MWh/MWh Total Input</v>
      </c>
      <c r="X331" s="17" t="str">
        <f>X329</f>
        <v>Bio Oil Output, MWh/MWh Total Input</v>
      </c>
      <c r="Y331" s="17"/>
    </row>
    <row r="332" spans="3:25" s="43" customFormat="1">
      <c r="C332" s="17"/>
      <c r="D332" s="17"/>
      <c r="E332" s="17" t="s">
        <v>71</v>
      </c>
      <c r="F332" s="17"/>
      <c r="G332" s="17"/>
      <c r="H332" s="17"/>
      <c r="I332" s="17"/>
      <c r="J332" s="17"/>
      <c r="K332" s="33">
        <f>(INDEX('100 Hydrothermal liquifaction'!$D$4:$H$59,MATCH(SUP_Biofuels!W332,'100 Hydrothermal liquifaction'!$B$4:$B$59,0),MATCH(SUP_Biofuels!$I331,'100 Hydrothermal liquifaction'!$D$3:$H$3,0)))/INDEX('100 Hydrothermal liquifaction'!$D$4:$H$59,MATCH(SUP_Biofuels!X331,'100 Hydrothermal liquifaction'!$B$4:$B$59,0),MATCH(SUP_Biofuels!$I331,'100 Hydrothermal liquifaction'!$D$3:$H$3,0))</f>
        <v>6.0975609756097567E-2</v>
      </c>
      <c r="L332" s="33"/>
      <c r="M332" s="34"/>
      <c r="N332" s="35"/>
      <c r="O332" s="35"/>
      <c r="P332" s="35"/>
      <c r="Q332" s="33"/>
      <c r="R332" s="36"/>
      <c r="S332" s="34"/>
      <c r="T332" s="34"/>
      <c r="U332" s="44"/>
      <c r="V332" s="45"/>
      <c r="W332" s="17" t="str">
        <f>W330</f>
        <v>Electricity Consumption, MWh/MWh Total Input</v>
      </c>
      <c r="Y332" s="17"/>
    </row>
    <row r="333" spans="3:25" s="43" customFormat="1" ht="15.6">
      <c r="C333" s="17"/>
      <c r="D333" s="32"/>
      <c r="E333" s="17" t="s">
        <v>68</v>
      </c>
      <c r="F333" s="17" t="str">
        <f>F331</f>
        <v>CRB</v>
      </c>
      <c r="G333" s="17"/>
      <c r="H333" s="17" t="s">
        <v>70</v>
      </c>
      <c r="I333" s="17">
        <v>2050</v>
      </c>
      <c r="J333" s="17"/>
      <c r="K333" s="33">
        <f>(INDEX('100 Hydrothermal liquifaction'!$D$4:$H$59,MATCH(SUP_Biofuels!W333,'100 Hydrothermal liquifaction'!$B$4:$B$59,0),MATCH(SUP_Biofuels!$I333,'100 Hydrothermal liquifaction'!$D$3:$H$3,0)))/INDEX('100 Hydrothermal liquifaction'!$D$4:$H$59,MATCH(SUP_Biofuels!X333,'100 Hydrothermal liquifaction'!$B$4:$B$59,0),MATCH(SUP_Biofuels!$I333,'100 Hydrothermal liquifaction'!$D$3:$H$3,0))</f>
        <v>1.1585365853658536</v>
      </c>
      <c r="L333" s="33"/>
      <c r="M333" s="34">
        <v>20</v>
      </c>
      <c r="N333" s="35">
        <f>INDEX('100 Hydrothermal liquifaction'!$D$4:$H$59,MATCH(SUP_Biofuels!N$8,'100 Hydrothermal liquifaction'!$B$4:$B$59,0),MATCH(SUP_Biofuels!$I333,'100 Hydrothermal liquifaction'!$D$3:$H$3,0))*7.45</f>
        <v>8.1848501362397812</v>
      </c>
      <c r="O333" s="35">
        <f>INDEX('100 Hydrothermal liquifaction'!$D$4:$H$59,MATCH(SUP_Biofuels!O$8,'100 Hydrothermal liquifaction'!$B$4:$B$59,0),MATCH(SUP_Biofuels!$I333,'100 Hydrothermal liquifaction'!$D$3:$H$3,0))*7.45</f>
        <v>0.4677057220708446</v>
      </c>
      <c r="P333" s="35">
        <f>INDEX('100 Hydrothermal liquifaction'!$D$4:$H$59,MATCH(SUP_Biofuels!P$8,'100 Hydrothermal liquifaction'!$B$4:$B$59,0),MATCH(SUP_Biofuels!$I333,'100 Hydrothermal liquifaction'!$D$3:$H$3,0))*7.45/3.6</f>
        <v>28.999610743479955</v>
      </c>
      <c r="Q333" s="33">
        <f>1-INDEX('100 Hydrothermal liquifaction'!$D$4:$H$59,MATCH(SUP_Biofuels!Q$7,'100 Hydrothermal liquifaction'!$B$4:$B$59,0),MATCH(SUP_Biofuels!$I333,'100 Hydrothermal liquifaction'!$D$3:$H$3,0))/52-INDEX('100 Hydrothermal liquifaction'!$D$4:$H$59,MATCH(SUP_Biofuels!Q$8,'100 Hydrothermal liquifaction'!$B$4:$B$59,0),MATCH(SUP_Biofuels!$I333,'100 Hydrothermal liquifaction'!$D$3:$H$3,0))/100</f>
        <v>0.92307692307692313</v>
      </c>
      <c r="R333" s="36">
        <f>$R$39</f>
        <v>3.1536000000000002E-2</v>
      </c>
      <c r="S333" s="34">
        <f>INDEX('100 Hydrothermal liquifaction'!$D$4:$H$59,MATCH(SUP_Biofuels!S$8,'100 Hydrothermal liquifaction'!$B$4:$B$59,0),MATCH(SUP_Biofuels!$I333,'100 Hydrothermal liquifaction'!$D$3:$H$3,0))</f>
        <v>2</v>
      </c>
      <c r="T333" s="34"/>
      <c r="U333" s="44"/>
      <c r="V333" s="45"/>
      <c r="W333" s="17" t="str">
        <f>W331</f>
        <v>Feedstock Consumption, MWh/MWh Total Input</v>
      </c>
      <c r="X333" s="17" t="str">
        <f>X331</f>
        <v>Bio Oil Output, MWh/MWh Total Input</v>
      </c>
      <c r="Y333" s="17"/>
    </row>
    <row r="334" spans="3:25" s="43" customFormat="1" ht="15" thickBot="1">
      <c r="C334" s="47"/>
      <c r="D334" s="47"/>
      <c r="E334" s="47" t="s">
        <v>71</v>
      </c>
      <c r="F334" s="47"/>
      <c r="G334" s="47"/>
      <c r="H334" s="47"/>
      <c r="I334" s="47"/>
      <c r="J334" s="47"/>
      <c r="K334" s="48">
        <f>(INDEX('100 Hydrothermal liquifaction'!$D$4:$H$59,MATCH(SUP_Biofuels!W334,'100 Hydrothermal liquifaction'!$B$4:$B$59,0),MATCH(SUP_Biofuels!$I333,'100 Hydrothermal liquifaction'!$D$3:$H$3,0)))/INDEX('100 Hydrothermal liquifaction'!$D$4:$H$59,MATCH(SUP_Biofuels!X333,'100 Hydrothermal liquifaction'!$B$4:$B$59,0),MATCH(SUP_Biofuels!$I333,'100 Hydrothermal liquifaction'!$D$3:$H$3,0))</f>
        <v>6.0975609756097567E-2</v>
      </c>
      <c r="L334" s="48"/>
      <c r="M334" s="60"/>
      <c r="N334" s="61"/>
      <c r="O334" s="61"/>
      <c r="P334" s="61"/>
      <c r="Q334" s="48"/>
      <c r="R334" s="62"/>
      <c r="S334" s="60"/>
      <c r="T334" s="60"/>
      <c r="U334" s="63"/>
      <c r="V334" s="64"/>
      <c r="W334" s="47" t="str">
        <f>W332</f>
        <v>Electricity Consumption, MWh/MWh Total Input</v>
      </c>
      <c r="X334" s="46"/>
      <c r="Y334" s="47"/>
    </row>
    <row r="335" spans="3:25" s="43" customFormat="1" ht="15.6">
      <c r="C335" s="17" t="str">
        <f>"SUP"&amp;F335&amp;RIGHT(E335,3)&amp;IF(RIGHT(D335,7)="Central","C2","D2")</f>
        <v>SUPGSB2WCHC2</v>
      </c>
      <c r="D335" s="32" t="str">
        <f>'101 Catalytic Hydropyrolysis 2'!D2&amp;" Central"</f>
        <v>Catalytic Hydropyrolysis conf. 2 Central</v>
      </c>
      <c r="E335" s="17" t="s">
        <v>68</v>
      </c>
      <c r="F335" s="17" t="s">
        <v>85</v>
      </c>
      <c r="G335" s="17"/>
      <c r="H335" s="17" t="s">
        <v>70</v>
      </c>
      <c r="I335" s="17">
        <f>'93 1st generation ethanol'!$E$3</f>
        <v>2020</v>
      </c>
      <c r="J335" s="19">
        <v>2030</v>
      </c>
      <c r="K335" s="33">
        <f>(INDEX('101 Catalytic Hydropyrolysis 2'!$D$4:$H$63,MATCH(SUP_Biofuels!W335,'101 Catalytic Hydropyrolysis 2'!$B$4:$B$61,0),MATCH(SUP_Biofuels!$I335,'101 Catalytic Hydropyrolysis 2'!$D$3:$H$3,0)))/INDEX('101 Catalytic Hydropyrolysis 2'!$D$4:$H$63,MATCH(SUP_Biofuels!X335,'101 Catalytic Hydropyrolysis 2'!$B$4:$B$61,0),MATCH(SUP_Biofuels!$I335,'101 Catalytic Hydropyrolysis 2'!$D$3:$H$3,0))</f>
        <v>2.6052631578947367</v>
      </c>
      <c r="L335" s="33"/>
      <c r="M335" s="34">
        <v>20</v>
      </c>
      <c r="N335" s="35">
        <f>INDEX('101 Catalytic Hydropyrolysis 2'!$D$4:$H$63,MATCH(SUP_Biofuels!N$8,'101 Catalytic Hydropyrolysis 2'!$B$4:$B$61,0),MATCH(SUP_Biofuels!$I335,'101 Catalytic Hydropyrolysis 2'!$D$3:$H$3,0))*7.45/L337</f>
        <v>46.332742407660746</v>
      </c>
      <c r="O335" s="35">
        <f>INDEX('101 Catalytic Hydropyrolysis 2'!$D$4:$H$63,MATCH(SUP_Biofuels!O$8,'101 Catalytic Hydropyrolysis 2'!$B$4:$B$61,0),MATCH(SUP_Biofuels!$I335,'101 Catalytic Hydropyrolysis 2'!$D$3:$H$3,0))*7.45/L337</f>
        <v>1.9241771067028806</v>
      </c>
      <c r="P335" s="35">
        <f>INDEX('101 Catalytic Hydropyrolysis 2'!$D$4:$H$63,MATCH(SUP_Biofuels!P$8,'101 Catalytic Hydropyrolysis 2'!$B$4:$B$61,0),MATCH(SUP_Biofuels!$I335,'101 Catalytic Hydropyrolysis 2'!$D$3:$H$3,0))*7.45/3.6/L337</f>
        <v>27.838210455770835</v>
      </c>
      <c r="Q335" s="33">
        <f>1-INDEX('101 Catalytic Hydropyrolysis 2'!$D$4:$H$63,MATCH(SUP_Biofuels!Q$7,'101 Catalytic Hydropyrolysis 2'!$B$4:$B$61,0),MATCH(SUP_Biofuels!$I335,'101 Catalytic Hydropyrolysis 2'!$D$3:$H$3,0))/52-INDEX('101 Catalytic Hydropyrolysis 2'!$D$4:$H$63,MATCH(SUP_Biofuels!Q$8,'101 Catalytic Hydropyrolysis 2'!$B$4:$B$61,0),MATCH(SUP_Biofuels!$I335,'101 Catalytic Hydropyrolysis 2'!$D$3:$H$3,0))/100</f>
        <v>0.92153846153846153</v>
      </c>
      <c r="R335" s="36">
        <f>$R$39</f>
        <v>3.1536000000000002E-2</v>
      </c>
      <c r="S335" s="34">
        <f>INDEX('101 Catalytic Hydropyrolysis 2'!$D$4:$H$63,MATCH(SUP_Biofuels!S$8,'101 Catalytic Hydropyrolysis 2'!$B$4:$B$61,0),MATCH(SUP_Biofuels!$I335,'101 Catalytic Hydropyrolysis 2'!$D$3:$H$3,0))</f>
        <v>2</v>
      </c>
      <c r="T335" s="34"/>
      <c r="U335" s="44"/>
      <c r="V335" s="45" t="s">
        <v>74</v>
      </c>
      <c r="W335" s="17" t="str">
        <f>'101 Catalytic Hydropyrolysis 2'!B9</f>
        <v>Feedstock Consumption, MWh/MWh Total Input</v>
      </c>
      <c r="X335" s="43" t="str">
        <f>'101 Catalytic Hydropyrolysis 2'!B12</f>
        <v>Gasoline fraction, MWh/MWh Total Input</v>
      </c>
      <c r="Y335" s="17"/>
    </row>
    <row r="336" spans="3:25" s="43" customFormat="1">
      <c r="E336" s="17" t="s">
        <v>71</v>
      </c>
      <c r="F336" s="17"/>
      <c r="G336" s="17"/>
      <c r="H336" s="17"/>
      <c r="I336" s="17"/>
      <c r="J336" s="17"/>
      <c r="K336" s="33">
        <f>(INDEX('101 Catalytic Hydropyrolysis 2'!$D$4:$H$63,MATCH(SUP_Biofuels!W336,'101 Catalytic Hydropyrolysis 2'!$B$4:$B$61,0),MATCH(SUP_Biofuels!$I335,'101 Catalytic Hydropyrolysis 2'!$D$3:$H$3,0)))/INDEX('101 Catalytic Hydropyrolysis 2'!$D$4:$H$63,MATCH(SUP_Biofuels!X335,'101 Catalytic Hydropyrolysis 2'!$B$4:$B$61,0),MATCH(SUP_Biofuels!$I335,'101 Catalytic Hydropyrolysis 2'!$D$3:$H$3,0))</f>
        <v>2.6315789473684209E-2</v>
      </c>
      <c r="L336" s="33"/>
      <c r="M336" s="34"/>
      <c r="N336" s="35"/>
      <c r="O336" s="35"/>
      <c r="P336" s="35"/>
      <c r="Q336" s="33"/>
      <c r="R336" s="36"/>
      <c r="S336" s="34"/>
      <c r="T336" s="34"/>
      <c r="U336" s="44"/>
      <c r="V336" s="45"/>
      <c r="W336" s="17" t="str">
        <f>'101 Catalytic Hydropyrolysis 2'!B10</f>
        <v>Electricity Consumption, MWh/MWh Total Input</v>
      </c>
      <c r="Y336" s="17"/>
    </row>
    <row r="337" spans="3:26" s="43" customFormat="1" ht="15.6">
      <c r="C337" s="17"/>
      <c r="D337" s="32"/>
      <c r="G337" s="43" t="s">
        <v>86</v>
      </c>
      <c r="H337" s="17"/>
      <c r="I337" s="17"/>
      <c r="J337" s="17"/>
      <c r="K337" s="41"/>
      <c r="L337" s="33">
        <f>INDEX('101 Catalytic Hydropyrolysis 2'!$D$4:$H$63,MATCH(SUP_Biofuels!Y337,'101 Catalytic Hydropyrolysis 2'!$B$4:$B$61,0),MATCH(SUP_Biofuels!$I335,'101 Catalytic Hydropyrolysis 2'!$D$3:$H$3,0))*(SUM(K335:K336))</f>
        <v>0.44736842105263158</v>
      </c>
      <c r="M337" s="65"/>
      <c r="N337" s="65"/>
      <c r="O337" s="40"/>
      <c r="P337" s="40"/>
      <c r="Q337" s="41"/>
      <c r="R337" s="42"/>
      <c r="S337" s="39"/>
      <c r="T337" s="39"/>
      <c r="U337" s="17"/>
      <c r="Y337" s="17" t="str">
        <f>'101 Catalytic Hydropyrolysis 2'!B13</f>
        <v>Diesel fraction, MWh/MWh Total Input</v>
      </c>
    </row>
    <row r="338" spans="3:26" s="43" customFormat="1" ht="15.6">
      <c r="C338" s="17"/>
      <c r="D338" s="32"/>
      <c r="E338" s="17" t="s">
        <v>68</v>
      </c>
      <c r="F338" s="17" t="str">
        <f>F335</f>
        <v>GSB2</v>
      </c>
      <c r="G338" s="17"/>
      <c r="H338" s="17" t="s">
        <v>70</v>
      </c>
      <c r="I338" s="17">
        <v>2030</v>
      </c>
      <c r="J338" s="17"/>
      <c r="K338" s="33">
        <f>(INDEX('101 Catalytic Hydropyrolysis 2'!$D$4:$H$63,MATCH(SUP_Biofuels!W338,'101 Catalytic Hydropyrolysis 2'!$B$4:$B$61,0),MATCH(SUP_Biofuels!$I338,'101 Catalytic Hydropyrolysis 2'!$D$3:$H$3,0)))/INDEX('101 Catalytic Hydropyrolysis 2'!$D$4:$H$63,MATCH(SUP_Biofuels!X338,'101 Catalytic Hydropyrolysis 2'!$B$4:$B$61,0),MATCH(SUP_Biofuels!$I338,'101 Catalytic Hydropyrolysis 2'!$D$3:$H$3,0))</f>
        <v>2.5384615384615383</v>
      </c>
      <c r="L338" s="33"/>
      <c r="M338" s="34">
        <v>20</v>
      </c>
      <c r="N338" s="35">
        <f>INDEX('101 Catalytic Hydropyrolysis 2'!$D$4:$H$63,MATCH(SUP_Biofuels!N$8,'101 Catalytic Hydropyrolysis 2'!$B$4:$B$61,0),MATCH(SUP_Biofuels!$I338,'101 Catalytic Hydropyrolysis 2'!$D$3:$H$3,0))*7.45/L340</f>
        <v>34.20663731686048</v>
      </c>
      <c r="O338" s="35">
        <f>INDEX('101 Catalytic Hydropyrolysis 2'!$D$4:$H$63,MATCH(SUP_Biofuels!O$8,'101 Catalytic Hydropyrolysis 2'!$B$4:$B$61,0),MATCH(SUP_Biofuels!$I338,'101 Catalytic Hydropyrolysis 2'!$D$3:$H$3,0))*7.45/L340</f>
        <v>1.8651014937777926</v>
      </c>
      <c r="P338" s="35">
        <f>INDEX('101 Catalytic Hydropyrolysis 2'!$D$4:$H$63,MATCH(SUP_Biofuels!P$8,'101 Catalytic Hydropyrolysis 2'!$B$4:$B$61,0),MATCH(SUP_Biofuels!$I338,'101 Catalytic Hydropyrolysis 2'!$D$3:$H$3,0))*7.45/3.6/L340</f>
        <v>26.983528555812963</v>
      </c>
      <c r="Q338" s="33">
        <f>1-INDEX('101 Catalytic Hydropyrolysis 2'!$D$4:$H$63,MATCH(SUP_Biofuels!Q$7,'101 Catalytic Hydropyrolysis 2'!$B$4:$B$61,0),MATCH(SUP_Biofuels!$I338,'101 Catalytic Hydropyrolysis 2'!$D$3:$H$3,0))/52-INDEX('101 Catalytic Hydropyrolysis 2'!$D$4:$H$63,MATCH(SUP_Biofuels!Q$8,'101 Catalytic Hydropyrolysis 2'!$B$4:$B$61,0),MATCH(SUP_Biofuels!$I338,'101 Catalytic Hydropyrolysis 2'!$D$3:$H$3,0))/100</f>
        <v>0.90230769230769226</v>
      </c>
      <c r="R338" s="36">
        <f>$R$39</f>
        <v>3.1536000000000002E-2</v>
      </c>
      <c r="S338" s="34">
        <f>INDEX('101 Catalytic Hydropyrolysis 2'!$D$4:$H$63,MATCH(SUP_Biofuels!S$8,'101 Catalytic Hydropyrolysis 2'!$B$4:$B$61,0),MATCH(SUP_Biofuels!$I338,'101 Catalytic Hydropyrolysis 2'!$D$3:$H$3,0))</f>
        <v>2</v>
      </c>
      <c r="T338" s="34"/>
      <c r="U338" s="44"/>
      <c r="V338" s="45"/>
      <c r="W338" s="17" t="str">
        <f>W335</f>
        <v>Feedstock Consumption, MWh/MWh Total Input</v>
      </c>
      <c r="X338" s="17" t="str">
        <f>X335</f>
        <v>Gasoline fraction, MWh/MWh Total Input</v>
      </c>
      <c r="Y338" s="17"/>
    </row>
    <row r="339" spans="3:26" s="43" customFormat="1">
      <c r="C339" s="17"/>
      <c r="D339" s="17"/>
      <c r="E339" s="17" t="s">
        <v>71</v>
      </c>
      <c r="F339" s="17"/>
      <c r="G339" s="17"/>
      <c r="H339" s="17"/>
      <c r="I339" s="17"/>
      <c r="J339" s="17"/>
      <c r="K339" s="33">
        <f>(INDEX('101 Catalytic Hydropyrolysis 2'!$D$4:$H$63,MATCH(SUP_Biofuels!W339,'101 Catalytic Hydropyrolysis 2'!$B$4:$B$61,0),MATCH(SUP_Biofuels!$I338,'101 Catalytic Hydropyrolysis 2'!$D$3:$H$3,0)))/INDEX('101 Catalytic Hydropyrolysis 2'!$D$4:$H$63,MATCH(SUP_Biofuels!X338,'101 Catalytic Hydropyrolysis 2'!$B$4:$B$61,0),MATCH(SUP_Biofuels!$I338,'101 Catalytic Hydropyrolysis 2'!$D$3:$H$3,0))</f>
        <v>2.564102564102564E-2</v>
      </c>
      <c r="L339" s="33"/>
      <c r="M339" s="34"/>
      <c r="N339" s="35"/>
      <c r="O339" s="35"/>
      <c r="P339" s="35"/>
      <c r="Q339" s="33"/>
      <c r="R339" s="36"/>
      <c r="S339" s="34"/>
      <c r="T339" s="34"/>
      <c r="U339" s="44"/>
      <c r="V339" s="45"/>
      <c r="W339" s="17" t="str">
        <f>W336</f>
        <v>Electricity Consumption, MWh/MWh Total Input</v>
      </c>
      <c r="Y339" s="17"/>
    </row>
    <row r="340" spans="3:26" s="43" customFormat="1" ht="15.6">
      <c r="C340" s="17"/>
      <c r="D340" s="32"/>
      <c r="G340" s="43" t="s">
        <v>86</v>
      </c>
      <c r="H340" s="17"/>
      <c r="I340" s="17"/>
      <c r="J340" s="17"/>
      <c r="K340" s="41"/>
      <c r="L340" s="33">
        <f>INDEX('101 Catalytic Hydropyrolysis 2'!$D$4:$H$63,MATCH(SUP_Biofuels!Y340,'101 Catalytic Hydropyrolysis 2'!$B$4:$B$61,0),MATCH(SUP_Biofuels!$I338,'101 Catalytic Hydropyrolysis 2'!$D$3:$H$3,0))*(SUM(K338:K339))</f>
        <v>0.46153846153846145</v>
      </c>
      <c r="M340" s="39"/>
      <c r="N340" s="40"/>
      <c r="O340" s="40"/>
      <c r="P340" s="40"/>
      <c r="Q340" s="41"/>
      <c r="R340" s="42"/>
      <c r="S340" s="39"/>
      <c r="T340" s="39"/>
      <c r="U340" s="17"/>
      <c r="Y340" s="17" t="str">
        <f>Y337</f>
        <v>Diesel fraction, MWh/MWh Total Input</v>
      </c>
    </row>
    <row r="341" spans="3:26" s="43" customFormat="1" ht="15.6">
      <c r="C341" s="17"/>
      <c r="D341" s="32"/>
      <c r="E341" s="17" t="s">
        <v>68</v>
      </c>
      <c r="F341" s="17" t="str">
        <f>F338</f>
        <v>GSB2</v>
      </c>
      <c r="G341" s="17"/>
      <c r="H341" s="17" t="s">
        <v>70</v>
      </c>
      <c r="I341" s="17">
        <v>2040</v>
      </c>
      <c r="J341" s="17"/>
      <c r="K341" s="33">
        <f>(INDEX('101 Catalytic Hydropyrolysis 2'!$D$4:$H$63,MATCH(SUP_Biofuels!W341,'101 Catalytic Hydropyrolysis 2'!$B$4:$B$61,0),MATCH(SUP_Biofuels!$I341,'101 Catalytic Hydropyrolysis 2'!$D$3:$H$3,0)))/INDEX('101 Catalytic Hydropyrolysis 2'!$D$4:$H$63,MATCH(SUP_Biofuels!X341,'101 Catalytic Hydropyrolysis 2'!$B$4:$B$61,0),MATCH(SUP_Biofuels!$I341,'101 Catalytic Hydropyrolysis 2'!$D$3:$H$3,0))</f>
        <v>2.4749999999999996</v>
      </c>
      <c r="L341" s="33"/>
      <c r="M341" s="34">
        <v>20</v>
      </c>
      <c r="N341" s="35">
        <f>INDEX('101 Catalytic Hydropyrolysis 2'!$D$4:$H$63,MATCH(SUP_Biofuels!N$8,'101 Catalytic Hydropyrolysis 2'!$B$4:$B$61,0),MATCH(SUP_Biofuels!$I341,'101 Catalytic Hydropyrolysis 2'!$D$3:$H$3,0))*7.45/L343</f>
        <v>31.241409540697692</v>
      </c>
      <c r="O341" s="35">
        <f>INDEX('101 Catalytic Hydropyrolysis 2'!$D$4:$H$63,MATCH(SUP_Biofuels!O$8,'101 Catalytic Hydropyrolysis 2'!$B$4:$B$61,0),MATCH(SUP_Biofuels!$I341,'101 Catalytic Hydropyrolysis 2'!$D$3:$H$3,0))*7.45/L343</f>
        <v>1.9129246090028642</v>
      </c>
      <c r="P341" s="35">
        <f>INDEX('101 Catalytic Hydropyrolysis 2'!$D$4:$H$63,MATCH(SUP_Biofuels!P$8,'101 Catalytic Hydropyrolysis 2'!$B$4:$B$61,0),MATCH(SUP_Biofuels!$I341,'101 Catalytic Hydropyrolysis 2'!$D$3:$H$3,0))*7.45/3.6/L343</f>
        <v>27.675413903397914</v>
      </c>
      <c r="Q341" s="33">
        <f>1-INDEX('101 Catalytic Hydropyrolysis 2'!$D$4:$H$63,MATCH(SUP_Biofuels!Q$7,'101 Catalytic Hydropyrolysis 2'!$B$4:$B$61,0),MATCH(SUP_Biofuels!$I341,'101 Catalytic Hydropyrolysis 2'!$D$3:$H$3,0))/52-INDEX('101 Catalytic Hydropyrolysis 2'!$D$4:$H$63,MATCH(SUP_Biofuels!Q$8,'101 Catalytic Hydropyrolysis 2'!$B$4:$B$61,0),MATCH(SUP_Biofuels!$I341,'101 Catalytic Hydropyrolysis 2'!$D$3:$H$3,0))/100</f>
        <v>0.92307692307692313</v>
      </c>
      <c r="R341" s="36">
        <f>$R$39</f>
        <v>3.1536000000000002E-2</v>
      </c>
      <c r="S341" s="34">
        <f>INDEX('101 Catalytic Hydropyrolysis 2'!$D$4:$H$63,MATCH(SUP_Biofuels!S$8,'101 Catalytic Hydropyrolysis 2'!$B$4:$B$61,0),MATCH(SUP_Biofuels!$I341,'101 Catalytic Hydropyrolysis 2'!$D$3:$H$3,0))</f>
        <v>2</v>
      </c>
      <c r="T341" s="34"/>
      <c r="U341" s="44"/>
      <c r="V341" s="45"/>
      <c r="W341" s="17" t="str">
        <f>W338</f>
        <v>Feedstock Consumption, MWh/MWh Total Input</v>
      </c>
      <c r="X341" s="17" t="str">
        <f>X338</f>
        <v>Gasoline fraction, MWh/MWh Total Input</v>
      </c>
      <c r="Y341" s="17"/>
    </row>
    <row r="342" spans="3:26" s="43" customFormat="1">
      <c r="C342" s="17"/>
      <c r="D342" s="17"/>
      <c r="E342" s="17" t="s">
        <v>71</v>
      </c>
      <c r="F342" s="17"/>
      <c r="G342" s="17"/>
      <c r="H342" s="17"/>
      <c r="I342" s="17"/>
      <c r="J342" s="17"/>
      <c r="K342" s="33">
        <f>(INDEX('101 Catalytic Hydropyrolysis 2'!$D$4:$H$63,MATCH(SUP_Biofuels!W342,'101 Catalytic Hydropyrolysis 2'!$B$4:$B$61,0),MATCH(SUP_Biofuels!$I341,'101 Catalytic Hydropyrolysis 2'!$D$3:$H$3,0)))/INDEX('101 Catalytic Hydropyrolysis 2'!$D$4:$H$63,MATCH(SUP_Biofuels!X341,'101 Catalytic Hydropyrolysis 2'!$B$4:$B$61,0),MATCH(SUP_Biofuels!$I341,'101 Catalytic Hydropyrolysis 2'!$D$3:$H$3,0))</f>
        <v>2.4999999999999998E-2</v>
      </c>
      <c r="L342" s="33"/>
      <c r="M342" s="34"/>
      <c r="N342" s="35"/>
      <c r="O342" s="35"/>
      <c r="P342" s="35"/>
      <c r="Q342" s="33"/>
      <c r="R342" s="36"/>
      <c r="S342" s="34"/>
      <c r="T342" s="34"/>
      <c r="U342" s="44"/>
      <c r="V342" s="45"/>
      <c r="W342" s="17" t="str">
        <f>W339</f>
        <v>Electricity Consumption, MWh/MWh Total Input</v>
      </c>
      <c r="Y342" s="17"/>
    </row>
    <row r="343" spans="3:26" s="43" customFormat="1" ht="15.6">
      <c r="C343" s="17"/>
      <c r="D343" s="32"/>
      <c r="G343" s="43" t="s">
        <v>86</v>
      </c>
      <c r="H343" s="17"/>
      <c r="I343" s="17"/>
      <c r="J343" s="17"/>
      <c r="K343" s="41"/>
      <c r="L343" s="33">
        <f>INDEX('101 Catalytic Hydropyrolysis 2'!$D$4:$H$63,MATCH(SUP_Biofuels!Y343,'101 Catalytic Hydropyrolysis 2'!$B$4:$B$61,0),MATCH(SUP_Biofuels!$I341,'101 Catalytic Hydropyrolysis 2'!$D$3:$H$3,0))*(SUM(K341:K342))</f>
        <v>0.4499999999999999</v>
      </c>
      <c r="M343" s="39"/>
      <c r="N343" s="40"/>
      <c r="O343" s="40"/>
      <c r="P343" s="40"/>
      <c r="Q343" s="41"/>
      <c r="R343" s="42"/>
      <c r="S343" s="39"/>
      <c r="T343" s="39"/>
      <c r="U343" s="17"/>
      <c r="Y343" s="17" t="str">
        <f>Y340</f>
        <v>Diesel fraction, MWh/MWh Total Input</v>
      </c>
    </row>
    <row r="344" spans="3:26" s="43" customFormat="1" ht="15.6">
      <c r="C344" s="17"/>
      <c r="D344" s="32"/>
      <c r="E344" s="17" t="s">
        <v>68</v>
      </c>
      <c r="F344" s="17" t="str">
        <f>F341</f>
        <v>GSB2</v>
      </c>
      <c r="G344" s="17"/>
      <c r="H344" s="17" t="s">
        <v>70</v>
      </c>
      <c r="I344" s="17">
        <v>2050</v>
      </c>
      <c r="J344" s="17"/>
      <c r="K344" s="33">
        <f>(INDEX('101 Catalytic Hydropyrolysis 2'!$D$4:$H$63,MATCH(SUP_Biofuels!W344,'101 Catalytic Hydropyrolysis 2'!$B$4:$B$61,0),MATCH(SUP_Biofuels!$I344,'101 Catalytic Hydropyrolysis 2'!$D$3:$H$3,0)))/INDEX('101 Catalytic Hydropyrolysis 2'!$D$4:$H$63,MATCH(SUP_Biofuels!X344,'101 Catalytic Hydropyrolysis 2'!$B$4:$B$61,0),MATCH(SUP_Biofuels!$I344,'101 Catalytic Hydropyrolysis 2'!$D$3:$H$3,0))</f>
        <v>2.4146341463414633</v>
      </c>
      <c r="L344" s="33"/>
      <c r="M344" s="34">
        <v>20</v>
      </c>
      <c r="N344" s="35">
        <f>INDEX('101 Catalytic Hydropyrolysis 2'!$D$4:$H$63,MATCH(SUP_Biofuels!N$8,'101 Catalytic Hydropyrolysis 2'!$B$4:$B$61,0),MATCH(SUP_Biofuels!$I344,'101 Catalytic Hydropyrolysis 2'!$D$3:$H$3,0))*7.45/L346</f>
        <v>28.328001279069777</v>
      </c>
      <c r="O344" s="35">
        <f>INDEX('101 Catalytic Hydropyrolysis 2'!$D$4:$H$63,MATCH(SUP_Biofuels!O$8,'101 Catalytic Hydropyrolysis 2'!$B$4:$B$61,0),MATCH(SUP_Biofuels!$I344,'101 Catalytic Hydropyrolysis 2'!$D$3:$H$3,0))*7.45/L346</f>
        <v>1.8575504755843599</v>
      </c>
      <c r="P344" s="35">
        <f>INDEX('101 Catalytic Hydropyrolysis 2'!$D$4:$H$63,MATCH(SUP_Biofuels!P$8,'101 Catalytic Hydropyrolysis 2'!$B$4:$B$61,0),MATCH(SUP_Biofuels!$I344,'101 Catalytic Hydropyrolysis 2'!$D$3:$H$3,0))*7.45/3.6/L346</f>
        <v>26.874283500931128</v>
      </c>
      <c r="Q344" s="33">
        <f>1-INDEX('101 Catalytic Hydropyrolysis 2'!$D$4:$H$63,MATCH(SUP_Biofuels!Q$7,'101 Catalytic Hydropyrolysis 2'!$B$4:$B$61,0),MATCH(SUP_Biofuels!$I344,'101 Catalytic Hydropyrolysis 2'!$D$3:$H$3,0))/52-INDEX('101 Catalytic Hydropyrolysis 2'!$D$4:$H$63,MATCH(SUP_Biofuels!Q$8,'101 Catalytic Hydropyrolysis 2'!$B$4:$B$61,0),MATCH(SUP_Biofuels!$I344,'101 Catalytic Hydropyrolysis 2'!$D$3:$H$3,0))/100</f>
        <v>0.90384615384615385</v>
      </c>
      <c r="R344" s="36">
        <f>$R$39</f>
        <v>3.1536000000000002E-2</v>
      </c>
      <c r="S344" s="34">
        <f>INDEX('101 Catalytic Hydropyrolysis 2'!$D$4:$H$63,MATCH(SUP_Biofuels!S$8,'101 Catalytic Hydropyrolysis 2'!$B$4:$B$61,0),MATCH(SUP_Biofuels!$I344,'101 Catalytic Hydropyrolysis 2'!$D$3:$H$3,0))</f>
        <v>2</v>
      </c>
      <c r="T344" s="34"/>
      <c r="U344" s="44"/>
      <c r="V344" s="45"/>
      <c r="W344" s="17" t="str">
        <f>W341</f>
        <v>Feedstock Consumption, MWh/MWh Total Input</v>
      </c>
      <c r="X344" s="17" t="str">
        <f>X341</f>
        <v>Gasoline fraction, MWh/MWh Total Input</v>
      </c>
      <c r="Y344" s="17"/>
    </row>
    <row r="345" spans="3:26" s="43" customFormat="1">
      <c r="C345" s="17"/>
      <c r="D345" s="17"/>
      <c r="E345" s="17" t="s">
        <v>71</v>
      </c>
      <c r="F345" s="17"/>
      <c r="G345" s="17"/>
      <c r="H345" s="17"/>
      <c r="I345" s="17"/>
      <c r="J345" s="17"/>
      <c r="K345" s="33">
        <f>(INDEX('101 Catalytic Hydropyrolysis 2'!$D$4:$H$63,MATCH(SUP_Biofuels!W345,'101 Catalytic Hydropyrolysis 2'!$B$4:$B$61,0),MATCH(SUP_Biofuels!$I344,'101 Catalytic Hydropyrolysis 2'!$D$3:$H$3,0)))/INDEX('101 Catalytic Hydropyrolysis 2'!$D$4:$H$63,MATCH(SUP_Biofuels!X344,'101 Catalytic Hydropyrolysis 2'!$B$4:$B$61,0),MATCH(SUP_Biofuels!$I344,'101 Catalytic Hydropyrolysis 2'!$D$3:$H$3,0))</f>
        <v>2.4390243902439025E-2</v>
      </c>
      <c r="L345" s="33"/>
      <c r="M345" s="34"/>
      <c r="N345" s="35"/>
      <c r="O345" s="35"/>
      <c r="P345" s="35"/>
      <c r="Q345" s="33"/>
      <c r="R345" s="36"/>
      <c r="S345" s="34"/>
      <c r="T345" s="34"/>
      <c r="U345" s="44"/>
      <c r="V345" s="45"/>
      <c r="W345" s="17" t="str">
        <f>W342</f>
        <v>Electricity Consumption, MWh/MWh Total Input</v>
      </c>
      <c r="Y345" s="17"/>
    </row>
    <row r="346" spans="3:26" s="43" customFormat="1" ht="16.2" thickBot="1">
      <c r="C346" s="47"/>
      <c r="D346" s="66"/>
      <c r="E346" s="46"/>
      <c r="F346" s="46"/>
      <c r="G346" s="46" t="s">
        <v>86</v>
      </c>
      <c r="H346" s="47"/>
      <c r="I346" s="47"/>
      <c r="J346" s="47"/>
      <c r="K346" s="59"/>
      <c r="L346" s="48">
        <f>INDEX('101 Catalytic Hydropyrolysis 2'!$D$4:$H$63,MATCH(SUP_Biofuels!Y346,'101 Catalytic Hydropyrolysis 2'!$B$4:$B$61,0),MATCH(SUP_Biofuels!$I344,'101 Catalytic Hydropyrolysis 2'!$D$3:$H$3,0))*(SUM(K344:K345))</f>
        <v>0.46341463414634143</v>
      </c>
      <c r="M346" s="67"/>
      <c r="N346" s="49"/>
      <c r="O346" s="49"/>
      <c r="P346" s="49"/>
      <c r="Q346" s="59"/>
      <c r="R346" s="68"/>
      <c r="S346" s="67"/>
      <c r="T346" s="67"/>
      <c r="U346" s="47"/>
      <c r="V346" s="46"/>
      <c r="W346" s="46"/>
      <c r="X346" s="46"/>
      <c r="Y346" s="47" t="str">
        <f>Y343</f>
        <v>Diesel fraction, MWh/MWh Total Input</v>
      </c>
    </row>
    <row r="347" spans="3:26" s="43" customFormat="1" ht="15.6">
      <c r="C347" s="17" t="str">
        <f>"SUP"&amp;LEFT(F347,3)&amp;RIGHT(E347,3)&amp;IF(RIGHT(D347,7)="Central","C1","D1")</f>
        <v>SUPCRBWCHC1</v>
      </c>
      <c r="D347" s="32" t="str">
        <f>'101 Catalytic Hydropyrolysis 1'!E2&amp;" with biochar production "&amp;" Central"</f>
        <v>Catalytic Hydroprocessing conf. 1 with biochar production  Central</v>
      </c>
      <c r="E347" s="17" t="s">
        <v>68</v>
      </c>
      <c r="F347" s="17" t="s">
        <v>1762</v>
      </c>
      <c r="G347" s="17"/>
      <c r="H347" s="17" t="s">
        <v>70</v>
      </c>
      <c r="I347" s="17">
        <f>'93 1st generation ethanol'!$E$3</f>
        <v>2020</v>
      </c>
      <c r="J347" s="19">
        <v>2030</v>
      </c>
      <c r="K347" s="33">
        <f>(INDEX('101 Catalytic Hydropyrolysis 1'!$D$4:$H$57,MATCH(SUP_Biofuels!W347,'101 Catalytic Hydropyrolysis 1'!$B$4:$B$57,0),MATCH(SUP_Biofuels!$I347,'101 Catalytic Hydropyrolysis 1'!$D$3:$H$3,0)))/INDEX('101 Catalytic Hydropyrolysis 1'!$D$4:$H$57,MATCH(SUP_Biofuels!X347,'101 Catalytic Hydropyrolysis 1'!$B$4:$B$57,0),MATCH(SUP_Biofuels!$I347,'101 Catalytic Hydropyrolysis 1'!$D$3:$H$3,0))/0.77</f>
        <v>2.6315789473684208</v>
      </c>
      <c r="L347" s="33"/>
      <c r="M347" s="34">
        <v>20</v>
      </c>
      <c r="N347" s="35">
        <f>INDEX('101 Catalytic Hydropyrolysis 1'!$D$4:$H$57,MATCH(SUP_Biofuels!N$8,'101 Catalytic Hydropyrolysis 1'!$B$4:$B$57,0),MATCH(SUP_Biofuels!$I347,'101 Catalytic Hydropyrolysis 1'!$D$3:$H$3,0))*7.45</f>
        <v>11.397192982456142</v>
      </c>
      <c r="O347" s="35">
        <f>INDEX('101 Catalytic Hydropyrolysis 1'!$D$4:$H$57,MATCH(SUP_Biofuels!O$8,'101 Catalytic Hydropyrolysis 1'!$B$4:$B$57,0),MATCH(SUP_Biofuels!$I347,'101 Catalytic Hydropyrolysis 1'!$D$3:$H$3,0))*7.45</f>
        <v>1.2459180019163392</v>
      </c>
      <c r="P347" s="33">
        <f>INDEX('101 Catalytic Hydropyrolysis 1'!$D$4:$H$57,MATCH(SUP_Biofuels!P$8,'101 Catalytic Hydropyrolysis 1'!$B$4:$B$57,0),MATCH(SUP_Biofuels!$I347,'101 Catalytic Hydropyrolysis 1'!$D$3:$H$3,0))*7.45/3.6*SUM(K347:K348)</f>
        <v>61.604354256673233</v>
      </c>
      <c r="Q347" s="33">
        <f>Q335</f>
        <v>0.92153846153846153</v>
      </c>
      <c r="R347" s="36">
        <f>$R$39</f>
        <v>3.1536000000000002E-2</v>
      </c>
      <c r="S347" s="34">
        <f>S335</f>
        <v>2</v>
      </c>
      <c r="T347" s="34">
        <f>-L349</f>
        <v>-32.84210526315789</v>
      </c>
      <c r="U347" s="44"/>
      <c r="V347" s="45" t="s">
        <v>74</v>
      </c>
      <c r="W347" s="17" t="str">
        <f>'101 Catalytic Hydropyrolysis 1'!B9</f>
        <v>Feedstock Consumption, MWh/MWh Total Input</v>
      </c>
      <c r="X347" s="43" t="str">
        <f>'101 Catalytic Hydropyrolysis 1'!B12</f>
        <v>Liquid Fuel Output, MWh/MWh Total Input</v>
      </c>
      <c r="Y347" s="17"/>
    </row>
    <row r="348" spans="3:26" s="43" customFormat="1">
      <c r="E348" s="17" t="s">
        <v>1386</v>
      </c>
      <c r="F348" s="17"/>
      <c r="G348" s="17"/>
      <c r="H348" s="17"/>
      <c r="I348" s="17"/>
      <c r="J348" s="17"/>
      <c r="K348" s="33">
        <f>(INDEX('101 Catalytic Hydropyrolysis 1'!$D$4:$H$57,MATCH(SUP_Biofuels!W348,'101 Catalytic Hydropyrolysis 1'!$B$4:$B$57,0),MATCH(SUP_Biofuels!$I347,'101 Catalytic Hydropyrolysis 1'!$D$3:$H$3,0)))/INDEX('101 Catalytic Hydropyrolysis 1'!$D$4:$H$57,MATCH(SUP_Biofuels!X347,'101 Catalytic Hydropyrolysis 1'!$B$4:$B$57,0),MATCH(SUP_Biofuels!$I347,'101 Catalytic Hydropyrolysis 1'!$D$3:$H$3,0))/0.77</f>
        <v>0.7860560492139439</v>
      </c>
      <c r="L348" s="33"/>
      <c r="M348" s="34"/>
      <c r="N348" s="35"/>
      <c r="O348" s="35"/>
      <c r="P348" s="33"/>
      <c r="Q348" s="33"/>
      <c r="R348" s="36"/>
      <c r="S348" s="34"/>
      <c r="T348" s="34"/>
      <c r="U348" s="44"/>
      <c r="V348" s="45"/>
      <c r="W348" s="17" t="str">
        <f>'101 Catalytic Hydropyrolysis 1'!B10</f>
        <v>Hydrogen Consumption, MWh/MWh Total Input</v>
      </c>
      <c r="Y348" s="17"/>
    </row>
    <row r="349" spans="3:26" s="43" customFormat="1" ht="15.6">
      <c r="C349" s="17"/>
      <c r="D349" s="32"/>
      <c r="G349" s="43" t="s">
        <v>1420</v>
      </c>
      <c r="H349" s="17"/>
      <c r="I349" s="17"/>
      <c r="J349" s="17"/>
      <c r="K349" s="41"/>
      <c r="L349" s="33">
        <f>'101 Catalytic Hydropyrolysis 1'!$E$13*96*(K347)</f>
        <v>32.84210526315789</v>
      </c>
      <c r="M349" s="65"/>
      <c r="N349" s="40"/>
      <c r="O349" s="40"/>
      <c r="P349" s="41"/>
      <c r="Q349" s="41"/>
      <c r="R349" s="42"/>
      <c r="S349" s="39"/>
      <c r="T349" s="39"/>
      <c r="U349" s="17"/>
      <c r="Y349" s="17" t="str">
        <f>'101 Catalytic Hydropyrolysis 1'!B13</f>
        <v>Biochar, Output, MWh/MWh Total Input</v>
      </c>
      <c r="Z349" s="43" t="s">
        <v>87</v>
      </c>
    </row>
    <row r="350" spans="3:26" s="43" customFormat="1" ht="15.6">
      <c r="C350" s="17"/>
      <c r="D350" s="32"/>
      <c r="G350" s="43" t="s">
        <v>1764</v>
      </c>
      <c r="H350" s="17"/>
      <c r="I350" s="17"/>
      <c r="J350" s="17"/>
      <c r="K350" s="41"/>
      <c r="L350" s="33">
        <f>'101 Catalytic Hydropyrolysis 1'!$E$14/'101 Catalytic Hydropyrolysis 1'!$E$12</f>
        <v>0.81578947368421051</v>
      </c>
      <c r="M350" s="39"/>
      <c r="N350" s="40"/>
      <c r="O350" s="40"/>
      <c r="P350" s="41"/>
      <c r="Q350" s="41"/>
      <c r="R350" s="42"/>
      <c r="S350" s="39"/>
      <c r="T350" s="39"/>
      <c r="U350" s="17"/>
      <c r="Y350" s="17" t="str">
        <f>'101 Catalytic Hydropyrolysis 1'!B14</f>
        <v>Gas Output, MWh/MWh Total Input</v>
      </c>
      <c r="Z350" s="43" t="s">
        <v>89</v>
      </c>
    </row>
    <row r="351" spans="3:26" s="43" customFormat="1" ht="15.6">
      <c r="C351" s="17"/>
      <c r="D351" s="32"/>
      <c r="G351" s="7" t="s">
        <v>216</v>
      </c>
      <c r="H351" s="17"/>
      <c r="I351" s="17"/>
      <c r="J351" s="17"/>
      <c r="K351" s="41"/>
      <c r="L351" s="33">
        <f>'101 Catalytic Hydropyrolysis 1'!$E$15/'101 Catalytic Hydropyrolysis 1'!$E$12</f>
        <v>0.47368421052631576</v>
      </c>
      <c r="M351" s="39"/>
      <c r="N351" s="40"/>
      <c r="O351" s="40"/>
      <c r="P351" s="41"/>
      <c r="Q351" s="41"/>
      <c r="R351" s="42"/>
      <c r="S351" s="39"/>
      <c r="T351" s="39"/>
      <c r="U351" s="17"/>
      <c r="Y351" s="17" t="str">
        <f>'101 Catalytic Hydropyrolysis 1'!B15</f>
        <v>District Heat MWh/MWh Total Input</v>
      </c>
      <c r="Z351" s="43" t="s">
        <v>90</v>
      </c>
    </row>
    <row r="352" spans="3:26" s="43" customFormat="1" ht="15.6">
      <c r="C352" s="17"/>
      <c r="D352" s="32"/>
      <c r="E352" s="43" t="str">
        <f>E347</f>
        <v>SUPWCH</v>
      </c>
      <c r="F352" s="17" t="str">
        <f>F347</f>
        <v>CRB</v>
      </c>
      <c r="G352" s="17"/>
      <c r="H352" s="17" t="s">
        <v>70</v>
      </c>
      <c r="I352" s="17">
        <v>2030</v>
      </c>
      <c r="J352" s="17"/>
      <c r="K352" s="33">
        <f>(INDEX('101 Catalytic Hydropyrolysis 1'!$D$4:$H$57,MATCH(SUP_Biofuels!W352,'101 Catalytic Hydropyrolysis 1'!$B$4:$B$57,0),MATCH(SUP_Biofuels!$I352,'101 Catalytic Hydropyrolysis 1'!$D$3:$H$3,0)))/INDEX('101 Catalytic Hydropyrolysis 1'!$D$4:$H$57,MATCH(SUP_Biofuels!X352,'101 Catalytic Hydropyrolysis 1'!$B$4:$B$57,0),MATCH(SUP_Biofuels!$I352,'101 Catalytic Hydropyrolysis 1'!$D$3:$H$3,0))/0.77</f>
        <v>2.6315789473684208</v>
      </c>
      <c r="L352" s="33"/>
      <c r="M352" s="34">
        <v>20</v>
      </c>
      <c r="N352" s="35">
        <f>INDEX('101 Catalytic Hydropyrolysis 1'!$D$4:$H$57,MATCH(SUP_Biofuels!N$8,'101 Catalytic Hydropyrolysis 1'!$B$4:$B$57,0),MATCH(SUP_Biofuels!$I352,'101 Catalytic Hydropyrolysis 1'!$D$3:$H$3,0))*7.45</f>
        <v>6.4305263157894732</v>
      </c>
      <c r="O352" s="35">
        <f>INDEX('101 Catalytic Hydropyrolysis 1'!$D$4:$H$57,MATCH(SUP_Biofuels!O$8,'101 Catalytic Hydropyrolysis 1'!$B$4:$B$57,0),MATCH(SUP_Biofuels!$I352,'101 Catalytic Hydropyrolysis 1'!$D$3:$H$3,0))*7.45</f>
        <v>1.2459180019163392</v>
      </c>
      <c r="P352" s="33">
        <f>INDEX('101 Catalytic Hydropyrolysis 1'!$D$4:$H$57,MATCH(SUP_Biofuels!P$8,'101 Catalytic Hydropyrolysis 1'!$B$4:$B$57,0),MATCH(SUP_Biofuels!$I352,'101 Catalytic Hydropyrolysis 1'!$D$3:$H$3,0))*7.45/3.6*SUM(K352:K353)</f>
        <v>61.604354256673233</v>
      </c>
      <c r="Q352" s="33">
        <f>Q338</f>
        <v>0.90230769230769226</v>
      </c>
      <c r="R352" s="36">
        <f>$R$39</f>
        <v>3.1536000000000002E-2</v>
      </c>
      <c r="S352" s="33">
        <f>S338</f>
        <v>2</v>
      </c>
      <c r="T352" s="34">
        <f>-L354</f>
        <v>-32.84210526315789</v>
      </c>
      <c r="U352" s="44"/>
      <c r="V352" s="45"/>
      <c r="W352" s="17" t="str">
        <f>W347</f>
        <v>Feedstock Consumption, MWh/MWh Total Input</v>
      </c>
      <c r="X352" s="43" t="str">
        <f>X347</f>
        <v>Liquid Fuel Output, MWh/MWh Total Input</v>
      </c>
      <c r="Y352" s="17"/>
      <c r="Z352" s="43" t="s">
        <v>91</v>
      </c>
    </row>
    <row r="353" spans="3:25" s="43" customFormat="1">
      <c r="C353" s="17"/>
      <c r="D353" s="17"/>
      <c r="E353" s="43" t="str">
        <f>E348</f>
        <v>SUPH2</v>
      </c>
      <c r="F353" s="17"/>
      <c r="G353" s="17"/>
      <c r="H353" s="17"/>
      <c r="I353" s="17"/>
      <c r="J353" s="17"/>
      <c r="K353" s="33">
        <f>(INDEX('101 Catalytic Hydropyrolysis 1'!$D$4:$H$57,MATCH(SUP_Biofuels!W353,'101 Catalytic Hydropyrolysis 1'!$B$4:$B$57,0),MATCH(SUP_Biofuels!$I352,'101 Catalytic Hydropyrolysis 1'!$D$3:$H$3,0)))/INDEX('101 Catalytic Hydropyrolysis 1'!$D$4:$H$57,MATCH(SUP_Biofuels!X352,'101 Catalytic Hydropyrolysis 1'!$B$4:$B$57,0),MATCH(SUP_Biofuels!$I352,'101 Catalytic Hydropyrolysis 1'!$D$3:$H$3,0))/0.77</f>
        <v>0.7860560492139439</v>
      </c>
      <c r="L353" s="33"/>
      <c r="M353" s="34"/>
      <c r="N353" s="35"/>
      <c r="O353" s="35"/>
      <c r="P353" s="33"/>
      <c r="Q353" s="33"/>
      <c r="R353" s="36"/>
      <c r="S353" s="33"/>
      <c r="T353" s="33"/>
      <c r="U353" s="44"/>
      <c r="V353" s="45"/>
      <c r="W353" s="17" t="str">
        <f>W348</f>
        <v>Hydrogen Consumption, MWh/MWh Total Input</v>
      </c>
      <c r="Y353" s="17"/>
    </row>
    <row r="354" spans="3:25" s="43" customFormat="1" ht="15.6">
      <c r="C354" s="17"/>
      <c r="D354" s="32"/>
      <c r="G354" s="43" t="str">
        <f>G349</f>
        <v>CO2SINK</v>
      </c>
      <c r="H354" s="17"/>
      <c r="I354" s="17"/>
      <c r="J354" s="17"/>
      <c r="K354" s="41"/>
      <c r="L354" s="33">
        <f>'101 Catalytic Hydropyrolysis 1'!$E$13*96*(K352)</f>
        <v>32.84210526315789</v>
      </c>
      <c r="M354" s="65"/>
      <c r="N354" s="40"/>
      <c r="O354" s="40"/>
      <c r="P354" s="41"/>
      <c r="Q354" s="41"/>
      <c r="R354" s="42"/>
      <c r="S354" s="41"/>
      <c r="T354" s="41"/>
      <c r="U354" s="17"/>
      <c r="Y354" s="17" t="str">
        <f>Y349</f>
        <v>Biochar, Output, MWh/MWh Total Input</v>
      </c>
    </row>
    <row r="355" spans="3:25" s="43" customFormat="1" ht="15.6">
      <c r="C355" s="17"/>
      <c r="D355" s="32"/>
      <c r="G355" s="43" t="str">
        <f>G350</f>
        <v>SYN</v>
      </c>
      <c r="H355" s="17"/>
      <c r="I355" s="17"/>
      <c r="J355" s="17"/>
      <c r="K355" s="41"/>
      <c r="L355" s="33">
        <f>L350</f>
        <v>0.81578947368421051</v>
      </c>
      <c r="M355" s="39"/>
      <c r="N355" s="40"/>
      <c r="O355" s="40"/>
      <c r="P355" s="41"/>
      <c r="Q355" s="41"/>
      <c r="R355" s="42"/>
      <c r="S355" s="41"/>
      <c r="T355" s="41"/>
      <c r="U355" s="17"/>
      <c r="Y355" s="17" t="str">
        <f>Y350</f>
        <v>Gas Output, MWh/MWh Total Input</v>
      </c>
    </row>
    <row r="356" spans="3:25" s="43" customFormat="1" ht="15.6">
      <c r="C356" s="17"/>
      <c r="D356" s="32"/>
      <c r="G356" s="43" t="str">
        <f>G351</f>
        <v>HETC</v>
      </c>
      <c r="H356" s="17"/>
      <c r="I356" s="17"/>
      <c r="J356" s="17"/>
      <c r="K356" s="41"/>
      <c r="L356" s="33">
        <f>L351</f>
        <v>0.47368421052631576</v>
      </c>
      <c r="M356" s="39"/>
      <c r="N356" s="40"/>
      <c r="O356" s="40"/>
      <c r="P356" s="41"/>
      <c r="Q356" s="41"/>
      <c r="R356" s="42"/>
      <c r="S356" s="41"/>
      <c r="T356" s="41"/>
      <c r="U356" s="17"/>
      <c r="V356" s="45"/>
      <c r="Y356" s="17" t="str">
        <f>Y351</f>
        <v>District Heat MWh/MWh Total Input</v>
      </c>
    </row>
    <row r="357" spans="3:25" s="43" customFormat="1">
      <c r="C357" s="17"/>
      <c r="D357" s="17"/>
      <c r="E357" s="43" t="str">
        <f>E352</f>
        <v>SUPWCH</v>
      </c>
      <c r="F357" s="17" t="str">
        <f>F352</f>
        <v>CRB</v>
      </c>
      <c r="G357" s="17"/>
      <c r="H357" s="17" t="s">
        <v>70</v>
      </c>
      <c r="I357" s="17">
        <v>2040</v>
      </c>
      <c r="J357" s="17"/>
      <c r="K357" s="33">
        <f>(INDEX('101 Catalytic Hydropyrolysis 1'!$D$4:$H$57,MATCH(SUP_Biofuels!W357,'101 Catalytic Hydropyrolysis 1'!$B$4:$B$57,0),MATCH(SUP_Biofuels!$I357,'101 Catalytic Hydropyrolysis 1'!$D$3:$H$3,0)))/INDEX('101 Catalytic Hydropyrolysis 1'!$D$4:$H$57,MATCH(SUP_Biofuels!X357,'101 Catalytic Hydropyrolysis 1'!$B$4:$B$57,0),MATCH(SUP_Biofuels!$I357,'101 Catalytic Hydropyrolysis 1'!$D$3:$H$3,0))/0.77</f>
        <v>2.6315789473684208</v>
      </c>
      <c r="L357" s="33"/>
      <c r="M357" s="34">
        <v>20</v>
      </c>
      <c r="N357" s="35">
        <f>INDEX('101 Catalytic Hydropyrolysis 1'!$D$4:$H$57,MATCH(SUP_Biofuels!N$8,'101 Catalytic Hydropyrolysis 1'!$B$4:$B$57,0),MATCH(SUP_Biofuels!$I357,'101 Catalytic Hydropyrolysis 1'!$D$3:$H$3,0))*7.45</f>
        <v>4.7052631578947368</v>
      </c>
      <c r="O357" s="35">
        <f>INDEX('101 Catalytic Hydropyrolysis 1'!$D$4:$H$57,MATCH(SUP_Biofuels!O$8,'101 Catalytic Hydropyrolysis 1'!$B$4:$B$57,0),MATCH(SUP_Biofuels!$I357,'101 Catalytic Hydropyrolysis 1'!$D$3:$H$3,0))*7.45</f>
        <v>1.2459180019163392</v>
      </c>
      <c r="P357" s="33">
        <f>INDEX('101 Catalytic Hydropyrolysis 1'!$D$4:$H$57,MATCH(SUP_Biofuels!P$8,'101 Catalytic Hydropyrolysis 1'!$B$4:$B$57,0),MATCH(SUP_Biofuels!$I357,'101 Catalytic Hydropyrolysis 1'!$D$3:$H$3,0))*7.45/3.6*SUM(K357:K358)</f>
        <v>61.604354256673233</v>
      </c>
      <c r="Q357" s="33">
        <f>Q341</f>
        <v>0.92307692307692313</v>
      </c>
      <c r="R357" s="36">
        <f>$R$39</f>
        <v>3.1536000000000002E-2</v>
      </c>
      <c r="S357" s="33">
        <f>S341</f>
        <v>2</v>
      </c>
      <c r="T357" s="34">
        <f>-L359</f>
        <v>-32.84210526315789</v>
      </c>
      <c r="U357" s="44"/>
      <c r="V357" s="45"/>
      <c r="W357" s="17" t="str">
        <f>W352</f>
        <v>Feedstock Consumption, MWh/MWh Total Input</v>
      </c>
      <c r="X357" s="43" t="str">
        <f>X352</f>
        <v>Liquid Fuel Output, MWh/MWh Total Input</v>
      </c>
      <c r="Y357" s="17"/>
    </row>
    <row r="358" spans="3:25" s="43" customFormat="1" ht="15.6">
      <c r="C358" s="17"/>
      <c r="D358" s="32"/>
      <c r="E358" s="43" t="str">
        <f>E353</f>
        <v>SUPH2</v>
      </c>
      <c r="F358" s="17"/>
      <c r="G358" s="17"/>
      <c r="H358" s="17"/>
      <c r="I358" s="17"/>
      <c r="J358" s="17"/>
      <c r="K358" s="33">
        <f>(INDEX('101 Catalytic Hydropyrolysis 1'!$D$4:$H$57,MATCH(SUP_Biofuels!W358,'101 Catalytic Hydropyrolysis 1'!$B$4:$B$57,0),MATCH(SUP_Biofuels!$I357,'101 Catalytic Hydropyrolysis 1'!$D$3:$H$3,0)))/INDEX('101 Catalytic Hydropyrolysis 1'!$D$4:$H$57,MATCH(SUP_Biofuels!X357,'101 Catalytic Hydropyrolysis 1'!$B$4:$B$57,0),MATCH(SUP_Biofuels!$I357,'101 Catalytic Hydropyrolysis 1'!$D$3:$H$3,0))/0.77</f>
        <v>0.7860560492139439</v>
      </c>
      <c r="L358" s="33"/>
      <c r="M358" s="34"/>
      <c r="N358" s="35"/>
      <c r="O358" s="35"/>
      <c r="P358" s="33"/>
      <c r="Q358" s="33"/>
      <c r="R358" s="36"/>
      <c r="S358" s="33"/>
      <c r="T358" s="33"/>
      <c r="U358" s="44"/>
      <c r="W358" s="17" t="str">
        <f>W353</f>
        <v>Hydrogen Consumption, MWh/MWh Total Input</v>
      </c>
      <c r="Y358" s="17"/>
    </row>
    <row r="359" spans="3:25" s="43" customFormat="1" ht="15.6">
      <c r="C359" s="17"/>
      <c r="D359" s="32"/>
      <c r="G359" s="43" t="str">
        <f>G354</f>
        <v>CO2SINK</v>
      </c>
      <c r="H359" s="17"/>
      <c r="I359" s="17"/>
      <c r="J359" s="17"/>
      <c r="K359" s="41"/>
      <c r="L359" s="33">
        <f>'101 Catalytic Hydropyrolysis 1'!$E$13*96*(K357)</f>
        <v>32.84210526315789</v>
      </c>
      <c r="M359" s="65"/>
      <c r="N359" s="40"/>
      <c r="O359" s="40"/>
      <c r="P359" s="41"/>
      <c r="Q359" s="41"/>
      <c r="R359" s="42"/>
      <c r="S359" s="41"/>
      <c r="T359" s="41"/>
      <c r="U359" s="17"/>
      <c r="Y359" s="17" t="str">
        <f>Y354</f>
        <v>Biochar, Output, MWh/MWh Total Input</v>
      </c>
    </row>
    <row r="360" spans="3:25" s="43" customFormat="1" ht="15.6">
      <c r="C360" s="17"/>
      <c r="D360" s="32"/>
      <c r="G360" s="43" t="str">
        <f>G355</f>
        <v>SYN</v>
      </c>
      <c r="H360" s="17"/>
      <c r="I360" s="17"/>
      <c r="J360" s="17"/>
      <c r="K360" s="41"/>
      <c r="L360" s="33">
        <f>L355</f>
        <v>0.81578947368421051</v>
      </c>
      <c r="M360" s="39"/>
      <c r="N360" s="40"/>
      <c r="O360" s="40"/>
      <c r="P360" s="41"/>
      <c r="Q360" s="41"/>
      <c r="R360" s="42"/>
      <c r="S360" s="41"/>
      <c r="T360" s="41"/>
      <c r="U360" s="17"/>
      <c r="V360" s="45"/>
      <c r="Y360" s="17" t="str">
        <f>Y355</f>
        <v>Gas Output, MWh/MWh Total Input</v>
      </c>
    </row>
    <row r="361" spans="3:25" s="43" customFormat="1">
      <c r="C361" s="17"/>
      <c r="D361" s="17"/>
      <c r="G361" s="43" t="str">
        <f>G356</f>
        <v>HETC</v>
      </c>
      <c r="H361" s="17"/>
      <c r="I361" s="17"/>
      <c r="J361" s="17"/>
      <c r="K361" s="41"/>
      <c r="L361" s="33">
        <f>L356</f>
        <v>0.47368421052631576</v>
      </c>
      <c r="M361" s="39"/>
      <c r="N361" s="40"/>
      <c r="O361" s="40"/>
      <c r="P361" s="41"/>
      <c r="Q361" s="41"/>
      <c r="R361" s="42"/>
      <c r="S361" s="41"/>
      <c r="T361" s="41"/>
      <c r="U361" s="17"/>
      <c r="V361" s="45"/>
      <c r="Y361" s="17" t="str">
        <f>Y356</f>
        <v>District Heat MWh/MWh Total Input</v>
      </c>
    </row>
    <row r="362" spans="3:25" s="43" customFormat="1" ht="15.6">
      <c r="C362" s="17"/>
      <c r="D362" s="32"/>
      <c r="E362" s="43" t="str">
        <f>E357</f>
        <v>SUPWCH</v>
      </c>
      <c r="F362" s="17" t="str">
        <f>F357</f>
        <v>CRB</v>
      </c>
      <c r="G362" s="17"/>
      <c r="H362" s="17" t="s">
        <v>70</v>
      </c>
      <c r="I362" s="17">
        <v>2050</v>
      </c>
      <c r="J362" s="17"/>
      <c r="K362" s="33">
        <f>(INDEX('101 Catalytic Hydropyrolysis 1'!$D$4:$H$57,MATCH(SUP_Biofuels!W362,'101 Catalytic Hydropyrolysis 1'!$B$4:$B$57,0),MATCH(SUP_Biofuels!$I362,'101 Catalytic Hydropyrolysis 1'!$D$3:$H$3,0)))/INDEX('101 Catalytic Hydropyrolysis 1'!$D$4:$H$57,MATCH(SUP_Biofuels!X362,'101 Catalytic Hydropyrolysis 1'!$B$4:$B$57,0),MATCH(SUP_Biofuels!$I362,'101 Catalytic Hydropyrolysis 1'!$D$3:$H$3,0))/0.77</f>
        <v>2.6315789473684208</v>
      </c>
      <c r="L362" s="33"/>
      <c r="M362" s="34">
        <v>20</v>
      </c>
      <c r="N362" s="35">
        <f>INDEX('101 Catalytic Hydropyrolysis 1'!$D$4:$H$57,MATCH(SUP_Biofuels!N$8,'101 Catalytic Hydropyrolysis 1'!$B$4:$B$57,0),MATCH(SUP_Biofuels!$I362,'101 Catalytic Hydropyrolysis 1'!$D$3:$H$3,0))*7.45</f>
        <v>3.8164912280701748</v>
      </c>
      <c r="O362" s="35">
        <f>INDEX('101 Catalytic Hydropyrolysis 1'!$D$4:$H$57,MATCH(SUP_Biofuels!O$8,'101 Catalytic Hydropyrolysis 1'!$B$4:$B$57,0),MATCH(SUP_Biofuels!$I362,'101 Catalytic Hydropyrolysis 1'!$D$3:$H$3,0))*7.45</f>
        <v>1.2459180019163392</v>
      </c>
      <c r="P362" s="33">
        <f>INDEX('101 Catalytic Hydropyrolysis 1'!$D$4:$H$57,MATCH(SUP_Biofuels!P$8,'101 Catalytic Hydropyrolysis 1'!$B$4:$B$57,0),MATCH(SUP_Biofuels!$I362,'101 Catalytic Hydropyrolysis 1'!$D$3:$H$3,0))*7.45/3.6*SUM(K362:K363)</f>
        <v>61.604354256673233</v>
      </c>
      <c r="Q362" s="33">
        <f>Q344</f>
        <v>0.90384615384615385</v>
      </c>
      <c r="R362" s="36">
        <f>$R$39</f>
        <v>3.1536000000000002E-2</v>
      </c>
      <c r="S362" s="33">
        <f>S344</f>
        <v>2</v>
      </c>
      <c r="T362" s="34">
        <f>-L364</f>
        <v>-32.84210526315789</v>
      </c>
      <c r="U362" s="44"/>
      <c r="W362" s="17" t="str">
        <f>W357</f>
        <v>Feedstock Consumption, MWh/MWh Total Input</v>
      </c>
      <c r="X362" s="43" t="str">
        <f>X357</f>
        <v>Liquid Fuel Output, MWh/MWh Total Input</v>
      </c>
      <c r="Y362" s="17"/>
    </row>
    <row r="363" spans="3:25" s="43" customFormat="1" ht="15.6">
      <c r="C363" s="17"/>
      <c r="D363" s="32"/>
      <c r="E363" s="43" t="str">
        <f>E358</f>
        <v>SUPH2</v>
      </c>
      <c r="F363" s="17"/>
      <c r="G363" s="17"/>
      <c r="H363" s="17"/>
      <c r="I363" s="17"/>
      <c r="J363" s="17"/>
      <c r="K363" s="33">
        <f>(INDEX('101 Catalytic Hydropyrolysis 1'!$D$4:$H$57,MATCH(SUP_Biofuels!W363,'101 Catalytic Hydropyrolysis 1'!$B$4:$B$57,0),MATCH(SUP_Biofuels!$I362,'101 Catalytic Hydropyrolysis 1'!$D$3:$H$3,0)))/INDEX('101 Catalytic Hydropyrolysis 1'!$D$4:$H$57,MATCH(SUP_Biofuels!X362,'101 Catalytic Hydropyrolysis 1'!$B$4:$B$57,0),MATCH(SUP_Biofuels!$I362,'101 Catalytic Hydropyrolysis 1'!$D$3:$H$3,0))/0.77</f>
        <v>0.7860560492139439</v>
      </c>
      <c r="L363" s="33"/>
      <c r="M363" s="34"/>
      <c r="N363" s="35"/>
      <c r="O363" s="35"/>
      <c r="P363" s="35"/>
      <c r="Q363" s="33"/>
      <c r="R363" s="36"/>
      <c r="S363" s="34"/>
      <c r="T363" s="34"/>
      <c r="U363" s="44"/>
      <c r="W363" s="17" t="str">
        <f>W358</f>
        <v>Hydrogen Consumption, MWh/MWh Total Input</v>
      </c>
      <c r="Y363" s="17"/>
    </row>
    <row r="364" spans="3:25">
      <c r="E364" s="43"/>
      <c r="F364" s="43"/>
      <c r="G364" s="43" t="str">
        <f>G359</f>
        <v>CO2SINK</v>
      </c>
      <c r="H364" s="17"/>
      <c r="I364" s="17"/>
      <c r="J364" s="17"/>
      <c r="K364" s="41"/>
      <c r="L364" s="33">
        <f>'101 Catalytic Hydropyrolysis 1'!$E$13*96*(K362)</f>
        <v>32.84210526315789</v>
      </c>
      <c r="M364" s="65"/>
      <c r="N364" s="40"/>
      <c r="O364" s="40"/>
      <c r="P364" s="40"/>
      <c r="Q364" s="41"/>
      <c r="R364" s="42"/>
      <c r="S364" s="39"/>
      <c r="T364" s="39"/>
      <c r="U364" s="17"/>
      <c r="W364" s="43"/>
      <c r="X364" s="43"/>
      <c r="Y364" s="17" t="str">
        <f>Y359</f>
        <v>Biochar, Output, MWh/MWh Total Input</v>
      </c>
    </row>
    <row r="365" spans="3:25">
      <c r="E365" s="43"/>
      <c r="F365" s="43"/>
      <c r="G365" s="43" t="str">
        <f>G360</f>
        <v>SYN</v>
      </c>
      <c r="H365" s="17"/>
      <c r="I365" s="17"/>
      <c r="J365" s="17"/>
      <c r="K365" s="41"/>
      <c r="L365" s="33">
        <f>L360</f>
        <v>0.81578947368421051</v>
      </c>
      <c r="M365" s="39"/>
      <c r="N365" s="40"/>
      <c r="O365" s="40"/>
      <c r="P365" s="40"/>
      <c r="Q365" s="41"/>
      <c r="R365" s="42"/>
      <c r="S365" s="39"/>
      <c r="T365" s="39"/>
      <c r="U365" s="17"/>
      <c r="W365" s="43"/>
      <c r="X365" s="43"/>
      <c r="Y365" s="17" t="str">
        <f>Y360</f>
        <v>Gas Output, MWh/MWh Total Input</v>
      </c>
    </row>
    <row r="366" spans="3:25" ht="15" thickBot="1">
      <c r="C366" s="55"/>
      <c r="D366" s="55"/>
      <c r="E366" s="46"/>
      <c r="F366" s="46"/>
      <c r="G366" s="46" t="str">
        <f>G361</f>
        <v>HETC</v>
      </c>
      <c r="H366" s="47"/>
      <c r="I366" s="47"/>
      <c r="J366" s="47"/>
      <c r="K366" s="59"/>
      <c r="L366" s="33">
        <f>L361</f>
        <v>0.47368421052631576</v>
      </c>
      <c r="M366" s="67"/>
      <c r="N366" s="49"/>
      <c r="O366" s="49"/>
      <c r="P366" s="49"/>
      <c r="Q366" s="59"/>
      <c r="R366" s="68"/>
      <c r="S366" s="67"/>
      <c r="T366" s="67"/>
      <c r="U366" s="47"/>
      <c r="V366" s="55"/>
      <c r="W366" s="46"/>
      <c r="X366" s="46"/>
      <c r="Y366" s="47" t="str">
        <f>Y361</f>
        <v>District Heat MWh/MWh Total Input</v>
      </c>
    </row>
    <row r="367" spans="3:25" ht="15.6">
      <c r="C367" s="17"/>
      <c r="D367" s="32"/>
      <c r="E367" s="17"/>
      <c r="F367" s="17"/>
      <c r="G367" s="17"/>
      <c r="H367" s="17"/>
      <c r="I367" s="17"/>
      <c r="J367" s="19"/>
      <c r="K367" s="33"/>
      <c r="L367" s="33"/>
      <c r="M367" s="33"/>
      <c r="N367" s="33"/>
      <c r="O367" s="33"/>
      <c r="P367" s="33"/>
      <c r="Q367" s="33"/>
      <c r="R367" s="33"/>
      <c r="S367" s="33"/>
      <c r="T367" s="33"/>
      <c r="U367" s="44"/>
      <c r="V367" s="45"/>
      <c r="W367" s="17"/>
      <c r="X367" s="43"/>
      <c r="Y367" s="17"/>
    </row>
    <row r="368" spans="3:25">
      <c r="C368" s="43"/>
      <c r="D368" s="43"/>
      <c r="E368" s="17"/>
      <c r="F368" s="17"/>
      <c r="G368" s="17"/>
      <c r="H368" s="17"/>
      <c r="I368" s="17"/>
      <c r="J368" s="17"/>
      <c r="K368" s="33"/>
      <c r="L368" s="33"/>
      <c r="M368" s="34"/>
      <c r="N368" s="35"/>
      <c r="O368" s="35"/>
      <c r="P368" s="33"/>
      <c r="Q368" s="33"/>
      <c r="R368" s="36"/>
      <c r="S368" s="34"/>
      <c r="T368" s="34"/>
      <c r="U368" s="44"/>
      <c r="V368" s="45"/>
      <c r="W368" s="17"/>
      <c r="X368" s="43"/>
      <c r="Y368" s="17"/>
    </row>
    <row r="369" spans="3:26" ht="15.6">
      <c r="C369" s="17"/>
      <c r="D369" s="32"/>
      <c r="E369" s="43"/>
      <c r="F369" s="43"/>
      <c r="G369" s="43"/>
      <c r="H369" s="17"/>
      <c r="I369" s="17"/>
      <c r="J369" s="17"/>
      <c r="K369" s="41"/>
      <c r="L369" s="33"/>
      <c r="M369" s="65"/>
      <c r="N369" s="40"/>
      <c r="O369" s="40"/>
      <c r="P369" s="41"/>
      <c r="Q369" s="41"/>
      <c r="R369" s="42"/>
      <c r="S369" s="39"/>
      <c r="T369" s="39"/>
      <c r="U369" s="17"/>
      <c r="V369" s="43"/>
      <c r="W369" s="43"/>
      <c r="X369" s="43"/>
      <c r="Y369" s="17"/>
    </row>
    <row r="370" spans="3:26" ht="15.6">
      <c r="C370" s="17"/>
      <c r="D370" s="32"/>
      <c r="E370" s="43"/>
      <c r="F370" s="43"/>
      <c r="G370" s="43"/>
      <c r="H370" s="17"/>
      <c r="I370" s="17"/>
      <c r="J370" s="17"/>
      <c r="K370" s="41"/>
      <c r="L370" s="33"/>
      <c r="M370" s="39"/>
      <c r="N370" s="40"/>
      <c r="O370" s="40"/>
      <c r="P370" s="41"/>
      <c r="Q370" s="41"/>
      <c r="R370" s="42"/>
      <c r="S370" s="39"/>
      <c r="T370" s="39"/>
      <c r="U370" s="17"/>
      <c r="V370" s="43"/>
      <c r="W370" s="43"/>
      <c r="X370" s="43"/>
      <c r="Y370" s="17"/>
    </row>
    <row r="371" spans="3:26" ht="15.6">
      <c r="C371" s="1254" t="s">
        <v>1765</v>
      </c>
      <c r="D371" s="32"/>
      <c r="E371" s="43"/>
      <c r="F371" s="43"/>
      <c r="G371" s="7"/>
      <c r="H371" s="17"/>
      <c r="I371" s="17"/>
      <c r="J371" s="17"/>
      <c r="K371" s="41"/>
      <c r="L371" s="33"/>
      <c r="M371" s="39"/>
      <c r="N371" s="40"/>
      <c r="O371" s="40"/>
      <c r="P371" s="41"/>
      <c r="Q371" s="41"/>
      <c r="R371" s="42"/>
      <c r="S371" s="39"/>
      <c r="T371" s="39"/>
      <c r="U371" s="17"/>
      <c r="V371" s="43"/>
      <c r="W371" s="43"/>
      <c r="X371" s="43"/>
      <c r="Y371" s="17"/>
    </row>
    <row r="372" spans="3:26" ht="15.6">
      <c r="C372" s="17"/>
      <c r="D372" s="32"/>
      <c r="E372" s="43"/>
      <c r="F372" s="17"/>
      <c r="G372" s="17"/>
      <c r="H372" s="17"/>
      <c r="I372" s="17"/>
      <c r="J372" s="17"/>
      <c r="K372" s="33"/>
      <c r="L372" s="33"/>
      <c r="M372" s="33"/>
      <c r="N372" s="33"/>
      <c r="O372" s="33"/>
      <c r="P372" s="33"/>
      <c r="Q372" s="33"/>
      <c r="R372" s="33"/>
      <c r="S372" s="33"/>
      <c r="T372" s="33"/>
      <c r="U372" s="44"/>
      <c r="V372" s="45"/>
      <c r="W372" s="17"/>
      <c r="X372" s="43"/>
      <c r="Y372" s="17"/>
    </row>
    <row r="373" spans="3:26">
      <c r="C373" s="17"/>
      <c r="D373" s="17"/>
      <c r="E373" s="43"/>
      <c r="F373" s="17"/>
      <c r="G373" s="17"/>
      <c r="H373" s="17"/>
      <c r="I373" s="17"/>
      <c r="J373" s="17"/>
      <c r="K373" s="33"/>
      <c r="L373" s="33"/>
      <c r="M373" s="34"/>
      <c r="N373" s="35"/>
      <c r="O373" s="35"/>
      <c r="P373" s="33"/>
      <c r="Q373" s="33"/>
      <c r="R373" s="36"/>
      <c r="S373" s="34"/>
      <c r="T373" s="34"/>
      <c r="U373" s="44"/>
      <c r="V373" s="45"/>
      <c r="W373" s="17"/>
      <c r="X373" s="43"/>
      <c r="Y373" s="17"/>
    </row>
    <row r="374" spans="3:26" ht="15.6">
      <c r="C374" s="17"/>
      <c r="D374" s="32"/>
      <c r="E374" s="43"/>
      <c r="F374" s="43"/>
      <c r="G374" s="43"/>
      <c r="H374" s="17"/>
      <c r="I374" s="17"/>
      <c r="J374" s="17"/>
      <c r="K374" s="41"/>
      <c r="L374" s="33"/>
      <c r="M374" s="65"/>
      <c r="N374" s="40"/>
      <c r="O374" s="40"/>
      <c r="P374" s="41"/>
      <c r="Q374" s="41"/>
      <c r="R374" s="42"/>
      <c r="S374" s="39"/>
      <c r="T374" s="39"/>
      <c r="U374" s="17"/>
      <c r="V374" s="43"/>
      <c r="W374" s="43"/>
      <c r="X374" s="43"/>
      <c r="Y374" s="17"/>
    </row>
    <row r="375" spans="3:26" ht="15.6">
      <c r="C375" s="17"/>
      <c r="D375" s="32"/>
      <c r="E375" s="43"/>
      <c r="F375" s="43"/>
      <c r="G375" s="43"/>
      <c r="H375" s="17"/>
      <c r="I375" s="17"/>
      <c r="J375" s="17"/>
      <c r="K375" s="41"/>
      <c r="L375" s="33"/>
      <c r="M375" s="39"/>
      <c r="N375" s="40"/>
      <c r="O375" s="40"/>
      <c r="P375" s="41"/>
      <c r="Q375" s="41"/>
      <c r="R375" s="42"/>
      <c r="S375" s="39"/>
      <c r="T375" s="39"/>
      <c r="U375" s="17"/>
      <c r="V375" s="43"/>
      <c r="W375" s="43"/>
      <c r="X375" s="43"/>
      <c r="Y375" s="17"/>
    </row>
    <row r="376" spans="3:26" ht="15.6">
      <c r="C376" s="17"/>
      <c r="D376" s="32"/>
      <c r="E376" s="43"/>
      <c r="F376" s="43"/>
      <c r="G376" s="43"/>
      <c r="H376" s="17"/>
      <c r="I376" s="17"/>
      <c r="J376" s="17"/>
      <c r="K376" s="41"/>
      <c r="L376" s="33"/>
      <c r="M376" s="39"/>
      <c r="N376" s="40"/>
      <c r="O376" s="40"/>
      <c r="P376" s="41"/>
      <c r="Q376" s="41"/>
      <c r="R376" s="42"/>
      <c r="S376" s="39"/>
      <c r="T376" s="39"/>
      <c r="U376" s="17"/>
      <c r="V376" s="45"/>
      <c r="W376" s="43"/>
      <c r="X376" s="43"/>
      <c r="Y376" s="17"/>
    </row>
    <row r="377" spans="3:26">
      <c r="C377" s="17"/>
      <c r="D377" s="17"/>
      <c r="E377" s="43"/>
      <c r="F377" s="17"/>
      <c r="G377" s="17"/>
      <c r="H377" s="17"/>
      <c r="I377" s="17"/>
      <c r="J377" s="17"/>
      <c r="K377" s="33"/>
      <c r="L377" s="33"/>
      <c r="M377" s="33"/>
      <c r="N377" s="33"/>
      <c r="O377" s="33"/>
      <c r="P377" s="33"/>
      <c r="Q377" s="33"/>
      <c r="R377" s="33"/>
      <c r="S377" s="33"/>
      <c r="T377" s="33"/>
      <c r="U377" s="44"/>
      <c r="V377" s="45"/>
      <c r="W377" s="17"/>
      <c r="X377" s="43"/>
      <c r="Y377" s="17"/>
    </row>
    <row r="378" spans="3:26" ht="15.6">
      <c r="C378" s="17"/>
      <c r="D378" s="32"/>
      <c r="E378" s="43"/>
      <c r="F378" s="17"/>
      <c r="G378" s="17"/>
      <c r="H378" s="17"/>
      <c r="I378" s="17"/>
      <c r="J378" s="17"/>
      <c r="K378" s="33"/>
      <c r="L378" s="33"/>
      <c r="M378" s="34"/>
      <c r="N378" s="35"/>
      <c r="O378" s="35"/>
      <c r="P378" s="33"/>
      <c r="Q378" s="33"/>
      <c r="R378" s="36"/>
      <c r="S378" s="34"/>
      <c r="T378" s="34"/>
      <c r="U378" s="44"/>
      <c r="V378" s="43"/>
      <c r="W378" s="17"/>
      <c r="X378" s="43"/>
      <c r="Y378" s="17"/>
    </row>
    <row r="379" spans="3:26" ht="15.6">
      <c r="C379" s="17"/>
      <c r="D379" s="32"/>
      <c r="E379" s="43"/>
      <c r="F379" s="43"/>
      <c r="G379" s="43"/>
      <c r="H379" s="17"/>
      <c r="I379" s="17"/>
      <c r="J379" s="17"/>
      <c r="K379" s="41"/>
      <c r="L379" s="33"/>
      <c r="M379" s="65"/>
      <c r="N379" s="40"/>
      <c r="O379" s="40"/>
      <c r="P379" s="41"/>
      <c r="Q379" s="41"/>
      <c r="R379" s="42"/>
      <c r="S379" s="39"/>
      <c r="T379" s="39"/>
      <c r="U379" s="17"/>
      <c r="V379" s="43"/>
      <c r="W379" s="43"/>
      <c r="X379" s="43"/>
      <c r="Y379" s="17"/>
    </row>
    <row r="380" spans="3:26" ht="15.6">
      <c r="C380" s="17"/>
      <c r="D380" s="32"/>
      <c r="E380" s="43"/>
      <c r="F380" s="43"/>
      <c r="G380" s="43"/>
      <c r="H380" s="17"/>
      <c r="I380" s="17"/>
      <c r="J380" s="17"/>
      <c r="K380" s="41"/>
      <c r="L380" s="33"/>
      <c r="M380" s="39"/>
      <c r="N380" s="40"/>
      <c r="O380" s="40"/>
      <c r="P380" s="41"/>
      <c r="Q380" s="41"/>
      <c r="R380" s="42"/>
      <c r="S380" s="39"/>
      <c r="T380" s="39"/>
      <c r="U380" s="17"/>
      <c r="V380" s="45"/>
      <c r="W380" s="43"/>
      <c r="X380" s="43"/>
      <c r="Y380" s="17"/>
    </row>
    <row r="381" spans="3:26">
      <c r="C381" s="17"/>
      <c r="D381" s="17"/>
      <c r="E381" s="43"/>
      <c r="F381" s="43"/>
      <c r="G381" s="43"/>
      <c r="H381" s="17"/>
      <c r="I381" s="17"/>
      <c r="J381" s="17"/>
      <c r="K381" s="41"/>
      <c r="L381" s="33"/>
      <c r="M381" s="39"/>
      <c r="N381" s="40"/>
      <c r="O381" s="40"/>
      <c r="P381" s="41"/>
      <c r="Q381" s="41"/>
      <c r="R381" s="42"/>
      <c r="S381" s="39"/>
      <c r="T381" s="39"/>
      <c r="U381" s="17"/>
      <c r="V381" s="45"/>
      <c r="W381" s="43"/>
      <c r="X381" s="43"/>
      <c r="Y381" s="17"/>
    </row>
    <row r="382" spans="3:26" ht="16.2" thickBot="1">
      <c r="C382" s="17"/>
      <c r="D382" s="32"/>
      <c r="E382" s="43"/>
      <c r="F382" s="17"/>
      <c r="G382" s="17"/>
      <c r="H382" s="17"/>
      <c r="I382" s="17"/>
      <c r="J382" s="17"/>
      <c r="K382" s="33"/>
      <c r="L382" s="33"/>
      <c r="M382" s="33"/>
      <c r="N382" s="33"/>
      <c r="O382" s="33"/>
      <c r="P382" s="33"/>
      <c r="Q382" s="33"/>
      <c r="R382" s="33"/>
      <c r="S382" s="33"/>
      <c r="T382" s="33"/>
      <c r="U382" s="44"/>
      <c r="V382" s="43"/>
      <c r="W382" s="17"/>
      <c r="X382" s="43"/>
      <c r="Y382" s="17"/>
      <c r="Z382" s="55"/>
    </row>
    <row r="383" spans="3:26" ht="15.6">
      <c r="C383" s="17"/>
      <c r="D383" s="32"/>
      <c r="E383" s="43"/>
      <c r="F383" s="17"/>
      <c r="G383" s="17"/>
      <c r="H383" s="17"/>
      <c r="I383" s="17"/>
      <c r="J383" s="17"/>
      <c r="K383" s="33"/>
      <c r="L383" s="33"/>
      <c r="M383" s="34"/>
      <c r="N383" s="35"/>
      <c r="O383" s="35"/>
      <c r="P383" s="33"/>
      <c r="Q383" s="33"/>
      <c r="R383" s="36"/>
      <c r="S383" s="34"/>
      <c r="T383" s="34"/>
      <c r="U383" s="44"/>
      <c r="V383" s="43"/>
      <c r="W383" s="17"/>
      <c r="X383" s="43"/>
      <c r="Y383" s="17"/>
    </row>
    <row r="384" spans="3:26">
      <c r="E384" s="43"/>
      <c r="F384" s="43"/>
      <c r="G384" s="43"/>
      <c r="H384" s="17"/>
      <c r="I384" s="17"/>
      <c r="J384" s="17"/>
      <c r="K384" s="41"/>
      <c r="L384" s="33"/>
      <c r="M384" s="65"/>
      <c r="N384" s="40"/>
      <c r="O384" s="40"/>
      <c r="P384" s="41"/>
      <c r="Q384" s="41"/>
      <c r="R384" s="42"/>
      <c r="S384" s="39"/>
      <c r="T384" s="39"/>
      <c r="U384" s="17"/>
      <c r="W384" s="43"/>
      <c r="X384" s="43"/>
      <c r="Y384" s="17"/>
    </row>
    <row r="385" spans="1:25">
      <c r="C385" s="1007"/>
      <c r="D385" s="1007"/>
      <c r="E385" s="1244"/>
      <c r="F385" s="1244"/>
      <c r="G385" s="1244"/>
      <c r="H385" s="1249"/>
      <c r="I385" s="1249"/>
      <c r="J385" s="1249"/>
      <c r="K385" s="1255"/>
      <c r="L385" s="1250"/>
      <c r="M385" s="39"/>
      <c r="N385" s="40"/>
      <c r="O385" s="40"/>
      <c r="P385" s="41"/>
      <c r="Q385" s="41"/>
      <c r="R385" s="42"/>
      <c r="S385" s="39"/>
      <c r="T385" s="39"/>
      <c r="U385" s="17"/>
      <c r="W385" s="43"/>
      <c r="X385" s="43"/>
      <c r="Y385" s="17"/>
    </row>
    <row r="386" spans="1:25" ht="15" thickBot="1">
      <c r="C386" s="1007"/>
      <c r="D386" s="1007"/>
      <c r="E386" s="1244"/>
      <c r="F386" s="1244"/>
      <c r="G386" s="1244"/>
      <c r="H386" s="1249"/>
      <c r="I386" s="1249"/>
      <c r="J386" s="1249"/>
      <c r="K386" s="1255"/>
      <c r="L386" s="1250"/>
      <c r="M386" s="39"/>
      <c r="N386" s="40"/>
      <c r="O386" s="40"/>
      <c r="P386" s="41"/>
      <c r="Q386" s="41"/>
      <c r="R386" s="42"/>
      <c r="S386" s="39"/>
      <c r="T386" s="39"/>
      <c r="U386" s="47"/>
      <c r="V386" s="55"/>
      <c r="W386" s="46"/>
      <c r="X386" s="46"/>
      <c r="Y386" s="47"/>
    </row>
    <row r="387" spans="1:25">
      <c r="C387" s="1007"/>
      <c r="D387" s="1007"/>
      <c r="E387" s="1007"/>
      <c r="F387" s="1007"/>
      <c r="G387" s="1007"/>
      <c r="H387" s="1007"/>
      <c r="I387" s="1007"/>
      <c r="J387" s="1007"/>
      <c r="K387" s="1007"/>
      <c r="L387" s="1007"/>
    </row>
    <row r="388" spans="1:25">
      <c r="C388" s="1007"/>
      <c r="D388" s="1007"/>
      <c r="E388" s="1007"/>
      <c r="F388" s="1007"/>
      <c r="G388" s="1007"/>
      <c r="H388" s="1007"/>
      <c r="I388" s="1007"/>
      <c r="J388" s="1007"/>
      <c r="K388" s="1007"/>
      <c r="L388" s="1007"/>
    </row>
    <row r="389" spans="1:25">
      <c r="C389" s="1007"/>
      <c r="D389" s="1007"/>
      <c r="E389" s="1007"/>
      <c r="F389" s="1007"/>
      <c r="G389" s="1007"/>
      <c r="H389" s="1007"/>
      <c r="I389" s="1007"/>
      <c r="J389" s="1007"/>
      <c r="K389" s="1007"/>
      <c r="L389" s="1007"/>
    </row>
    <row r="390" spans="1:25">
      <c r="C390" s="1007"/>
      <c r="D390" s="1007"/>
      <c r="E390" s="1007"/>
      <c r="F390" s="1007"/>
      <c r="G390" s="1007"/>
      <c r="H390" s="1007"/>
      <c r="I390" s="1007"/>
      <c r="J390" s="1007"/>
      <c r="K390" s="1007"/>
      <c r="L390" s="1007"/>
    </row>
    <row r="391" spans="1:25">
      <c r="C391" s="1007"/>
      <c r="D391" s="1007"/>
      <c r="E391" s="1007"/>
      <c r="F391" s="1007"/>
      <c r="G391" s="1007"/>
      <c r="H391" s="1007"/>
      <c r="I391" s="1007"/>
      <c r="J391" s="1007"/>
      <c r="K391" s="1007"/>
      <c r="L391" s="1007"/>
    </row>
    <row r="392" spans="1:25">
      <c r="C392" s="1007"/>
      <c r="D392" s="1007"/>
      <c r="E392" s="1007"/>
      <c r="F392" s="1007"/>
      <c r="G392" s="1007"/>
      <c r="H392" s="1007"/>
      <c r="I392" s="1007"/>
      <c r="J392" s="1007"/>
      <c r="K392" s="1007"/>
      <c r="L392" s="1007"/>
    </row>
    <row r="393" spans="1:25">
      <c r="C393" s="1007"/>
      <c r="D393" s="1007"/>
      <c r="E393" s="1007"/>
      <c r="F393" s="1007"/>
      <c r="G393" s="1007"/>
      <c r="H393" s="1007"/>
      <c r="I393" s="1007"/>
      <c r="J393" s="1007"/>
      <c r="K393" s="1007"/>
      <c r="L393" s="1007"/>
    </row>
    <row r="395" spans="1:25" ht="25.8">
      <c r="A395" s="1057"/>
    </row>
  </sheetData>
  <hyperlinks>
    <hyperlink ref="V298"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zoomScale="70" zoomScaleNormal="70" workbookViewId="0">
      <selection activeCell="L79" sqref="L79"/>
    </sheetView>
  </sheetViews>
  <sheetFormatPr defaultColWidth="9.109375" defaultRowHeight="13.2"/>
  <cols>
    <col min="1" max="1" width="9.109375" style="69"/>
    <col min="2" max="2" width="27.33203125" style="69" bestFit="1" customWidth="1"/>
    <col min="3" max="3" width="40.33203125" style="69" bestFit="1" customWidth="1"/>
    <col min="4" max="4" width="11.44140625" style="69" bestFit="1" customWidth="1"/>
    <col min="5" max="5" width="13.88671875" style="69" bestFit="1" customWidth="1"/>
    <col min="6" max="6" width="12.6640625" style="69" bestFit="1" customWidth="1"/>
    <col min="7" max="7" width="16.33203125" style="69" bestFit="1" customWidth="1"/>
    <col min="8" max="8" width="9.109375" style="69"/>
    <col min="9" max="9" width="11.6640625" style="69" bestFit="1" customWidth="1"/>
    <col min="10" max="11" width="11.33203125" style="69" customWidth="1"/>
    <col min="12" max="12" width="13" style="69" customWidth="1"/>
    <col min="13" max="13" width="11.6640625" style="69" customWidth="1"/>
    <col min="14" max="14" width="12.6640625" style="69" bestFit="1" customWidth="1"/>
    <col min="15" max="15" width="24.44140625" style="69" bestFit="1" customWidth="1"/>
    <col min="16" max="16" width="18.5546875" style="69" bestFit="1" customWidth="1"/>
    <col min="17" max="17" width="15.5546875" style="69" bestFit="1" customWidth="1"/>
    <col min="18" max="18" width="40.44140625" style="69" bestFit="1" customWidth="1"/>
    <col min="19" max="24" width="9.109375" style="69"/>
    <col min="25" max="25" width="30.6640625" style="69" bestFit="1" customWidth="1"/>
    <col min="26" max="16384" width="9.109375" style="69"/>
  </cols>
  <sheetData>
    <row r="1" spans="2:36">
      <c r="B1" s="69" t="s">
        <v>370</v>
      </c>
      <c r="I1" s="258" t="s">
        <v>190</v>
      </c>
      <c r="J1" s="258">
        <v>7.45</v>
      </c>
    </row>
    <row r="2" spans="2:36" ht="14.4">
      <c r="B2" s="259"/>
      <c r="C2" s="259"/>
      <c r="D2" s="259"/>
      <c r="E2" s="259"/>
      <c r="F2" s="259"/>
      <c r="G2" s="259"/>
      <c r="I2" s="9" t="s">
        <v>0</v>
      </c>
      <c r="J2" s="259"/>
      <c r="K2" s="259"/>
      <c r="L2" s="259"/>
      <c r="M2" s="259"/>
      <c r="N2" s="259"/>
      <c r="O2" s="259"/>
      <c r="P2" s="259"/>
      <c r="Q2" s="259"/>
      <c r="R2" s="259"/>
      <c r="Y2" s="260" t="s">
        <v>296</v>
      </c>
      <c r="Z2" s="1291" t="s">
        <v>371</v>
      </c>
      <c r="AA2" s="1291"/>
      <c r="AB2" s="1291"/>
      <c r="AC2" s="1291"/>
      <c r="AD2" s="1291"/>
      <c r="AE2" s="1291"/>
      <c r="AF2" s="1291"/>
      <c r="AG2" s="1291"/>
      <c r="AH2" s="1291"/>
      <c r="AI2" s="1291"/>
      <c r="AJ2" s="1291"/>
    </row>
    <row r="3" spans="2:36" ht="14.4">
      <c r="B3" s="10" t="s">
        <v>2</v>
      </c>
      <c r="C3" s="11" t="s">
        <v>31</v>
      </c>
      <c r="D3" s="11" t="s">
        <v>32</v>
      </c>
      <c r="E3" s="11" t="s">
        <v>189</v>
      </c>
      <c r="F3" s="11" t="s">
        <v>3</v>
      </c>
      <c r="G3" s="11" t="s">
        <v>33</v>
      </c>
      <c r="H3" s="11" t="s">
        <v>35</v>
      </c>
      <c r="I3" s="11" t="s">
        <v>34</v>
      </c>
      <c r="J3" s="11" t="s">
        <v>4</v>
      </c>
      <c r="K3" s="11" t="s">
        <v>187</v>
      </c>
      <c r="L3" s="11" t="s">
        <v>36</v>
      </c>
      <c r="M3" s="11" t="s">
        <v>37</v>
      </c>
      <c r="N3" s="11" t="s">
        <v>5</v>
      </c>
      <c r="O3" s="11" t="s">
        <v>6</v>
      </c>
      <c r="P3" s="11" t="s">
        <v>7</v>
      </c>
      <c r="Q3" s="11" t="s">
        <v>8</v>
      </c>
      <c r="R3" s="11" t="s">
        <v>38</v>
      </c>
      <c r="S3" s="11" t="s">
        <v>9</v>
      </c>
      <c r="T3" s="220" t="s">
        <v>1442</v>
      </c>
      <c r="U3" s="11" t="s">
        <v>40</v>
      </c>
      <c r="V3" s="11" t="s">
        <v>41</v>
      </c>
      <c r="Y3" s="162"/>
      <c r="Z3" s="162">
        <v>2015</v>
      </c>
      <c r="AA3" s="162">
        <v>2020</v>
      </c>
      <c r="AB3" s="162">
        <v>2030</v>
      </c>
      <c r="AC3" s="162">
        <v>2040</v>
      </c>
      <c r="AD3" s="162">
        <v>2050</v>
      </c>
      <c r="AE3" s="1292" t="s">
        <v>290</v>
      </c>
      <c r="AF3" s="1292"/>
      <c r="AG3" s="1292" t="s">
        <v>289</v>
      </c>
      <c r="AH3" s="1292"/>
      <c r="AI3" s="161" t="s">
        <v>288</v>
      </c>
      <c r="AJ3" s="161" t="s">
        <v>287</v>
      </c>
    </row>
    <row r="4" spans="2:36" ht="30" customHeight="1" thickBot="1">
      <c r="B4" s="13" t="s">
        <v>42</v>
      </c>
      <c r="C4" s="13"/>
      <c r="D4" s="13" t="s">
        <v>43</v>
      </c>
      <c r="E4" s="13" t="s">
        <v>372</v>
      </c>
      <c r="F4" s="13" t="s">
        <v>44</v>
      </c>
      <c r="G4" s="13" t="s">
        <v>45</v>
      </c>
      <c r="H4" s="13"/>
      <c r="I4" s="13" t="s">
        <v>46</v>
      </c>
      <c r="J4" s="13"/>
      <c r="K4" s="13"/>
      <c r="L4" s="13" t="s">
        <v>47</v>
      </c>
      <c r="M4" s="13" t="s">
        <v>48</v>
      </c>
      <c r="N4" s="13" t="s">
        <v>49</v>
      </c>
      <c r="O4" s="13" t="s">
        <v>50</v>
      </c>
      <c r="P4" s="13" t="s">
        <v>299</v>
      </c>
      <c r="Q4" s="13" t="s">
        <v>298</v>
      </c>
      <c r="R4" s="13" t="s">
        <v>52</v>
      </c>
      <c r="S4" s="13" t="s">
        <v>297</v>
      </c>
      <c r="T4" s="14" t="s">
        <v>54</v>
      </c>
      <c r="U4" s="13" t="s">
        <v>55</v>
      </c>
      <c r="V4" s="13" t="s">
        <v>56</v>
      </c>
      <c r="Y4" s="190"/>
      <c r="Z4" s="190"/>
      <c r="AA4" s="190"/>
      <c r="AB4" s="190"/>
      <c r="AC4" s="190"/>
      <c r="AD4" s="190"/>
      <c r="AE4" s="188" t="s">
        <v>284</v>
      </c>
      <c r="AF4" s="188" t="s">
        <v>283</v>
      </c>
      <c r="AG4" s="188" t="s">
        <v>284</v>
      </c>
      <c r="AH4" s="188" t="s">
        <v>283</v>
      </c>
      <c r="AI4" s="188"/>
      <c r="AJ4" s="188"/>
    </row>
    <row r="5" spans="2:36" ht="15" thickBot="1">
      <c r="B5" s="15" t="s">
        <v>42</v>
      </c>
      <c r="C5" s="15"/>
      <c r="D5" s="15"/>
      <c r="E5" s="15"/>
      <c r="F5" s="15"/>
      <c r="G5" s="15"/>
      <c r="H5" s="15"/>
      <c r="I5" s="15"/>
      <c r="J5" s="15"/>
      <c r="K5" s="15"/>
      <c r="L5" s="15" t="s">
        <v>373</v>
      </c>
      <c r="M5" s="15" t="s">
        <v>373</v>
      </c>
      <c r="N5" s="15" t="s">
        <v>62</v>
      </c>
      <c r="O5" s="15" t="s">
        <v>374</v>
      </c>
      <c r="P5" s="15" t="s">
        <v>375</v>
      </c>
      <c r="Q5" s="15" t="s">
        <v>376</v>
      </c>
      <c r="R5" s="15" t="s">
        <v>66</v>
      </c>
      <c r="S5" s="15"/>
      <c r="T5" s="16" t="s">
        <v>67</v>
      </c>
      <c r="U5" s="15"/>
      <c r="V5" s="15"/>
      <c r="Y5" s="186" t="s">
        <v>282</v>
      </c>
      <c r="Z5" s="185"/>
      <c r="AA5" s="185"/>
      <c r="AB5" s="185"/>
      <c r="AC5" s="185"/>
      <c r="AD5" s="185"/>
      <c r="AE5" s="185"/>
      <c r="AF5" s="185"/>
      <c r="AG5" s="185"/>
      <c r="AH5" s="185"/>
      <c r="AI5" s="183"/>
      <c r="AJ5" s="225"/>
    </row>
    <row r="6" spans="2:36" ht="15.6">
      <c r="B6" s="19" t="s">
        <v>377</v>
      </c>
      <c r="C6" s="18" t="s">
        <v>378</v>
      </c>
      <c r="D6" s="19" t="s">
        <v>379</v>
      </c>
      <c r="E6" s="211"/>
      <c r="F6" s="211" t="s">
        <v>380</v>
      </c>
      <c r="G6" s="7"/>
      <c r="H6" s="7">
        <v>2015</v>
      </c>
      <c r="I6" s="19" t="s">
        <v>70</v>
      </c>
      <c r="J6" s="7">
        <v>2015</v>
      </c>
      <c r="K6" s="50">
        <f>Z15/Z10</f>
        <v>1.6792452830188678</v>
      </c>
      <c r="L6" s="22"/>
      <c r="M6" s="7"/>
      <c r="N6" s="19">
        <v>25</v>
      </c>
      <c r="O6" s="22">
        <f>Z26*J1</f>
        <v>8.1103680000000011</v>
      </c>
      <c r="P6" s="22">
        <f>Z29*J1</f>
        <v>0.32441471999999999</v>
      </c>
      <c r="Q6" s="22">
        <f>Z38*J1</f>
        <v>1.0728</v>
      </c>
      <c r="R6" s="20">
        <f>1-(2/52)-Z20/100</f>
        <v>0.92153846153846153</v>
      </c>
      <c r="S6" s="104">
        <v>3.1536000000000002E-2</v>
      </c>
      <c r="T6" s="210">
        <v>1</v>
      </c>
      <c r="U6" s="7"/>
      <c r="V6" s="7" t="s">
        <v>267</v>
      </c>
      <c r="Y6" s="180" t="s">
        <v>381</v>
      </c>
      <c r="Z6" s="180">
        <v>70</v>
      </c>
      <c r="AA6" s="180">
        <v>100</v>
      </c>
      <c r="AB6" s="180">
        <v>250</v>
      </c>
      <c r="AC6" s="180">
        <v>500</v>
      </c>
      <c r="AD6" s="180">
        <v>700</v>
      </c>
      <c r="AE6" s="179">
        <v>0.75</v>
      </c>
      <c r="AF6" s="179">
        <v>1.25</v>
      </c>
      <c r="AG6" s="179">
        <v>0.75</v>
      </c>
      <c r="AH6" s="179">
        <v>1.25</v>
      </c>
      <c r="AI6" s="178" t="s">
        <v>280</v>
      </c>
      <c r="AJ6" s="178" t="s">
        <v>382</v>
      </c>
    </row>
    <row r="7" spans="2:36" ht="13.8">
      <c r="B7" s="7"/>
      <c r="C7" s="7"/>
      <c r="E7" s="7" t="s">
        <v>1314</v>
      </c>
      <c r="F7" s="7"/>
      <c r="G7" s="7"/>
      <c r="H7" s="7"/>
      <c r="I7" s="7"/>
      <c r="J7" s="7"/>
      <c r="K7" s="50"/>
      <c r="L7" s="22">
        <f>Z11/Z15</f>
        <v>0.5168539325842697</v>
      </c>
      <c r="M7" s="7"/>
      <c r="N7" s="7"/>
      <c r="O7" s="7"/>
      <c r="P7" s="7"/>
      <c r="Q7" s="7"/>
      <c r="R7" s="203"/>
      <c r="S7" s="7"/>
      <c r="T7" s="7"/>
      <c r="U7" s="7"/>
      <c r="V7" s="7"/>
      <c r="Y7" s="190" t="s">
        <v>278</v>
      </c>
      <c r="Z7" s="261">
        <v>2.3148148148148149</v>
      </c>
      <c r="AA7" s="261">
        <v>3.306878306878307</v>
      </c>
      <c r="AB7" s="261">
        <v>8.2671957671957657</v>
      </c>
      <c r="AC7" s="261">
        <v>16.534391534391531</v>
      </c>
      <c r="AD7" s="261">
        <v>23.148148148148149</v>
      </c>
      <c r="AE7" s="189">
        <v>0.75</v>
      </c>
      <c r="AF7" s="189">
        <v>1.25</v>
      </c>
      <c r="AG7" s="189">
        <v>0.75</v>
      </c>
      <c r="AH7" s="189">
        <v>1.25</v>
      </c>
      <c r="AI7" s="188" t="s">
        <v>383</v>
      </c>
      <c r="AJ7" s="188" t="s">
        <v>382</v>
      </c>
    </row>
    <row r="8" spans="2:36" ht="13.8">
      <c r="B8" s="7"/>
      <c r="C8" s="7"/>
      <c r="D8" s="7"/>
      <c r="E8" s="7" t="s">
        <v>71</v>
      </c>
      <c r="F8" s="7"/>
      <c r="H8" s="7"/>
      <c r="I8" s="7"/>
      <c r="J8" s="7"/>
      <c r="K8" s="50"/>
      <c r="L8" s="22">
        <f>0.01/0.89</f>
        <v>1.1235955056179775E-2</v>
      </c>
      <c r="M8" s="22"/>
      <c r="N8" s="7"/>
      <c r="O8" s="7"/>
      <c r="P8" s="7"/>
      <c r="Q8" s="7"/>
      <c r="R8" s="203"/>
      <c r="S8" s="7"/>
      <c r="T8" s="7"/>
      <c r="U8" s="7"/>
      <c r="V8" s="7"/>
      <c r="Y8" s="186" t="s">
        <v>384</v>
      </c>
      <c r="Z8" s="185"/>
      <c r="AA8" s="185"/>
      <c r="AB8" s="185"/>
      <c r="AC8" s="185"/>
      <c r="AD8" s="185"/>
      <c r="AE8" s="185"/>
      <c r="AF8" s="185"/>
      <c r="AG8" s="185"/>
      <c r="AH8" s="185"/>
      <c r="AI8" s="183"/>
      <c r="AJ8" s="225"/>
    </row>
    <row r="9" spans="2:36" ht="13.8">
      <c r="B9" s="7"/>
      <c r="C9" s="7"/>
      <c r="D9" s="7"/>
      <c r="E9" s="7"/>
      <c r="F9" s="7"/>
      <c r="G9" s="7" t="s">
        <v>216</v>
      </c>
      <c r="H9" s="7"/>
      <c r="I9" s="7"/>
      <c r="J9" s="7"/>
      <c r="K9" s="50"/>
      <c r="L9" s="22"/>
      <c r="M9" s="50">
        <f>0.1/0.89</f>
        <v>0.11235955056179776</v>
      </c>
      <c r="N9" s="7"/>
      <c r="O9" s="7"/>
      <c r="P9" s="7"/>
      <c r="Q9" s="7"/>
      <c r="R9" s="203"/>
      <c r="S9" s="7"/>
      <c r="T9" s="7"/>
      <c r="U9" s="7"/>
      <c r="V9" s="7"/>
      <c r="Y9" s="262"/>
      <c r="Z9" s="263"/>
      <c r="AA9" s="263"/>
      <c r="AB9" s="263"/>
      <c r="AC9" s="263"/>
      <c r="AD9" s="263"/>
      <c r="AE9" s="263"/>
      <c r="AF9" s="263"/>
      <c r="AG9" s="263"/>
      <c r="AH9" s="263"/>
      <c r="AI9" s="264"/>
      <c r="AJ9" s="265"/>
    </row>
    <row r="10" spans="2:36" ht="15.6">
      <c r="B10" s="7"/>
      <c r="C10" s="215"/>
      <c r="D10" s="177" t="str">
        <f>D6</f>
        <v>SUPBGA</v>
      </c>
      <c r="E10" s="196"/>
      <c r="F10" s="196" t="str">
        <f>F6</f>
        <v>SNE</v>
      </c>
      <c r="G10" s="177"/>
      <c r="H10" s="177">
        <v>2020</v>
      </c>
      <c r="I10" s="177" t="str">
        <f>I6</f>
        <v>MKr15</v>
      </c>
      <c r="J10" s="177"/>
      <c r="K10" s="266">
        <f>K6</f>
        <v>1.6792452830188678</v>
      </c>
      <c r="L10" s="195"/>
      <c r="M10" s="177"/>
      <c r="N10" s="177">
        <v>25</v>
      </c>
      <c r="O10" s="195">
        <f>AA26*J1</f>
        <v>6.7586400000000006</v>
      </c>
      <c r="P10" s="195">
        <f>AA29*J1</f>
        <v>0.27034560000000002</v>
      </c>
      <c r="Q10" s="195">
        <f>AA38*J1</f>
        <v>0.89400000000000002</v>
      </c>
      <c r="R10" s="194">
        <f>R6</f>
        <v>0.92153846153846153</v>
      </c>
      <c r="S10" s="142">
        <v>3.1536000000000002E-2</v>
      </c>
      <c r="T10" s="193">
        <f>T6</f>
        <v>1</v>
      </c>
      <c r="U10" s="177"/>
      <c r="V10" s="177"/>
      <c r="Y10" s="180" t="s">
        <v>385</v>
      </c>
      <c r="Z10" s="180">
        <v>0.53</v>
      </c>
      <c r="AA10" s="180">
        <v>0.53</v>
      </c>
      <c r="AB10" s="180">
        <v>0.53</v>
      </c>
      <c r="AC10" s="180">
        <v>0.53</v>
      </c>
      <c r="AD10" s="180">
        <v>0.53</v>
      </c>
      <c r="AE10" s="206">
        <v>0.8</v>
      </c>
      <c r="AF10" s="206">
        <v>1.2</v>
      </c>
      <c r="AG10" s="206">
        <v>0.8</v>
      </c>
      <c r="AH10" s="206">
        <v>1.2</v>
      </c>
      <c r="AI10" s="178" t="s">
        <v>386</v>
      </c>
      <c r="AJ10" s="178">
        <v>2</v>
      </c>
    </row>
    <row r="11" spans="2:36" ht="13.8">
      <c r="B11" s="7"/>
      <c r="C11" s="7"/>
      <c r="D11" s="7"/>
      <c r="E11" s="7" t="str">
        <f>E7</f>
        <v>H2GC</v>
      </c>
      <c r="F11" s="7"/>
      <c r="G11" s="7"/>
      <c r="H11" s="7"/>
      <c r="I11" s="7"/>
      <c r="J11" s="7"/>
      <c r="K11" s="50"/>
      <c r="L11" s="22">
        <f>L7</f>
        <v>0.5168539325842697</v>
      </c>
      <c r="M11" s="7"/>
      <c r="N11" s="7"/>
      <c r="O11" s="7"/>
      <c r="P11" s="7"/>
      <c r="Q11" s="7"/>
      <c r="R11" s="203"/>
      <c r="S11" s="7"/>
      <c r="T11" s="7"/>
      <c r="U11" s="7"/>
      <c r="V11" s="7"/>
      <c r="Y11" s="162" t="s">
        <v>119</v>
      </c>
      <c r="Z11" s="162">
        <v>0.46</v>
      </c>
      <c r="AA11" s="162">
        <v>0.46</v>
      </c>
      <c r="AB11" s="162">
        <v>0.46</v>
      </c>
      <c r="AC11" s="162">
        <v>0.46</v>
      </c>
      <c r="AD11" s="162">
        <v>0.46</v>
      </c>
      <c r="AE11" s="205">
        <v>0.8</v>
      </c>
      <c r="AF11" s="205">
        <v>1.2</v>
      </c>
      <c r="AG11" s="205">
        <v>0.8</v>
      </c>
      <c r="AH11" s="205">
        <v>1.2</v>
      </c>
      <c r="AI11" s="161" t="s">
        <v>387</v>
      </c>
      <c r="AJ11" s="161">
        <v>2</v>
      </c>
    </row>
    <row r="12" spans="2:36" ht="13.8">
      <c r="B12" s="7"/>
      <c r="C12" s="7"/>
      <c r="D12" s="7"/>
      <c r="E12" s="7" t="str">
        <f>E8</f>
        <v>SUPELC</v>
      </c>
      <c r="F12" s="7"/>
      <c r="G12" s="7"/>
      <c r="H12" s="7"/>
      <c r="I12" s="7"/>
      <c r="J12" s="7"/>
      <c r="K12" s="50"/>
      <c r="L12" s="22">
        <f>0.01/0.89</f>
        <v>1.1235955056179775E-2</v>
      </c>
      <c r="M12" s="7"/>
      <c r="N12" s="7"/>
      <c r="O12" s="7"/>
      <c r="P12" s="7"/>
      <c r="Q12" s="7"/>
      <c r="R12" s="203"/>
      <c r="S12" s="7"/>
      <c r="T12" s="7"/>
      <c r="U12" s="7"/>
      <c r="V12" s="7"/>
      <c r="Y12" s="190"/>
      <c r="Z12" s="190"/>
      <c r="AA12" s="190"/>
      <c r="AB12" s="190"/>
      <c r="AC12" s="190"/>
      <c r="AD12" s="190"/>
      <c r="AE12" s="208"/>
      <c r="AF12" s="208"/>
      <c r="AG12" s="208"/>
      <c r="AH12" s="208"/>
      <c r="AI12" s="188"/>
      <c r="AJ12" s="188"/>
    </row>
    <row r="13" spans="2:36" ht="13.8">
      <c r="B13" s="7"/>
      <c r="C13" s="7"/>
      <c r="D13" s="7"/>
      <c r="E13" s="7"/>
      <c r="F13" s="7"/>
      <c r="G13" s="7" t="str">
        <f>G9</f>
        <v>HETC</v>
      </c>
      <c r="H13" s="7"/>
      <c r="I13" s="7"/>
      <c r="J13" s="7"/>
      <c r="K13" s="50"/>
      <c r="L13" s="22"/>
      <c r="M13" s="22">
        <f>M9</f>
        <v>0.11235955056179776</v>
      </c>
      <c r="N13" s="7"/>
      <c r="O13" s="7"/>
      <c r="P13" s="7"/>
      <c r="Q13" s="7"/>
      <c r="R13" s="203"/>
      <c r="S13" s="7"/>
      <c r="T13" s="7"/>
      <c r="U13" s="7"/>
      <c r="V13" s="7"/>
      <c r="Y13" s="190" t="s">
        <v>96</v>
      </c>
      <c r="Z13" s="190">
        <v>0.01</v>
      </c>
      <c r="AA13" s="190">
        <v>0.01</v>
      </c>
      <c r="AB13" s="190">
        <v>0.01</v>
      </c>
      <c r="AC13" s="190">
        <v>0.01</v>
      </c>
      <c r="AD13" s="190">
        <v>0.01</v>
      </c>
      <c r="AE13" s="208">
        <v>0.5</v>
      </c>
      <c r="AF13" s="208">
        <v>1.5</v>
      </c>
      <c r="AG13" s="208">
        <v>0.5</v>
      </c>
      <c r="AH13" s="208">
        <v>1.5</v>
      </c>
      <c r="AI13" s="188" t="s">
        <v>269</v>
      </c>
      <c r="AJ13" s="188">
        <v>2</v>
      </c>
    </row>
    <row r="14" spans="2:36" ht="15.6">
      <c r="B14" s="7"/>
      <c r="C14" s="215"/>
      <c r="D14" s="177" t="str">
        <f>D10</f>
        <v>SUPBGA</v>
      </c>
      <c r="E14" s="196"/>
      <c r="F14" s="196" t="str">
        <f>F10</f>
        <v>SNE</v>
      </c>
      <c r="G14" s="177"/>
      <c r="H14" s="177">
        <v>2030</v>
      </c>
      <c r="I14" s="177" t="str">
        <f>I10</f>
        <v>MKr15</v>
      </c>
      <c r="J14" s="177"/>
      <c r="K14" s="266">
        <f>K10</f>
        <v>1.6792452830188678</v>
      </c>
      <c r="L14" s="195"/>
      <c r="M14" s="177"/>
      <c r="N14" s="177">
        <v>25</v>
      </c>
      <c r="O14" s="195">
        <f>AB26*J1</f>
        <v>5.632200000000001</v>
      </c>
      <c r="P14" s="195">
        <f>AB29*J1</f>
        <v>0.22528800000000004</v>
      </c>
      <c r="Q14" s="195">
        <f>AB38*J1</f>
        <v>0.74500000000000011</v>
      </c>
      <c r="R14" s="194">
        <f>0.9615</f>
        <v>0.96150000000000002</v>
      </c>
      <c r="S14" s="142">
        <v>3.1536000000000002E-2</v>
      </c>
      <c r="T14" s="193">
        <f>T10</f>
        <v>1</v>
      </c>
      <c r="U14" s="177"/>
      <c r="V14" s="177"/>
      <c r="Y14" s="186" t="s">
        <v>271</v>
      </c>
      <c r="Z14" s="185"/>
      <c r="AA14" s="185"/>
      <c r="AB14" s="185"/>
      <c r="AC14" s="185"/>
      <c r="AD14" s="185"/>
      <c r="AE14" s="213"/>
      <c r="AF14" s="213"/>
      <c r="AG14" s="213"/>
      <c r="AH14" s="213"/>
      <c r="AI14" s="183"/>
      <c r="AJ14" s="225"/>
    </row>
    <row r="15" spans="2:36" ht="15.6">
      <c r="B15" s="7"/>
      <c r="C15" s="21"/>
      <c r="D15" s="21"/>
      <c r="E15" s="7" t="str">
        <f>E11</f>
        <v>H2GC</v>
      </c>
      <c r="F15" s="21"/>
      <c r="G15" s="21"/>
      <c r="H15" s="21"/>
      <c r="I15" s="21"/>
      <c r="J15" s="21"/>
      <c r="K15" s="267"/>
      <c r="L15" s="187">
        <f>L7</f>
        <v>0.5168539325842697</v>
      </c>
      <c r="M15" s="21"/>
      <c r="N15" s="21"/>
      <c r="O15" s="21"/>
      <c r="P15" s="21"/>
      <c r="Q15" s="21"/>
      <c r="R15" s="21"/>
      <c r="S15" s="21"/>
      <c r="T15" s="21"/>
      <c r="U15" s="21"/>
      <c r="V15" s="7"/>
      <c r="Y15" s="180" t="s">
        <v>388</v>
      </c>
      <c r="Z15" s="180">
        <v>0.89</v>
      </c>
      <c r="AA15" s="180">
        <v>0.89</v>
      </c>
      <c r="AB15" s="180">
        <v>0.89</v>
      </c>
      <c r="AC15" s="180">
        <v>0.89</v>
      </c>
      <c r="AD15" s="180">
        <v>0.89</v>
      </c>
      <c r="AE15" s="179">
        <v>0.9</v>
      </c>
      <c r="AF15" s="179">
        <v>1.1000000000000001</v>
      </c>
      <c r="AG15" s="179">
        <v>0.95</v>
      </c>
      <c r="AH15" s="179">
        <v>1.05</v>
      </c>
      <c r="AI15" s="178" t="s">
        <v>389</v>
      </c>
      <c r="AJ15" s="178">
        <v>2</v>
      </c>
    </row>
    <row r="16" spans="2:36" ht="15.6">
      <c r="B16" s="7"/>
      <c r="C16" s="21"/>
      <c r="D16" s="21"/>
      <c r="E16" s="7" t="str">
        <f>E12</f>
        <v>SUPELC</v>
      </c>
      <c r="F16" s="21"/>
      <c r="G16" s="21"/>
      <c r="H16" s="21"/>
      <c r="I16" s="21"/>
      <c r="J16" s="21"/>
      <c r="K16" s="267"/>
      <c r="L16" s="22">
        <f>0.01/0.89</f>
        <v>1.1235955056179775E-2</v>
      </c>
      <c r="M16" s="21"/>
      <c r="N16" s="21"/>
      <c r="O16" s="21"/>
      <c r="P16" s="21"/>
      <c r="Q16" s="21"/>
      <c r="R16" s="21"/>
      <c r="S16" s="21"/>
      <c r="T16" s="21"/>
      <c r="U16" s="21"/>
      <c r="V16" s="7"/>
      <c r="Y16" s="268"/>
      <c r="Z16" s="268"/>
      <c r="AA16" s="268"/>
      <c r="AB16" s="268"/>
      <c r="AC16" s="268"/>
      <c r="AD16" s="268"/>
      <c r="AE16" s="269"/>
      <c r="AF16" s="269"/>
      <c r="AG16" s="269"/>
      <c r="AH16" s="269"/>
      <c r="AI16" s="270"/>
      <c r="AJ16" s="270"/>
    </row>
    <row r="17" spans="2:36" ht="13.8">
      <c r="B17" s="7"/>
      <c r="C17" s="31"/>
      <c r="D17" s="31"/>
      <c r="E17" s="31"/>
      <c r="F17" s="31"/>
      <c r="G17" s="31" t="str">
        <f>G13</f>
        <v>HETC</v>
      </c>
      <c r="H17" s="31"/>
      <c r="I17" s="31"/>
      <c r="J17" s="31"/>
      <c r="K17" s="271"/>
      <c r="L17" s="199"/>
      <c r="M17" s="199">
        <f>M13</f>
        <v>0.11235955056179776</v>
      </c>
      <c r="N17" s="31"/>
      <c r="O17" s="31"/>
      <c r="P17" s="31"/>
      <c r="Q17" s="31"/>
      <c r="R17" s="31"/>
      <c r="S17" s="31"/>
      <c r="T17" s="31"/>
      <c r="U17" s="31"/>
      <c r="V17" s="7"/>
      <c r="Y17" s="190" t="s">
        <v>109</v>
      </c>
      <c r="Z17" s="272">
        <v>0.1</v>
      </c>
      <c r="AA17" s="272">
        <v>0.1</v>
      </c>
      <c r="AB17" s="272">
        <v>0.1</v>
      </c>
      <c r="AC17" s="272">
        <v>0.1</v>
      </c>
      <c r="AD17" s="272">
        <v>0.1</v>
      </c>
      <c r="AE17" s="208">
        <v>0.5</v>
      </c>
      <c r="AF17" s="208">
        <v>1.5</v>
      </c>
      <c r="AG17" s="208">
        <v>0.5</v>
      </c>
      <c r="AH17" s="208">
        <v>1.5</v>
      </c>
      <c r="AI17" s="188" t="s">
        <v>389</v>
      </c>
      <c r="AJ17" s="188">
        <v>2</v>
      </c>
    </row>
    <row r="18" spans="2:36" ht="15.6">
      <c r="B18" s="7"/>
      <c r="C18" s="215"/>
      <c r="D18" s="177" t="str">
        <f>D14</f>
        <v>SUPBGA</v>
      </c>
      <c r="E18" s="196"/>
      <c r="F18" s="196" t="str">
        <f>F14</f>
        <v>SNE</v>
      </c>
      <c r="G18" s="177"/>
      <c r="H18" s="177">
        <v>2040</v>
      </c>
      <c r="I18" s="177" t="str">
        <f>I14</f>
        <v>MKr15</v>
      </c>
      <c r="J18" s="177"/>
      <c r="K18" s="266">
        <f>K14</f>
        <v>1.6792452830188678</v>
      </c>
      <c r="L18" s="195"/>
      <c r="M18" s="177"/>
      <c r="N18" s="177">
        <v>25</v>
      </c>
      <c r="O18" s="195">
        <f>AC26*J1</f>
        <v>4.5057600000000013</v>
      </c>
      <c r="P18" s="195">
        <f>AC29*J1</f>
        <v>0.18023040000000004</v>
      </c>
      <c r="Q18" s="195">
        <f>AC38*J1</f>
        <v>0.59599999999999997</v>
      </c>
      <c r="R18" s="194">
        <f>0.9615</f>
        <v>0.96150000000000002</v>
      </c>
      <c r="S18" s="142">
        <v>3.1536000000000002E-2</v>
      </c>
      <c r="T18" s="193">
        <f>T14</f>
        <v>1</v>
      </c>
      <c r="U18" s="177"/>
      <c r="V18" s="177"/>
      <c r="Y18" s="207"/>
      <c r="Z18" s="185"/>
      <c r="AA18" s="185"/>
      <c r="AB18" s="185"/>
      <c r="AC18" s="185"/>
      <c r="AD18" s="185"/>
      <c r="AE18" s="213"/>
      <c r="AF18" s="213"/>
      <c r="AG18" s="213"/>
      <c r="AH18" s="213"/>
      <c r="AI18" s="183"/>
      <c r="AJ18" s="225"/>
    </row>
    <row r="19" spans="2:36" ht="15.6">
      <c r="B19" s="7"/>
      <c r="C19" s="21"/>
      <c r="D19" s="7"/>
      <c r="E19" s="7" t="str">
        <f>E15</f>
        <v>H2GC</v>
      </c>
      <c r="F19" s="273"/>
      <c r="G19" s="7"/>
      <c r="H19" s="7"/>
      <c r="I19" s="7"/>
      <c r="J19" s="7"/>
      <c r="K19" s="50"/>
      <c r="L19" s="22">
        <f>L15</f>
        <v>0.5168539325842697</v>
      </c>
      <c r="M19" s="7"/>
      <c r="N19" s="7"/>
      <c r="O19" s="22"/>
      <c r="P19" s="22"/>
      <c r="Q19" s="22"/>
      <c r="R19" s="203"/>
      <c r="T19" s="210"/>
      <c r="U19" s="7"/>
      <c r="V19" s="7"/>
      <c r="Y19" s="274"/>
      <c r="Z19" s="263"/>
      <c r="AA19" s="263"/>
      <c r="AB19" s="263"/>
      <c r="AC19" s="263"/>
      <c r="AD19" s="263"/>
      <c r="AE19" s="275"/>
      <c r="AF19" s="275"/>
      <c r="AG19" s="275"/>
      <c r="AH19" s="275"/>
      <c r="AI19" s="264"/>
      <c r="AJ19" s="265"/>
    </row>
    <row r="20" spans="2:36" ht="15.6">
      <c r="B20" s="7"/>
      <c r="C20" s="21"/>
      <c r="D20" s="21"/>
      <c r="E20" s="7" t="str">
        <f>E16</f>
        <v>SUPELC</v>
      </c>
      <c r="F20" s="21"/>
      <c r="G20" s="21"/>
      <c r="H20" s="21"/>
      <c r="I20" s="21"/>
      <c r="J20" s="21"/>
      <c r="K20" s="267"/>
      <c r="L20" s="22">
        <f>0.01/0.89</f>
        <v>1.1235955056179775E-2</v>
      </c>
      <c r="M20" s="21"/>
      <c r="N20" s="21"/>
      <c r="O20" s="21"/>
      <c r="P20" s="21"/>
      <c r="Q20" s="21"/>
      <c r="R20" s="21"/>
      <c r="S20" s="21"/>
      <c r="T20" s="21"/>
      <c r="U20" s="21"/>
      <c r="V20" s="7"/>
      <c r="Y20" s="180" t="s">
        <v>59</v>
      </c>
      <c r="Z20" s="180">
        <v>4</v>
      </c>
      <c r="AA20" s="180">
        <v>4</v>
      </c>
      <c r="AB20" s="180">
        <v>0</v>
      </c>
      <c r="AC20" s="180">
        <v>0</v>
      </c>
      <c r="AD20" s="180">
        <v>0</v>
      </c>
      <c r="AE20" s="180"/>
      <c r="AF20" s="180"/>
      <c r="AG20" s="180"/>
      <c r="AH20" s="180"/>
      <c r="AI20" s="178" t="s">
        <v>255</v>
      </c>
      <c r="AJ20" s="178"/>
    </row>
    <row r="21" spans="2:36" ht="13.8">
      <c r="B21" s="7"/>
      <c r="C21" s="31"/>
      <c r="D21" s="31"/>
      <c r="E21" s="31"/>
      <c r="F21" s="31"/>
      <c r="G21" s="31" t="str">
        <f>G17</f>
        <v>HETC</v>
      </c>
      <c r="H21" s="31"/>
      <c r="I21" s="31"/>
      <c r="J21" s="31"/>
      <c r="K21" s="271"/>
      <c r="L21" s="199"/>
      <c r="M21" s="199">
        <f>M17</f>
        <v>0.11235955056179776</v>
      </c>
      <c r="N21" s="31"/>
      <c r="O21" s="31"/>
      <c r="P21" s="31"/>
      <c r="Q21" s="31"/>
      <c r="R21" s="31"/>
      <c r="S21" s="31"/>
      <c r="T21" s="31"/>
      <c r="U21" s="31"/>
      <c r="V21" s="7"/>
      <c r="Y21" s="162" t="s">
        <v>92</v>
      </c>
      <c r="Z21" s="162">
        <v>2</v>
      </c>
      <c r="AA21" s="162">
        <v>2</v>
      </c>
      <c r="AB21" s="162">
        <v>2</v>
      </c>
      <c r="AC21" s="162">
        <v>2</v>
      </c>
      <c r="AD21" s="162">
        <v>2</v>
      </c>
      <c r="AE21" s="162"/>
      <c r="AF21" s="162"/>
      <c r="AG21" s="162"/>
      <c r="AH21" s="162"/>
      <c r="AI21" s="161"/>
      <c r="AJ21" s="161"/>
    </row>
    <row r="22" spans="2:36" ht="15.6">
      <c r="B22" s="7"/>
      <c r="C22" s="215"/>
      <c r="D22" s="177" t="str">
        <f>D18</f>
        <v>SUPBGA</v>
      </c>
      <c r="E22" s="196"/>
      <c r="F22" s="196" t="str">
        <f>F18</f>
        <v>SNE</v>
      </c>
      <c r="G22" s="177"/>
      <c r="H22" s="177">
        <v>2050</v>
      </c>
      <c r="I22" s="177" t="str">
        <f>I18</f>
        <v>MKr15</v>
      </c>
      <c r="J22" s="177"/>
      <c r="K22" s="266">
        <f>K18</f>
        <v>1.6792452830188678</v>
      </c>
      <c r="L22" s="195"/>
      <c r="M22" s="177"/>
      <c r="N22" s="177">
        <v>25</v>
      </c>
      <c r="O22" s="195">
        <f>AD26*J1</f>
        <v>3.3793200000000003</v>
      </c>
      <c r="P22" s="195">
        <f>AD29*J1</f>
        <v>0.13517280000000001</v>
      </c>
      <c r="Q22" s="195">
        <f>AD38*J1</f>
        <v>0.44700000000000001</v>
      </c>
      <c r="R22" s="194">
        <f>0.9615</f>
        <v>0.96150000000000002</v>
      </c>
      <c r="S22" s="142">
        <v>3.1536000000000002E-2</v>
      </c>
      <c r="T22" s="193">
        <f>T18</f>
        <v>1</v>
      </c>
      <c r="U22" s="177"/>
      <c r="V22" s="177"/>
      <c r="Y22" s="162" t="s">
        <v>58</v>
      </c>
      <c r="Z22" s="162">
        <v>25</v>
      </c>
      <c r="AA22" s="162">
        <v>25</v>
      </c>
      <c r="AB22" s="162">
        <v>25</v>
      </c>
      <c r="AC22" s="162">
        <v>25</v>
      </c>
      <c r="AD22" s="162">
        <v>25</v>
      </c>
      <c r="AE22" s="162"/>
      <c r="AF22" s="162"/>
      <c r="AG22" s="162"/>
      <c r="AH22" s="162"/>
      <c r="AI22" s="161"/>
      <c r="AJ22" s="161"/>
    </row>
    <row r="23" spans="2:36" ht="15.6">
      <c r="B23" s="7"/>
      <c r="C23" s="21"/>
      <c r="D23" s="21"/>
      <c r="E23" s="7" t="str">
        <f>E19</f>
        <v>H2GC</v>
      </c>
      <c r="F23" s="21"/>
      <c r="G23" s="21"/>
      <c r="H23" s="21"/>
      <c r="I23" s="21"/>
      <c r="J23" s="21"/>
      <c r="K23" s="267"/>
      <c r="L23" s="187">
        <f>L15</f>
        <v>0.5168539325842697</v>
      </c>
      <c r="M23" s="21"/>
      <c r="N23" s="21"/>
      <c r="O23" s="21"/>
      <c r="P23" s="21"/>
      <c r="Q23" s="21"/>
      <c r="R23" s="21"/>
      <c r="S23" s="21"/>
      <c r="T23" s="21"/>
      <c r="U23" s="21"/>
      <c r="V23" s="7"/>
      <c r="Y23" s="190" t="s">
        <v>60</v>
      </c>
      <c r="Z23" s="190">
        <v>1</v>
      </c>
      <c r="AA23" s="190">
        <v>1</v>
      </c>
      <c r="AB23" s="190">
        <v>1</v>
      </c>
      <c r="AC23" s="190">
        <v>1</v>
      </c>
      <c r="AD23" s="190">
        <v>1</v>
      </c>
      <c r="AE23" s="190"/>
      <c r="AF23" s="190"/>
      <c r="AG23" s="190"/>
      <c r="AH23" s="190"/>
      <c r="AI23" s="188"/>
      <c r="AJ23" s="188"/>
    </row>
    <row r="24" spans="2:36" ht="15.6">
      <c r="B24" s="7"/>
      <c r="C24" s="21"/>
      <c r="D24" s="21"/>
      <c r="E24" s="7" t="str">
        <f>E20</f>
        <v>SUPELC</v>
      </c>
      <c r="F24" s="21"/>
      <c r="G24" s="21"/>
      <c r="H24" s="21"/>
      <c r="I24" s="21"/>
      <c r="J24" s="21"/>
      <c r="K24" s="267"/>
      <c r="L24" s="22">
        <f>0.01/0.89</f>
        <v>1.1235955056179775E-2</v>
      </c>
      <c r="M24" s="21"/>
      <c r="N24" s="21"/>
      <c r="O24" s="21"/>
      <c r="P24" s="21"/>
      <c r="Q24" s="21"/>
      <c r="R24" s="21"/>
      <c r="S24" s="21"/>
      <c r="T24" s="21"/>
      <c r="U24" s="21"/>
      <c r="V24" s="7"/>
      <c r="Y24" s="276"/>
      <c r="Z24" s="277"/>
      <c r="AA24" s="277"/>
      <c r="AB24" s="277"/>
      <c r="AC24" s="277"/>
      <c r="AD24" s="277"/>
      <c r="AE24" s="277"/>
      <c r="AF24" s="277"/>
      <c r="AG24" s="277"/>
      <c r="AH24" s="277"/>
      <c r="AI24" s="278"/>
      <c r="AJ24" s="279"/>
    </row>
    <row r="25" spans="2:36" ht="14.4" thickBot="1">
      <c r="B25" s="28"/>
      <c r="C25" s="28"/>
      <c r="D25" s="28"/>
      <c r="E25" s="28"/>
      <c r="F25" s="28"/>
      <c r="G25" s="28" t="str">
        <f>G21</f>
        <v>HETC</v>
      </c>
      <c r="H25" s="28"/>
      <c r="I25" s="28"/>
      <c r="J25" s="28"/>
      <c r="K25" s="280"/>
      <c r="L25" s="29"/>
      <c r="M25" s="29">
        <f>M21</f>
        <v>0.11235955056179776</v>
      </c>
      <c r="N25" s="28"/>
      <c r="O25" s="28"/>
      <c r="P25" s="28"/>
      <c r="Q25" s="28"/>
      <c r="R25" s="28"/>
      <c r="S25" s="28"/>
      <c r="T25" s="28"/>
      <c r="U25" s="28"/>
      <c r="V25" s="28"/>
      <c r="Y25" s="186" t="s">
        <v>264</v>
      </c>
      <c r="Z25" s="185"/>
      <c r="AA25" s="185"/>
      <c r="AB25" s="185"/>
      <c r="AC25" s="185"/>
      <c r="AD25" s="185"/>
      <c r="AE25" s="185"/>
      <c r="AF25" s="185"/>
      <c r="AG25" s="185"/>
      <c r="AH25" s="185"/>
      <c r="AI25" s="183"/>
      <c r="AJ25" s="225"/>
    </row>
    <row r="26" spans="2:36">
      <c r="B26" s="69" t="s">
        <v>390</v>
      </c>
      <c r="C26" s="69" t="s">
        <v>391</v>
      </c>
      <c r="D26" s="69" t="s">
        <v>379</v>
      </c>
      <c r="F26" s="211" t="s">
        <v>380</v>
      </c>
      <c r="H26" s="69">
        <v>2015</v>
      </c>
      <c r="I26" s="69" t="s">
        <v>70</v>
      </c>
      <c r="J26" s="69">
        <v>2015</v>
      </c>
      <c r="K26" s="242">
        <f>K22</f>
        <v>1.6792452830188678</v>
      </c>
      <c r="L26" s="141"/>
      <c r="M26" s="141"/>
      <c r="N26" s="281">
        <v>25</v>
      </c>
      <c r="O26" s="141">
        <v>8.1103680000000011</v>
      </c>
      <c r="P26" s="141">
        <v>0.32441471999999999</v>
      </c>
      <c r="Q26" s="141">
        <v>1.0728</v>
      </c>
      <c r="R26" s="141">
        <v>0.92153846153846153</v>
      </c>
      <c r="S26" s="69">
        <v>3.1536000000000002E-2</v>
      </c>
      <c r="T26" s="282">
        <v>1</v>
      </c>
      <c r="V26" s="69" t="s">
        <v>267</v>
      </c>
      <c r="Y26" s="180" t="s">
        <v>392</v>
      </c>
      <c r="Z26" s="201">
        <v>1.0886400000000001</v>
      </c>
      <c r="AA26" s="201">
        <v>0.90720000000000001</v>
      </c>
      <c r="AB26" s="201">
        <v>0.75600000000000012</v>
      </c>
      <c r="AC26" s="201">
        <v>0.60480000000000012</v>
      </c>
      <c r="AD26" s="201">
        <v>0.4536</v>
      </c>
      <c r="AE26" s="179">
        <v>0.5</v>
      </c>
      <c r="AF26" s="179">
        <v>1.5</v>
      </c>
      <c r="AG26" s="179">
        <v>0.5</v>
      </c>
      <c r="AH26" s="179">
        <v>1.5</v>
      </c>
      <c r="AI26" s="178" t="s">
        <v>393</v>
      </c>
      <c r="AJ26" s="178">
        <v>1</v>
      </c>
    </row>
    <row r="27" spans="2:36" ht="14.4">
      <c r="B27" s="259"/>
      <c r="C27" s="259"/>
      <c r="D27" s="259"/>
      <c r="E27" s="259" t="s">
        <v>348</v>
      </c>
      <c r="F27" s="259"/>
      <c r="G27" s="259"/>
      <c r="H27" s="259"/>
      <c r="I27" s="259"/>
      <c r="J27" s="259"/>
      <c r="K27" s="283"/>
      <c r="L27" s="284">
        <v>0.5168539325842697</v>
      </c>
      <c r="M27" s="284"/>
      <c r="N27" s="285"/>
      <c r="O27" s="284"/>
      <c r="P27" s="284"/>
      <c r="Q27" s="284"/>
      <c r="R27" s="284"/>
      <c r="T27" s="282"/>
      <c r="Y27" s="162" t="s">
        <v>394</v>
      </c>
      <c r="Z27" s="162">
        <v>75</v>
      </c>
      <c r="AA27" s="162">
        <v>75</v>
      </c>
      <c r="AB27" s="162">
        <v>75</v>
      </c>
      <c r="AC27" s="162">
        <v>75</v>
      </c>
      <c r="AD27" s="162">
        <v>75</v>
      </c>
      <c r="AE27" s="167"/>
      <c r="AF27" s="167"/>
      <c r="AG27" s="167"/>
      <c r="AH27" s="167"/>
      <c r="AI27" s="161"/>
      <c r="AJ27" s="161"/>
    </row>
    <row r="28" spans="2:36" ht="14.4">
      <c r="B28" s="259"/>
      <c r="C28" s="259"/>
      <c r="D28" s="259"/>
      <c r="E28" s="259" t="s">
        <v>71</v>
      </c>
      <c r="F28" s="259"/>
      <c r="G28" s="259"/>
      <c r="H28" s="259"/>
      <c r="I28" s="259"/>
      <c r="J28" s="259"/>
      <c r="K28" s="283"/>
      <c r="L28" s="284">
        <v>1.1235955056179775E-2</v>
      </c>
      <c r="M28" s="284"/>
      <c r="N28" s="285"/>
      <c r="O28" s="284"/>
      <c r="P28" s="284"/>
      <c r="Q28" s="284"/>
      <c r="R28" s="284"/>
      <c r="T28" s="282"/>
      <c r="Y28" s="162" t="s">
        <v>251</v>
      </c>
      <c r="Z28" s="163">
        <v>25</v>
      </c>
      <c r="AA28" s="162">
        <v>25</v>
      </c>
      <c r="AB28" s="162">
        <v>25</v>
      </c>
      <c r="AC28" s="162">
        <v>25</v>
      </c>
      <c r="AD28" s="162">
        <v>25</v>
      </c>
      <c r="AE28" s="167"/>
      <c r="AF28" s="167"/>
      <c r="AG28" s="167"/>
      <c r="AH28" s="167"/>
      <c r="AI28" s="161"/>
      <c r="AJ28" s="161"/>
    </row>
    <row r="29" spans="2:36">
      <c r="G29" s="69" t="s">
        <v>259</v>
      </c>
      <c r="K29" s="242"/>
      <c r="L29" s="141"/>
      <c r="M29" s="141">
        <v>0.11235955056179776</v>
      </c>
      <c r="N29" s="281"/>
      <c r="O29" s="141"/>
      <c r="P29" s="141"/>
      <c r="Q29" s="141"/>
      <c r="R29" s="141"/>
      <c r="T29" s="282"/>
      <c r="Y29" s="162" t="s">
        <v>395</v>
      </c>
      <c r="Z29" s="286">
        <v>4.3545599999999997E-2</v>
      </c>
      <c r="AA29" s="168">
        <v>3.6288000000000001E-2</v>
      </c>
      <c r="AB29" s="168">
        <v>3.0240000000000006E-2</v>
      </c>
      <c r="AC29" s="168">
        <v>2.4192000000000005E-2</v>
      </c>
      <c r="AD29" s="168">
        <v>1.8144E-2</v>
      </c>
      <c r="AE29" s="167">
        <v>0.9</v>
      </c>
      <c r="AF29" s="167">
        <v>1.1000000000000001</v>
      </c>
      <c r="AG29" s="167">
        <v>0.9</v>
      </c>
      <c r="AH29" s="167">
        <v>1.1000000000000001</v>
      </c>
      <c r="AI29" s="161"/>
      <c r="AJ29" s="161">
        <v>1</v>
      </c>
    </row>
    <row r="30" spans="2:36">
      <c r="C30" s="142"/>
      <c r="D30" s="142" t="s">
        <v>379</v>
      </c>
      <c r="E30" s="142"/>
      <c r="F30" s="287" t="str">
        <f>F26</f>
        <v>SNE</v>
      </c>
      <c r="G30" s="142"/>
      <c r="H30" s="142">
        <v>2020</v>
      </c>
      <c r="I30" s="142" t="s">
        <v>70</v>
      </c>
      <c r="J30" s="142"/>
      <c r="K30" s="255">
        <f>K26</f>
        <v>1.6792452830188678</v>
      </c>
      <c r="L30" s="254"/>
      <c r="M30" s="254"/>
      <c r="N30" s="288">
        <v>25</v>
      </c>
      <c r="O30" s="254">
        <v>6.7586400000000006</v>
      </c>
      <c r="P30" s="254">
        <v>0.27034560000000002</v>
      </c>
      <c r="Q30" s="254">
        <v>0.89400000000000002</v>
      </c>
      <c r="R30" s="254">
        <v>0.92153846153846153</v>
      </c>
      <c r="S30" s="142">
        <v>3.1536000000000002E-2</v>
      </c>
      <c r="T30" s="289">
        <v>1</v>
      </c>
      <c r="U30" s="142"/>
      <c r="V30" s="142"/>
      <c r="Y30" s="162" t="s">
        <v>396</v>
      </c>
      <c r="Z30" s="197">
        <v>5.1840000000000002</v>
      </c>
      <c r="AA30" s="197">
        <v>4.32</v>
      </c>
      <c r="AB30" s="197">
        <v>3.6000000000000005</v>
      </c>
      <c r="AC30" s="197">
        <v>2.8800000000000003</v>
      </c>
      <c r="AD30" s="197">
        <v>2.16</v>
      </c>
      <c r="AE30" s="167">
        <v>0.9</v>
      </c>
      <c r="AF30" s="167">
        <v>1.1000000000000001</v>
      </c>
      <c r="AG30" s="167">
        <v>0.9</v>
      </c>
      <c r="AH30" s="167">
        <v>1.1000000000000001</v>
      </c>
      <c r="AI30" s="161"/>
      <c r="AJ30" s="161">
        <v>1</v>
      </c>
    </row>
    <row r="31" spans="2:36">
      <c r="E31" s="69" t="str">
        <f>E27</f>
        <v>H2GD</v>
      </c>
      <c r="K31" s="242"/>
      <c r="L31" s="141">
        <v>0.5168539325842697</v>
      </c>
      <c r="M31" s="141"/>
      <c r="N31" s="281"/>
      <c r="O31" s="141"/>
      <c r="P31" s="141"/>
      <c r="Q31" s="141"/>
      <c r="R31" s="141"/>
      <c r="T31" s="282"/>
      <c r="Y31" s="190" t="s">
        <v>397</v>
      </c>
      <c r="Z31" s="190">
        <v>0</v>
      </c>
      <c r="AA31" s="190">
        <v>0</v>
      </c>
      <c r="AB31" s="190">
        <v>0</v>
      </c>
      <c r="AC31" s="190">
        <v>0</v>
      </c>
      <c r="AD31" s="190">
        <v>0</v>
      </c>
      <c r="AE31" s="189"/>
      <c r="AF31" s="189"/>
      <c r="AG31" s="189"/>
      <c r="AH31" s="189"/>
      <c r="AI31" s="188"/>
      <c r="AJ31" s="188"/>
    </row>
    <row r="32" spans="2:36">
      <c r="E32" s="69" t="s">
        <v>71</v>
      </c>
      <c r="K32" s="242"/>
      <c r="L32" s="141">
        <v>1.1235955056179775E-2</v>
      </c>
      <c r="M32" s="141"/>
      <c r="N32" s="281"/>
      <c r="O32" s="141"/>
      <c r="P32" s="141"/>
      <c r="Q32" s="141"/>
      <c r="R32" s="141"/>
      <c r="T32" s="282"/>
      <c r="Y32" s="186" t="s">
        <v>260</v>
      </c>
      <c r="Z32" s="185"/>
      <c r="AA32" s="185"/>
      <c r="AB32" s="185"/>
      <c r="AC32" s="185"/>
      <c r="AD32" s="185"/>
      <c r="AE32" s="184"/>
      <c r="AF32" s="184"/>
      <c r="AG32" s="184"/>
      <c r="AH32" s="184"/>
      <c r="AI32" s="183"/>
      <c r="AJ32" s="225"/>
    </row>
    <row r="33" spans="2:36">
      <c r="G33" s="69" t="str">
        <f>G29</f>
        <v>HETD</v>
      </c>
      <c r="K33" s="242"/>
      <c r="L33" s="141"/>
      <c r="M33" s="141">
        <v>0.11235955056179776</v>
      </c>
      <c r="N33" s="281"/>
      <c r="O33" s="141"/>
      <c r="P33" s="141"/>
      <c r="Q33" s="141"/>
      <c r="R33" s="141"/>
      <c r="T33" s="282"/>
      <c r="Y33" s="180" t="s">
        <v>398</v>
      </c>
      <c r="Z33" s="180">
        <v>50.7</v>
      </c>
      <c r="AA33" s="180">
        <v>50.7</v>
      </c>
      <c r="AB33" s="180">
        <v>50.7</v>
      </c>
      <c r="AC33" s="180">
        <v>50.7</v>
      </c>
      <c r="AD33" s="180">
        <v>50.7</v>
      </c>
      <c r="AE33" s="179"/>
      <c r="AF33" s="179"/>
      <c r="AG33" s="179"/>
      <c r="AH33" s="179"/>
      <c r="AI33" s="178"/>
      <c r="AJ33" s="178"/>
    </row>
    <row r="34" spans="2:36">
      <c r="C34" s="142"/>
      <c r="D34" s="142" t="s">
        <v>379</v>
      </c>
      <c r="E34" s="142"/>
      <c r="F34" s="287" t="str">
        <f>F30</f>
        <v>SNE</v>
      </c>
      <c r="G34" s="142"/>
      <c r="H34" s="142">
        <v>2030</v>
      </c>
      <c r="I34" s="142" t="s">
        <v>70</v>
      </c>
      <c r="J34" s="142"/>
      <c r="K34" s="255">
        <f>K30</f>
        <v>1.6792452830188678</v>
      </c>
      <c r="L34" s="254"/>
      <c r="M34" s="254"/>
      <c r="N34" s="288">
        <v>25</v>
      </c>
      <c r="O34" s="254">
        <v>5.632200000000001</v>
      </c>
      <c r="P34" s="254">
        <v>0.22528800000000004</v>
      </c>
      <c r="Q34" s="254">
        <v>0.74500000000000011</v>
      </c>
      <c r="R34" s="254">
        <v>0.96150000000000002</v>
      </c>
      <c r="S34" s="142">
        <v>3.1536000000000002E-2</v>
      </c>
      <c r="T34" s="289">
        <v>1</v>
      </c>
      <c r="U34" s="142"/>
      <c r="V34" s="142"/>
      <c r="Y34" s="162" t="s">
        <v>399</v>
      </c>
      <c r="Z34" s="162">
        <v>3.5999999999999997E-2</v>
      </c>
      <c r="AA34" s="162">
        <v>0.03</v>
      </c>
      <c r="AB34" s="162">
        <v>2.5000000000000001E-2</v>
      </c>
      <c r="AC34" s="162">
        <v>0.02</v>
      </c>
      <c r="AD34" s="162">
        <v>1.4999999999999999E-2</v>
      </c>
      <c r="AE34" s="167">
        <v>0.5</v>
      </c>
      <c r="AF34" s="167">
        <v>1.5</v>
      </c>
      <c r="AG34" s="167">
        <v>0.5</v>
      </c>
      <c r="AH34" s="167">
        <v>1.5</v>
      </c>
      <c r="AI34" s="161" t="s">
        <v>393</v>
      </c>
      <c r="AJ34" s="161">
        <v>1</v>
      </c>
    </row>
    <row r="35" spans="2:36">
      <c r="E35" s="69" t="str">
        <f>E31</f>
        <v>H2GD</v>
      </c>
      <c r="K35" s="242"/>
      <c r="L35" s="141">
        <v>0.5168539325842697</v>
      </c>
      <c r="M35" s="141"/>
      <c r="N35" s="281"/>
      <c r="O35" s="141"/>
      <c r="P35" s="141"/>
      <c r="Q35" s="141"/>
      <c r="R35" s="141"/>
      <c r="T35" s="282"/>
      <c r="Y35" s="162" t="s">
        <v>394</v>
      </c>
      <c r="Z35" s="162">
        <v>75</v>
      </c>
      <c r="AA35" s="162">
        <v>75</v>
      </c>
      <c r="AB35" s="162">
        <v>75</v>
      </c>
      <c r="AC35" s="162">
        <v>75</v>
      </c>
      <c r="AD35" s="162">
        <v>75</v>
      </c>
      <c r="AE35" s="167"/>
      <c r="AF35" s="167"/>
      <c r="AG35" s="167"/>
      <c r="AH35" s="167"/>
      <c r="AI35" s="161"/>
      <c r="AJ35" s="161"/>
    </row>
    <row r="36" spans="2:36">
      <c r="E36" s="69" t="s">
        <v>71</v>
      </c>
      <c r="K36" s="242"/>
      <c r="L36" s="141">
        <v>1.1235955056179775E-2</v>
      </c>
      <c r="M36" s="141"/>
      <c r="N36" s="281"/>
      <c r="O36" s="141"/>
      <c r="P36" s="141"/>
      <c r="Q36" s="141"/>
      <c r="R36" s="141"/>
      <c r="T36" s="282"/>
      <c r="Y36" s="162" t="s">
        <v>251</v>
      </c>
      <c r="Z36" s="163">
        <v>25</v>
      </c>
      <c r="AA36" s="162">
        <v>25</v>
      </c>
      <c r="AB36" s="162">
        <v>25</v>
      </c>
      <c r="AC36" s="162">
        <v>25</v>
      </c>
      <c r="AD36" s="162">
        <v>25</v>
      </c>
      <c r="AE36" s="167"/>
      <c r="AF36" s="167"/>
      <c r="AG36" s="167"/>
      <c r="AH36" s="167"/>
      <c r="AI36" s="161"/>
      <c r="AJ36" s="161"/>
    </row>
    <row r="37" spans="2:36">
      <c r="G37" s="69" t="str">
        <f>G33</f>
        <v>HETD</v>
      </c>
      <c r="K37" s="242"/>
      <c r="L37" s="141"/>
      <c r="M37" s="141">
        <v>0.11235955056179776</v>
      </c>
      <c r="N37" s="281"/>
      <c r="O37" s="141"/>
      <c r="P37" s="141"/>
      <c r="Q37" s="141"/>
      <c r="R37" s="141"/>
      <c r="T37" s="282"/>
      <c r="Y37" s="162" t="s">
        <v>400</v>
      </c>
      <c r="Z37" s="290">
        <v>0.14399999999999999</v>
      </c>
      <c r="AA37" s="197">
        <v>0.12</v>
      </c>
      <c r="AB37" s="197">
        <v>0.1</v>
      </c>
      <c r="AC37" s="197">
        <v>0.08</v>
      </c>
      <c r="AD37" s="197">
        <v>0.06</v>
      </c>
      <c r="AE37" s="167">
        <v>0.9</v>
      </c>
      <c r="AF37" s="167">
        <v>1.1000000000000001</v>
      </c>
      <c r="AG37" s="167">
        <v>0.9</v>
      </c>
      <c r="AH37" s="167">
        <v>1.1000000000000001</v>
      </c>
      <c r="AI37" s="161"/>
      <c r="AJ37" s="161">
        <v>1</v>
      </c>
    </row>
    <row r="38" spans="2:36">
      <c r="C38" s="142"/>
      <c r="D38" s="142" t="s">
        <v>379</v>
      </c>
      <c r="E38" s="142"/>
      <c r="F38" s="287" t="str">
        <f>F34</f>
        <v>SNE</v>
      </c>
      <c r="G38" s="142"/>
      <c r="H38" s="142">
        <v>2040</v>
      </c>
      <c r="I38" s="142" t="s">
        <v>70</v>
      </c>
      <c r="J38" s="142"/>
      <c r="K38" s="255">
        <f>K34</f>
        <v>1.6792452830188678</v>
      </c>
      <c r="L38" s="254"/>
      <c r="M38" s="254"/>
      <c r="N38" s="288">
        <v>25</v>
      </c>
      <c r="O38" s="254">
        <v>4.5057600000000013</v>
      </c>
      <c r="P38" s="254">
        <v>0.18023040000000004</v>
      </c>
      <c r="Q38" s="254">
        <v>0.59599999999999997</v>
      </c>
      <c r="R38" s="254">
        <v>0.96150000000000002</v>
      </c>
      <c r="S38" s="142">
        <v>3.1536000000000002E-2</v>
      </c>
      <c r="T38" s="289">
        <v>1</v>
      </c>
      <c r="U38" s="142"/>
      <c r="V38" s="142"/>
      <c r="Y38" s="162" t="s">
        <v>401</v>
      </c>
      <c r="Z38" s="197">
        <v>0.14399999999999999</v>
      </c>
      <c r="AA38" s="197">
        <v>0.12</v>
      </c>
      <c r="AB38" s="197">
        <v>0.1</v>
      </c>
      <c r="AC38" s="197">
        <v>0.08</v>
      </c>
      <c r="AD38" s="197">
        <v>0.06</v>
      </c>
      <c r="AE38" s="167">
        <v>0.9</v>
      </c>
      <c r="AF38" s="167">
        <v>1.1000000000000001</v>
      </c>
      <c r="AG38" s="167">
        <v>0.9</v>
      </c>
      <c r="AH38" s="167">
        <v>1.1000000000000001</v>
      </c>
      <c r="AI38" s="161"/>
      <c r="AJ38" s="161">
        <v>1</v>
      </c>
    </row>
    <row r="39" spans="2:36">
      <c r="E39" s="69" t="str">
        <f>E35</f>
        <v>H2GD</v>
      </c>
      <c r="K39" s="242"/>
      <c r="L39" s="141">
        <v>0.5168539325842697</v>
      </c>
      <c r="M39" s="141"/>
      <c r="N39" s="281"/>
      <c r="O39" s="141"/>
      <c r="P39" s="141"/>
      <c r="Q39" s="141"/>
      <c r="R39" s="141"/>
      <c r="T39" s="282"/>
      <c r="Y39" s="162" t="s">
        <v>397</v>
      </c>
      <c r="Z39" s="162">
        <v>0</v>
      </c>
      <c r="AA39" s="162">
        <v>0</v>
      </c>
      <c r="AB39" s="162">
        <v>0</v>
      </c>
      <c r="AC39" s="162">
        <v>0</v>
      </c>
      <c r="AD39" s="162">
        <v>0</v>
      </c>
      <c r="AE39" s="205"/>
      <c r="AF39" s="205"/>
      <c r="AG39" s="205"/>
      <c r="AH39" s="205"/>
      <c r="AI39" s="161"/>
      <c r="AJ39" s="161"/>
    </row>
    <row r="40" spans="2:36">
      <c r="E40" s="69" t="s">
        <v>71</v>
      </c>
      <c r="K40" s="242"/>
      <c r="L40" s="141">
        <v>1.1235955056179775E-2</v>
      </c>
      <c r="M40" s="141"/>
      <c r="N40" s="281"/>
      <c r="O40" s="141"/>
      <c r="P40" s="141"/>
      <c r="Q40" s="141"/>
      <c r="R40" s="141"/>
      <c r="T40" s="282"/>
    </row>
    <row r="41" spans="2:36">
      <c r="G41" s="69" t="str">
        <f>G37</f>
        <v>HETD</v>
      </c>
      <c r="K41" s="242"/>
      <c r="L41" s="141"/>
      <c r="M41" s="141">
        <v>0.11235955056179776</v>
      </c>
      <c r="N41" s="281"/>
      <c r="O41" s="141"/>
      <c r="P41" s="141"/>
      <c r="Q41" s="141"/>
      <c r="R41" s="141"/>
      <c r="T41" s="282"/>
    </row>
    <row r="42" spans="2:36">
      <c r="C42" s="142"/>
      <c r="D42" s="142" t="s">
        <v>379</v>
      </c>
      <c r="E42" s="142"/>
      <c r="F42" s="287" t="str">
        <f>F38</f>
        <v>SNE</v>
      </c>
      <c r="G42" s="142"/>
      <c r="H42" s="142">
        <v>2050</v>
      </c>
      <c r="I42" s="142" t="s">
        <v>70</v>
      </c>
      <c r="J42" s="142"/>
      <c r="K42" s="255">
        <f>K38</f>
        <v>1.6792452830188678</v>
      </c>
      <c r="L42" s="254"/>
      <c r="M42" s="254"/>
      <c r="N42" s="288">
        <v>25</v>
      </c>
      <c r="O42" s="254">
        <v>3.3793200000000003</v>
      </c>
      <c r="P42" s="254">
        <v>0.13517280000000001</v>
      </c>
      <c r="Q42" s="254">
        <v>0.44700000000000001</v>
      </c>
      <c r="R42" s="254">
        <v>0.96150000000000002</v>
      </c>
      <c r="S42" s="142">
        <v>3.1536000000000002E-2</v>
      </c>
      <c r="T42" s="289">
        <v>1</v>
      </c>
      <c r="U42" s="142"/>
      <c r="V42" s="142"/>
    </row>
    <row r="43" spans="2:36">
      <c r="E43" s="69" t="str">
        <f>E39</f>
        <v>H2GD</v>
      </c>
      <c r="K43" s="242"/>
      <c r="L43" s="141">
        <v>0.5168539325842697</v>
      </c>
      <c r="M43" s="141"/>
      <c r="N43" s="141"/>
      <c r="O43" s="141"/>
      <c r="P43" s="141"/>
      <c r="Q43" s="141"/>
      <c r="R43" s="141"/>
    </row>
    <row r="44" spans="2:36">
      <c r="E44" s="69" t="s">
        <v>71</v>
      </c>
      <c r="K44" s="242"/>
      <c r="L44" s="141">
        <v>1.1235955056179775E-2</v>
      </c>
      <c r="M44" s="141"/>
      <c r="N44" s="141"/>
      <c r="O44" s="141"/>
      <c r="P44" s="141"/>
      <c r="Q44" s="141"/>
      <c r="R44" s="141"/>
    </row>
    <row r="45" spans="2:36">
      <c r="B45" s="70"/>
      <c r="C45" s="70"/>
      <c r="D45" s="70"/>
      <c r="E45" s="70"/>
      <c r="F45" s="70"/>
      <c r="G45" s="70" t="str">
        <f>G41</f>
        <v>HETD</v>
      </c>
      <c r="H45" s="70"/>
      <c r="I45" s="70"/>
      <c r="J45" s="70"/>
      <c r="K45" s="253"/>
      <c r="L45" s="150"/>
      <c r="M45" s="150">
        <v>0.11235955056179776</v>
      </c>
      <c r="N45" s="150"/>
      <c r="O45" s="150"/>
      <c r="P45" s="150"/>
      <c r="Q45" s="150"/>
      <c r="R45" s="150"/>
      <c r="S45" s="70"/>
      <c r="T45" s="70"/>
      <c r="U45" s="70"/>
      <c r="V45" s="70"/>
      <c r="W45" s="70"/>
      <c r="X45" s="70"/>
    </row>
    <row r="46" spans="2:36">
      <c r="K46" s="242"/>
      <c r="L46" s="141"/>
      <c r="M46" s="141"/>
      <c r="N46" s="141"/>
      <c r="O46" s="141"/>
      <c r="P46" s="141"/>
      <c r="Q46" s="141"/>
      <c r="R46" s="141"/>
    </row>
    <row r="47" spans="2:36">
      <c r="K47" s="242"/>
      <c r="L47" s="141"/>
      <c r="M47" s="141"/>
      <c r="N47" s="141"/>
      <c r="O47" s="141"/>
      <c r="P47" s="141"/>
      <c r="Q47" s="141"/>
      <c r="R47" s="141"/>
    </row>
    <row r="48" spans="2:36">
      <c r="K48" s="242"/>
      <c r="L48" s="141"/>
      <c r="M48" s="141"/>
      <c r="N48" s="141"/>
      <c r="O48" s="141"/>
      <c r="P48" s="141"/>
      <c r="Q48" s="141"/>
      <c r="R48" s="141"/>
    </row>
    <row r="49" spans="2:23">
      <c r="K49" s="242"/>
      <c r="L49" s="141"/>
      <c r="M49" s="141"/>
      <c r="N49" s="141"/>
      <c r="O49" s="141"/>
      <c r="P49" s="141"/>
      <c r="Q49" s="141"/>
      <c r="R49" s="141"/>
    </row>
    <row r="50" spans="2:23">
      <c r="K50" s="242"/>
      <c r="L50" s="141"/>
      <c r="M50" s="141"/>
      <c r="N50" s="141"/>
      <c r="O50" s="141"/>
      <c r="P50" s="141"/>
      <c r="Q50" s="141"/>
      <c r="R50" s="141"/>
    </row>
    <row r="51" spans="2:23">
      <c r="K51" s="242"/>
      <c r="L51" s="141"/>
      <c r="M51" s="141"/>
      <c r="N51" s="141"/>
      <c r="O51" s="141"/>
      <c r="P51" s="141"/>
      <c r="Q51" s="141"/>
      <c r="R51" s="141"/>
    </row>
    <row r="52" spans="2:23">
      <c r="K52" s="242"/>
      <c r="L52" s="141"/>
      <c r="M52" s="141"/>
      <c r="N52" s="141"/>
      <c r="O52" s="141"/>
      <c r="P52" s="141"/>
      <c r="Q52" s="141"/>
      <c r="R52" s="141"/>
    </row>
    <row r="53" spans="2:23">
      <c r="I53" s="291" t="s">
        <v>0</v>
      </c>
    </row>
    <row r="54" spans="2:23" ht="14.4">
      <c r="B54" s="73" t="s">
        <v>2</v>
      </c>
      <c r="C54" s="73" t="s">
        <v>11</v>
      </c>
      <c r="D54" s="73" t="s">
        <v>189</v>
      </c>
      <c r="E54" s="73" t="s">
        <v>32</v>
      </c>
      <c r="F54" s="73" t="s">
        <v>33</v>
      </c>
      <c r="G54" s="73" t="s">
        <v>3</v>
      </c>
      <c r="H54" s="73" t="s">
        <v>34</v>
      </c>
      <c r="I54" s="73" t="s">
        <v>35</v>
      </c>
      <c r="J54" s="73" t="s">
        <v>402</v>
      </c>
      <c r="K54" s="73" t="s">
        <v>188</v>
      </c>
      <c r="L54" s="73" t="s">
        <v>239</v>
      </c>
      <c r="M54" s="73" t="s">
        <v>5</v>
      </c>
      <c r="N54" s="73" t="s">
        <v>403</v>
      </c>
      <c r="O54" s="73" t="s">
        <v>404</v>
      </c>
      <c r="P54" s="73" t="s">
        <v>405</v>
      </c>
      <c r="Q54" s="73" t="s">
        <v>186</v>
      </c>
      <c r="R54" s="73" t="s">
        <v>6</v>
      </c>
      <c r="S54" s="73" t="s">
        <v>7</v>
      </c>
      <c r="T54" s="73" t="s">
        <v>8</v>
      </c>
      <c r="U54" s="292" t="s">
        <v>9</v>
      </c>
      <c r="V54" s="73" t="s">
        <v>1442</v>
      </c>
      <c r="W54" s="11" t="s">
        <v>41</v>
      </c>
    </row>
    <row r="55" spans="2:23" ht="58.2" thickBot="1">
      <c r="B55" s="293" t="s">
        <v>184</v>
      </c>
      <c r="C55" s="293" t="s">
        <v>19</v>
      </c>
      <c r="D55" s="293" t="s">
        <v>182</v>
      </c>
      <c r="E55" s="293" t="s">
        <v>183</v>
      </c>
      <c r="F55" s="293" t="s">
        <v>234</v>
      </c>
      <c r="G55" s="293" t="s">
        <v>181</v>
      </c>
      <c r="H55" s="293" t="s">
        <v>46</v>
      </c>
      <c r="I55" s="293" t="s">
        <v>406</v>
      </c>
      <c r="J55" s="293" t="s">
        <v>233</v>
      </c>
      <c r="K55" s="293" t="s">
        <v>180</v>
      </c>
      <c r="L55" s="293" t="s">
        <v>232</v>
      </c>
      <c r="M55" s="293" t="s">
        <v>407</v>
      </c>
      <c r="N55" s="293" t="s">
        <v>408</v>
      </c>
      <c r="O55" s="293" t="s">
        <v>408</v>
      </c>
      <c r="P55" s="293" t="s">
        <v>408</v>
      </c>
      <c r="Q55" s="293" t="s">
        <v>178</v>
      </c>
      <c r="R55" s="293" t="s">
        <v>175</v>
      </c>
      <c r="S55" s="293" t="s">
        <v>174</v>
      </c>
      <c r="T55" s="293" t="s">
        <v>173</v>
      </c>
      <c r="U55" s="294" t="s">
        <v>409</v>
      </c>
      <c r="V55" s="293" t="s">
        <v>67</v>
      </c>
      <c r="W55" s="13" t="s">
        <v>56</v>
      </c>
    </row>
    <row r="56" spans="2:23" ht="15" thickBot="1">
      <c r="B56" s="295" t="s">
        <v>410</v>
      </c>
      <c r="C56" s="295"/>
      <c r="D56" s="295"/>
      <c r="E56" s="295"/>
      <c r="F56" s="295"/>
      <c r="G56" s="295"/>
      <c r="H56" s="295"/>
      <c r="I56" s="295" t="s">
        <v>158</v>
      </c>
      <c r="J56" s="295" t="s">
        <v>411</v>
      </c>
      <c r="K56" s="295" t="s">
        <v>412</v>
      </c>
      <c r="L56" s="295" t="s">
        <v>413</v>
      </c>
      <c r="M56" s="295" t="s">
        <v>158</v>
      </c>
      <c r="N56" s="295"/>
      <c r="O56" s="295"/>
      <c r="P56" s="295"/>
      <c r="Q56" s="295"/>
      <c r="R56" s="295" t="s">
        <v>414</v>
      </c>
      <c r="S56" s="295" t="s">
        <v>414</v>
      </c>
      <c r="T56" s="295"/>
      <c r="U56" s="296" t="s">
        <v>330</v>
      </c>
      <c r="V56" s="295" t="s">
        <v>165</v>
      </c>
      <c r="W56" s="15"/>
    </row>
    <row r="57" spans="2:23" ht="14.4">
      <c r="B57" s="69" t="s">
        <v>415</v>
      </c>
      <c r="C57" s="69" t="s">
        <v>416</v>
      </c>
      <c r="E57" s="69" t="s">
        <v>379</v>
      </c>
      <c r="G57" s="69" t="s">
        <v>88</v>
      </c>
      <c r="H57" s="297" t="s">
        <v>70</v>
      </c>
      <c r="I57" s="69">
        <f>'82 Biogas, upgrading'!$C$4</f>
        <v>2015</v>
      </c>
      <c r="J57" s="69">
        <f>'82 Biogas, upgrading'!$C$17</f>
        <v>0.99</v>
      </c>
      <c r="M57" s="69">
        <f>'82 Biogas, upgrading'!$C$23</f>
        <v>15</v>
      </c>
      <c r="Q57" s="141">
        <f>(8760-('82 Biogas, upgrading'!$C$21+'82 Biogas, upgrading'!$C$22)*7*24)/8760</f>
        <v>0.9616438356164384</v>
      </c>
      <c r="R57" s="69">
        <f>SUM('82 Biogas, upgrading'!$C$27:$C$28)/1000000*7.45</f>
        <v>3.4940499999999997</v>
      </c>
      <c r="S57" s="141">
        <f>'82 Biogas, upgrading'!$C$30/1000000*7.45</f>
        <v>8.7910000000000002E-2</v>
      </c>
      <c r="U57" s="298">
        <f>SUP_Biogas!U31</f>
        <v>3.1536000000000002E-2</v>
      </c>
      <c r="V57" s="69">
        <v>0.5</v>
      </c>
      <c r="W57" s="69" t="s">
        <v>267</v>
      </c>
    </row>
    <row r="58" spans="2:23">
      <c r="D58" s="69" t="s">
        <v>71</v>
      </c>
      <c r="K58" s="69">
        <f>SUM('82 Biogas, upgrading'!$C$12:$C$13)*'82 Biogas, upgrading'!$C$17</f>
        <v>5.2627883650952868E-2</v>
      </c>
      <c r="S58" s="141"/>
    </row>
    <row r="59" spans="2:23">
      <c r="F59" s="69" t="s">
        <v>216</v>
      </c>
      <c r="L59" s="69">
        <f>'82 Biogas, upgrading'!$C$19</f>
        <v>5.2999999999999999E-2</v>
      </c>
      <c r="S59" s="141"/>
    </row>
    <row r="60" spans="2:23" ht="13.8">
      <c r="F60" s="7" t="s">
        <v>163</v>
      </c>
      <c r="L60" s="141">
        <f>'Data_CO2 sources DK'!I26</f>
        <v>23.545553197813064</v>
      </c>
      <c r="S60" s="141"/>
    </row>
    <row r="61" spans="2:23" ht="14.4">
      <c r="E61" s="69" t="str">
        <f>E57</f>
        <v>SUPBGA</v>
      </c>
      <c r="G61" s="69" t="s">
        <v>88</v>
      </c>
      <c r="H61" s="297" t="s">
        <v>70</v>
      </c>
      <c r="I61" s="69">
        <f>'82 Biogas, upgrading'!$D$4</f>
        <v>2020</v>
      </c>
      <c r="J61" s="69">
        <f>'82 Biogas, upgrading'!$D$17</f>
        <v>0.99</v>
      </c>
      <c r="M61" s="69">
        <f>'82 Biogas, upgrading'!$D$23</f>
        <v>15</v>
      </c>
      <c r="Q61" s="141">
        <f>(8760-('82 Biogas, upgrading'!$D$21+'82 Biogas, upgrading'!$D$22)*7*24)/8760</f>
        <v>0.9616438356164384</v>
      </c>
      <c r="R61" s="69">
        <f>SUM('82 Biogas, upgrading'!$D$27:$D$28)/1000000*7.45</f>
        <v>3.1513499999999999</v>
      </c>
      <c r="S61" s="141">
        <f>'82 Biogas, upgrading'!$D$30/1000000*7.45</f>
        <v>7.8969999999999999E-2</v>
      </c>
      <c r="U61" s="298">
        <f>U57</f>
        <v>3.1536000000000002E-2</v>
      </c>
      <c r="V61" s="69">
        <v>0.5</v>
      </c>
    </row>
    <row r="62" spans="2:23">
      <c r="D62" s="69" t="s">
        <v>71</v>
      </c>
      <c r="K62" s="69">
        <f>SUM('82 Biogas, upgrading'!$D$12:$D$13)*'82 Biogas, upgrading'!$D$17</f>
        <v>5.2627883650952868E-2</v>
      </c>
      <c r="S62" s="141"/>
    </row>
    <row r="63" spans="2:23">
      <c r="F63" s="69" t="s">
        <v>216</v>
      </c>
      <c r="L63" s="69">
        <f>'82 Biogas, upgrading'!$D$19</f>
        <v>5.2999999999999999E-2</v>
      </c>
      <c r="S63" s="141"/>
    </row>
    <row r="64" spans="2:23">
      <c r="F64" s="69" t="str">
        <f>F60</f>
        <v>BGACO2</v>
      </c>
      <c r="L64" s="141">
        <f>L60</f>
        <v>23.545553197813064</v>
      </c>
      <c r="S64" s="141"/>
    </row>
    <row r="65" spans="2:23" ht="14.4">
      <c r="E65" s="69" t="str">
        <f>E61</f>
        <v>SUPBGA</v>
      </c>
      <c r="G65" s="69" t="s">
        <v>88</v>
      </c>
      <c r="H65" s="297" t="s">
        <v>70</v>
      </c>
      <c r="I65" s="69">
        <f>'82 Biogas, upgrading'!$E$4</f>
        <v>2030</v>
      </c>
      <c r="J65" s="299">
        <f>'82 Biogas, upgrading'!$E$17</f>
        <v>1</v>
      </c>
      <c r="M65" s="69">
        <f>'82 Biogas, upgrading'!$E$23</f>
        <v>15</v>
      </c>
      <c r="Q65" s="141">
        <f>(8760-('82 Biogas, upgrading'!$E$21+'82 Biogas, upgrading'!$E$22)*7*24)/8760</f>
        <v>0.9616438356164384</v>
      </c>
      <c r="R65" s="69">
        <f>SUM('82 Biogas, upgrading'!$E$27:$E$28)/1000000*7.45</f>
        <v>2.8384499999999999</v>
      </c>
      <c r="S65" s="141">
        <f>'82 Biogas, upgrading'!$E$30/1000000*7.45</f>
        <v>7.0775000000000005E-2</v>
      </c>
      <c r="U65" s="298">
        <f>U61</f>
        <v>3.1536000000000002E-2</v>
      </c>
      <c r="V65" s="69">
        <v>0.5</v>
      </c>
    </row>
    <row r="66" spans="2:23">
      <c r="D66" s="69" t="s">
        <v>71</v>
      </c>
      <c r="K66" s="69">
        <f>SUM('82 Biogas, upgrading'!$E$12:$E$13)*'82 Biogas, upgrading'!$E$17</f>
        <v>3.159478435305918E-2</v>
      </c>
      <c r="S66" s="141"/>
    </row>
    <row r="67" spans="2:23">
      <c r="F67" s="69" t="s">
        <v>216</v>
      </c>
      <c r="L67" s="69">
        <f>'82 Biogas, upgrading'!$E$19</f>
        <v>3.2000000000000001E-2</v>
      </c>
      <c r="S67" s="141"/>
    </row>
    <row r="68" spans="2:23">
      <c r="F68" s="69" t="str">
        <f>F64</f>
        <v>BGACO2</v>
      </c>
      <c r="L68" s="141">
        <f>L64</f>
        <v>23.545553197813064</v>
      </c>
      <c r="S68" s="141"/>
    </row>
    <row r="69" spans="2:23" ht="14.4">
      <c r="E69" s="69" t="str">
        <f>E65</f>
        <v>SUPBGA</v>
      </c>
      <c r="G69" s="69" t="s">
        <v>88</v>
      </c>
      <c r="H69" s="297" t="s">
        <v>70</v>
      </c>
      <c r="I69" s="69">
        <f>'82 Biogas, upgrading'!$F$4</f>
        <v>2050</v>
      </c>
      <c r="J69" s="299">
        <f>'82 Biogas, upgrading'!$F$17</f>
        <v>1</v>
      </c>
      <c r="M69" s="69">
        <f>'82 Biogas, upgrading'!$F$23</f>
        <v>15</v>
      </c>
      <c r="Q69" s="141">
        <f>(8760-('82 Biogas, upgrading'!$F$21+'82 Biogas, upgrading'!$F$22)*7*24)/8760</f>
        <v>0.9616438356164384</v>
      </c>
      <c r="R69" s="69">
        <f>SUM('82 Biogas, upgrading'!$F$27:$F$28)/1000000*7.45</f>
        <v>2.5553500000000002</v>
      </c>
      <c r="S69" s="141">
        <f>'82 Biogas, upgrading'!$F$30/1000000*7.45</f>
        <v>6.4070000000000002E-2</v>
      </c>
      <c r="U69" s="298">
        <f>U65</f>
        <v>3.1536000000000002E-2</v>
      </c>
      <c r="V69" s="69">
        <v>0.5</v>
      </c>
    </row>
    <row r="70" spans="2:23">
      <c r="D70" s="69" t="s">
        <v>71</v>
      </c>
      <c r="K70" s="69">
        <f>SUM('82 Biogas, upgrading'!$F$12:$F$13)*'82 Biogas, upgrading'!$F$17</f>
        <v>3.159478435305918E-2</v>
      </c>
      <c r="S70" s="141"/>
    </row>
    <row r="71" spans="2:23">
      <c r="F71" s="69" t="s">
        <v>216</v>
      </c>
      <c r="L71" s="69">
        <f>'82 Biogas, upgrading'!$F$19</f>
        <v>3.2000000000000001E-2</v>
      </c>
      <c r="S71" s="141"/>
    </row>
    <row r="72" spans="2:23">
      <c r="B72" s="70"/>
      <c r="C72" s="70"/>
      <c r="D72" s="70"/>
      <c r="E72" s="70"/>
      <c r="F72" s="300" t="str">
        <f>F68</f>
        <v>BGACO2</v>
      </c>
      <c r="G72" s="70"/>
      <c r="H72" s="70"/>
      <c r="I72" s="70"/>
      <c r="J72" s="70"/>
      <c r="K72" s="70"/>
      <c r="L72" s="150">
        <f>L68</f>
        <v>23.545553197813064</v>
      </c>
      <c r="M72" s="70"/>
      <c r="N72" s="70"/>
      <c r="O72" s="70"/>
      <c r="P72" s="70"/>
      <c r="Q72" s="70"/>
      <c r="R72" s="70"/>
      <c r="S72" s="150"/>
      <c r="T72" s="70"/>
      <c r="U72" s="70"/>
      <c r="V72" s="70"/>
    </row>
    <row r="73" spans="2:23" ht="40.200000000000003">
      <c r="B73" s="69" t="s">
        <v>417</v>
      </c>
      <c r="C73" s="69" t="s">
        <v>418</v>
      </c>
      <c r="E73" s="301" t="s">
        <v>419</v>
      </c>
      <c r="G73" s="69" t="s">
        <v>88</v>
      </c>
      <c r="H73" s="297" t="s">
        <v>70</v>
      </c>
      <c r="I73" s="69">
        <f>'82 Biogas, upgrading'!$C$4</f>
        <v>2015</v>
      </c>
      <c r="J73" s="69">
        <f>'84 Gasif. CFB, Bio-SNG'!$C$9/100*'84 Gasif. CFB, Bio-SNG'!$C$13/100</f>
        <v>0.50960000000000005</v>
      </c>
      <c r="Q73" s="141">
        <f>1-('84 Gasif. CFB, Bio-SNG'!$C$16/100+'84 Gasif. CFB, Bio-SNG'!$C$17*77*24/8760)</f>
        <v>0.3371232876712329</v>
      </c>
      <c r="R73" s="69">
        <f>'84 Gasif. CFB, Bio-SNG'!$C$22*7.45</f>
        <v>29.8</v>
      </c>
      <c r="S73" s="141">
        <f>'84 Gasif. CFB, Bio-SNG'!$C$25/1000000*7.45</f>
        <v>0.59972500000000006</v>
      </c>
      <c r="U73" s="298">
        <f>SUP_Biogas!U55</f>
        <v>3.1536000000000002E-2</v>
      </c>
      <c r="V73" s="69">
        <v>2</v>
      </c>
      <c r="W73" s="69" t="s">
        <v>267</v>
      </c>
    </row>
    <row r="74" spans="2:23">
      <c r="D74" s="69" t="s">
        <v>71</v>
      </c>
      <c r="E74" s="301"/>
      <c r="K74" s="69">
        <f>('84 Gasif. CFB, Bio-SNG'!$C$10/100*'84 Gasif. CFB, Bio-SNG'!$C$13/100)/J73</f>
        <v>9.8901098901098897E-2</v>
      </c>
    </row>
    <row r="75" spans="2:23">
      <c r="E75" s="301"/>
      <c r="F75" s="69" t="s">
        <v>216</v>
      </c>
      <c r="L75" s="69">
        <f>'84 Gasif. CFB, Bio-SNG'!$C$14/100</f>
        <v>0.15</v>
      </c>
    </row>
    <row r="76" spans="2:23" ht="40.200000000000003">
      <c r="E76" s="301" t="s">
        <v>419</v>
      </c>
      <c r="G76" s="69" t="s">
        <v>88</v>
      </c>
      <c r="H76" s="297" t="s">
        <v>70</v>
      </c>
      <c r="I76" s="69">
        <f>'82 Biogas, upgrading'!$D$4</f>
        <v>2020</v>
      </c>
      <c r="J76" s="69">
        <f>'84 Gasif. CFB, Bio-SNG'!$D$9/100*'84 Gasif. CFB, Bio-SNG'!$D$13/100</f>
        <v>0.6</v>
      </c>
      <c r="Q76" s="141">
        <f>1-('84 Gasif. CFB, Bio-SNG'!$D$16/100+'84 Gasif. CFB, Bio-SNG'!$D$17*77*24/8760)</f>
        <v>0.3371232876712329</v>
      </c>
      <c r="R76" s="141">
        <f>'84 Gasif. CFB, Bio-SNG'!$D$22*7.45</f>
        <v>18.625</v>
      </c>
      <c r="S76" s="141">
        <f>'84 Gasif. CFB, Bio-SNG'!$D$25/1000000*7.45</f>
        <v>0.29948999999999998</v>
      </c>
      <c r="U76" s="298">
        <f>U73</f>
        <v>3.1536000000000002E-2</v>
      </c>
      <c r="V76" s="69">
        <v>2</v>
      </c>
    </row>
    <row r="77" spans="2:23">
      <c r="D77" s="69" t="s">
        <v>71</v>
      </c>
      <c r="E77" s="301"/>
      <c r="K77" s="69">
        <f>('84 Gasif. CFB, Bio-SNG'!$D$10/100*'84 Gasif. CFB, Bio-SNG'!$D$13/100)/J76</f>
        <v>0</v>
      </c>
      <c r="R77" s="141"/>
    </row>
    <row r="78" spans="2:23">
      <c r="E78" s="301"/>
      <c r="F78" s="69" t="s">
        <v>216</v>
      </c>
      <c r="L78" s="69">
        <f>'84 Gasif. CFB, Bio-SNG'!$D$14/100</f>
        <v>0.2</v>
      </c>
      <c r="R78" s="141"/>
    </row>
    <row r="79" spans="2:23" ht="40.200000000000003">
      <c r="E79" s="301" t="s">
        <v>419</v>
      </c>
      <c r="G79" s="69" t="s">
        <v>88</v>
      </c>
      <c r="H79" s="297" t="s">
        <v>70</v>
      </c>
      <c r="I79" s="69">
        <f>'82 Biogas, upgrading'!$E$4</f>
        <v>2030</v>
      </c>
      <c r="J79" s="69">
        <f>'84 Gasif. CFB, Bio-SNG'!$E$9/100*'84 Gasif. CFB, Bio-SNG'!$E$13/100</f>
        <v>0.63</v>
      </c>
      <c r="Q79" s="141">
        <f>1-('84 Gasif. CFB, Bio-SNG'!$E$16/100+'84 Gasif. CFB, Bio-SNG'!$E$17*77*24/8760)</f>
        <v>0.3371232876712329</v>
      </c>
      <c r="R79" s="141">
        <f>'84 Gasif. CFB, Bio-SNG'!$E$22*7.45</f>
        <v>11.920000000000002</v>
      </c>
      <c r="S79" s="141">
        <f>'84 Gasif. CFB, Bio-SNG'!$E$25/1000000*7.45</f>
        <v>0.19519</v>
      </c>
      <c r="U79" s="298">
        <f>U76</f>
        <v>3.1536000000000002E-2</v>
      </c>
      <c r="V79" s="69">
        <v>2</v>
      </c>
    </row>
    <row r="80" spans="2:23">
      <c r="D80" s="69" t="s">
        <v>71</v>
      </c>
      <c r="E80" s="301"/>
      <c r="K80" s="69">
        <f>('84 Gasif. CFB, Bio-SNG'!$E$10/100*'84 Gasif. CFB, Bio-SNG'!$E$13/100)/J79</f>
        <v>0</v>
      </c>
      <c r="R80" s="141"/>
    </row>
    <row r="81" spans="2:22">
      <c r="E81" s="301"/>
      <c r="F81" s="69" t="s">
        <v>216</v>
      </c>
      <c r="L81" s="69">
        <f>'84 Gasif. CFB, Bio-SNG'!$E$14/100</f>
        <v>0.22</v>
      </c>
      <c r="R81" s="141"/>
    </row>
    <row r="82" spans="2:22" ht="40.200000000000003">
      <c r="E82" s="301" t="s">
        <v>419</v>
      </c>
      <c r="G82" s="69" t="s">
        <v>88</v>
      </c>
      <c r="H82" s="297" t="s">
        <v>70</v>
      </c>
      <c r="I82" s="69">
        <f>'82 Biogas, upgrading'!$F$4</f>
        <v>2050</v>
      </c>
      <c r="J82" s="69">
        <f>'84 Gasif. CFB, Bio-SNG'!$F$9/100*'84 Gasif. CFB, Bio-SNG'!$F$13/100</f>
        <v>0.7</v>
      </c>
      <c r="Q82" s="141">
        <f>1-('84 Gasif. CFB, Bio-SNG'!$F$16/100+'84 Gasif. CFB, Bio-SNG'!$F$17*77*24/8760)</f>
        <v>0.3371232876712329</v>
      </c>
      <c r="R82" s="141">
        <f>'84 Gasif. CFB, Bio-SNG'!$F$22*7.45</f>
        <v>11.175000000000001</v>
      </c>
      <c r="S82" s="141">
        <f>'84 Gasif. CFB, Bio-SNG'!$F$25/1000000*7.45</f>
        <v>0.17954500000000001</v>
      </c>
      <c r="U82" s="298">
        <f>U79</f>
        <v>3.1536000000000002E-2</v>
      </c>
      <c r="V82" s="69">
        <v>2</v>
      </c>
    </row>
    <row r="83" spans="2:22">
      <c r="D83" s="69" t="s">
        <v>71</v>
      </c>
      <c r="K83" s="69">
        <f>('84 Gasif. CFB, Bio-SNG'!$F$10/100*'84 Gasif. CFB, Bio-SNG'!$F$13/100)/J82</f>
        <v>0</v>
      </c>
    </row>
    <row r="84" spans="2:22">
      <c r="B84" s="70"/>
      <c r="C84" s="70"/>
      <c r="D84" s="70"/>
      <c r="E84" s="70"/>
      <c r="F84" s="70" t="s">
        <v>216</v>
      </c>
      <c r="G84" s="70"/>
      <c r="H84" s="70"/>
      <c r="I84" s="70"/>
      <c r="J84" s="70"/>
      <c r="K84" s="70"/>
      <c r="L84" s="70">
        <f>'84 Gasif. CFB, Bio-SNG'!$F$14/100</f>
        <v>0.2</v>
      </c>
      <c r="M84" s="70"/>
      <c r="N84" s="70"/>
      <c r="O84" s="70"/>
      <c r="P84" s="70"/>
      <c r="Q84" s="70"/>
      <c r="R84" s="70"/>
      <c r="S84" s="70"/>
      <c r="T84" s="70"/>
      <c r="U84" s="70"/>
      <c r="V84" s="70"/>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1:AM73"/>
  <sheetViews>
    <sheetView tabSelected="1" topLeftCell="B1" zoomScale="80" zoomScaleNormal="80" workbookViewId="0">
      <pane xSplit="1" ySplit="7" topLeftCell="C8" activePane="bottomRight" state="frozen"/>
      <selection activeCell="K29" sqref="K29"/>
      <selection pane="topRight" activeCell="K29" sqref="K29"/>
      <selection pane="bottomLeft" activeCell="K29" sqref="K29"/>
      <selection pane="bottomRight" activeCell="F17" sqref="F17"/>
    </sheetView>
  </sheetViews>
  <sheetFormatPr defaultColWidth="9.109375" defaultRowHeight="13.2"/>
  <cols>
    <col min="1" max="1" width="2.88671875" style="69" customWidth="1"/>
    <col min="2" max="2" width="40.6640625" style="69" customWidth="1"/>
    <col min="3" max="3" width="43.88671875" style="69" bestFit="1" customWidth="1"/>
    <col min="4" max="4" width="33.6640625" style="69" bestFit="1" customWidth="1"/>
    <col min="5" max="5" width="14.6640625" style="69" bestFit="1" customWidth="1"/>
    <col min="6" max="6" width="67.33203125" style="69" bestFit="1" customWidth="1"/>
    <col min="7" max="8" width="15.88671875" style="69" customWidth="1"/>
    <col min="9" max="9" width="16.44140625" style="69" bestFit="1" customWidth="1"/>
    <col min="10" max="10" width="16.44140625" style="69" customWidth="1"/>
    <col min="11" max="11" width="16.44140625" style="69" bestFit="1" customWidth="1"/>
    <col min="12" max="12" width="14.5546875" style="69" bestFit="1" customWidth="1"/>
    <col min="13" max="15" width="13.109375" style="69" customWidth="1"/>
    <col min="16" max="16" width="11.33203125" style="69" customWidth="1"/>
    <col min="17" max="17" width="12.5546875" style="69" customWidth="1"/>
    <col min="18" max="18" width="13.88671875" style="69" customWidth="1"/>
    <col min="19" max="19" width="11.44140625" style="69" customWidth="1"/>
    <col min="20" max="22" width="9.109375" style="69"/>
    <col min="23" max="23" width="11.109375" style="69" customWidth="1"/>
    <col min="24" max="16384" width="9.109375" style="69"/>
  </cols>
  <sheetData>
    <row r="1" spans="2:39">
      <c r="S1" s="69">
        <f>S2/3.6</f>
        <v>97.300167452256986</v>
      </c>
      <c r="T1" s="69" t="s">
        <v>1767</v>
      </c>
    </row>
    <row r="2" spans="2:39">
      <c r="R2" s="1257">
        <f>PMT(0.1,20,-R8*1000000)+S8*1000000</f>
        <v>3068458.0807743762</v>
      </c>
      <c r="S2" s="69">
        <f>R2/8760</f>
        <v>350.28060282812515</v>
      </c>
      <c r="T2" s="69" t="s">
        <v>1766</v>
      </c>
      <c r="W2" s="69" t="s">
        <v>420</v>
      </c>
    </row>
    <row r="4" spans="2:39">
      <c r="I4" s="291" t="s">
        <v>0</v>
      </c>
      <c r="J4" s="291"/>
    </row>
    <row r="5" spans="2:39" ht="14.4">
      <c r="B5" s="73" t="s">
        <v>2</v>
      </c>
      <c r="C5" s="73" t="s">
        <v>11</v>
      </c>
      <c r="D5" s="73" t="s">
        <v>189</v>
      </c>
      <c r="E5" s="73" t="s">
        <v>32</v>
      </c>
      <c r="F5" s="73" t="s">
        <v>33</v>
      </c>
      <c r="G5" s="73" t="s">
        <v>3</v>
      </c>
      <c r="H5" s="73" t="s">
        <v>34</v>
      </c>
      <c r="I5" s="73" t="s">
        <v>35</v>
      </c>
      <c r="J5" s="73" t="s">
        <v>4</v>
      </c>
      <c r="K5" s="73" t="s">
        <v>402</v>
      </c>
      <c r="L5" s="73" t="s">
        <v>188</v>
      </c>
      <c r="M5" s="73" t="s">
        <v>239</v>
      </c>
      <c r="N5" s="73" t="s">
        <v>5</v>
      </c>
      <c r="O5" s="73" t="s">
        <v>1768</v>
      </c>
      <c r="P5" s="73" t="s">
        <v>405</v>
      </c>
      <c r="Q5" s="73" t="s">
        <v>186</v>
      </c>
      <c r="R5" s="73" t="s">
        <v>6</v>
      </c>
      <c r="S5" s="73" t="s">
        <v>7</v>
      </c>
      <c r="T5" s="73" t="s">
        <v>8</v>
      </c>
      <c r="U5" s="292" t="s">
        <v>9</v>
      </c>
      <c r="V5" s="73" t="s">
        <v>1442</v>
      </c>
      <c r="W5" s="12"/>
    </row>
    <row r="6" spans="2:39" ht="58.2" thickBot="1">
      <c r="B6" s="293" t="s">
        <v>184</v>
      </c>
      <c r="C6" s="293" t="s">
        <v>19</v>
      </c>
      <c r="D6" s="293" t="s">
        <v>182</v>
      </c>
      <c r="E6" s="293" t="s">
        <v>183</v>
      </c>
      <c r="F6" s="293" t="s">
        <v>234</v>
      </c>
      <c r="G6" s="293" t="s">
        <v>181</v>
      </c>
      <c r="H6" s="293" t="s">
        <v>46</v>
      </c>
      <c r="I6" s="293" t="s">
        <v>406</v>
      </c>
      <c r="J6" s="293"/>
      <c r="K6" s="293" t="s">
        <v>233</v>
      </c>
      <c r="L6" s="293" t="s">
        <v>180</v>
      </c>
      <c r="M6" s="293" t="s">
        <v>232</v>
      </c>
      <c r="N6" s="293" t="s">
        <v>407</v>
      </c>
      <c r="O6" s="293" t="s">
        <v>408</v>
      </c>
      <c r="P6" s="293" t="s">
        <v>408</v>
      </c>
      <c r="Q6" s="293" t="s">
        <v>178</v>
      </c>
      <c r="R6" s="293" t="s">
        <v>175</v>
      </c>
      <c r="S6" s="293" t="s">
        <v>174</v>
      </c>
      <c r="T6" s="293" t="s">
        <v>173</v>
      </c>
      <c r="U6" s="294" t="s">
        <v>409</v>
      </c>
      <c r="V6" s="293" t="s">
        <v>67</v>
      </c>
      <c r="AA6" s="69" t="s">
        <v>421</v>
      </c>
      <c r="AG6" s="69" t="s">
        <v>422</v>
      </c>
    </row>
    <row r="7" spans="2:39" ht="15" thickBot="1">
      <c r="B7" s="295" t="s">
        <v>410</v>
      </c>
      <c r="C7" s="295"/>
      <c r="D7" s="295"/>
      <c r="E7" s="295"/>
      <c r="F7" s="295"/>
      <c r="G7" s="295"/>
      <c r="H7" s="295"/>
      <c r="I7" s="295" t="s">
        <v>158</v>
      </c>
      <c r="J7" s="295"/>
      <c r="K7" s="295" t="s">
        <v>411</v>
      </c>
      <c r="L7" s="295" t="s">
        <v>412</v>
      </c>
      <c r="M7" s="295" t="s">
        <v>413</v>
      </c>
      <c r="N7" s="295" t="s">
        <v>158</v>
      </c>
      <c r="O7" s="295"/>
      <c r="P7" s="295"/>
      <c r="Q7" s="295"/>
      <c r="R7" s="295" t="s">
        <v>414</v>
      </c>
      <c r="S7" s="295" t="s">
        <v>414</v>
      </c>
      <c r="T7" s="295" t="s">
        <v>423</v>
      </c>
      <c r="U7" s="296" t="s">
        <v>330</v>
      </c>
      <c r="V7" s="295" t="s">
        <v>165</v>
      </c>
      <c r="AA7" s="304"/>
      <c r="AB7" s="104" t="s">
        <v>425</v>
      </c>
      <c r="AC7" s="104" t="s">
        <v>426</v>
      </c>
      <c r="AD7" s="305" t="s">
        <v>427</v>
      </c>
      <c r="AF7" s="69" t="s">
        <v>1771</v>
      </c>
    </row>
    <row r="8" spans="2:39" ht="16.95" customHeight="1">
      <c r="B8" s="297" t="str">
        <f>"SUP"&amp;G8&amp;RIGHT(E8,3)&amp;"1N"</f>
        <v>SUPBGAMNR1N</v>
      </c>
      <c r="C8" s="297" t="s">
        <v>429</v>
      </c>
      <c r="D8" s="297"/>
      <c r="E8" s="297" t="s">
        <v>430</v>
      </c>
      <c r="F8" s="297"/>
      <c r="G8" s="297" t="s">
        <v>431</v>
      </c>
      <c r="H8" s="297" t="s">
        <v>70</v>
      </c>
      <c r="I8" s="297">
        <v>2010</v>
      </c>
      <c r="J8" s="297"/>
      <c r="K8" s="306">
        <f>1/(SUMPRODUCT(AB8:AB15,AC8:AC15)/'81 Biogas Plant, Basic conf.'!$G$18)</f>
        <v>0.95943120497798562</v>
      </c>
      <c r="L8" s="306"/>
      <c r="M8" s="306"/>
      <c r="N8" s="307">
        <v>20</v>
      </c>
      <c r="O8" s="306">
        <f>AD8+AD10</f>
        <v>0.56000000000000005</v>
      </c>
      <c r="P8" s="307">
        <v>5</v>
      </c>
      <c r="Q8" s="298">
        <f>(365-10)/365</f>
        <v>0.9726027397260274</v>
      </c>
      <c r="R8" s="298">
        <f>'81 Biogas Plant, Basic conf.'!$G$27*7.45</f>
        <v>13.515354721600163</v>
      </c>
      <c r="S8" s="298">
        <f>'81 Biogas Plant, Basic conf.'!$G$30/1000000*7.45</f>
        <v>1.4809495865073661</v>
      </c>
      <c r="U8" s="308">
        <f>3.6*8760/1000000</f>
        <v>3.1536000000000002E-2</v>
      </c>
      <c r="V8" s="309">
        <v>-2</v>
      </c>
      <c r="AA8" s="311" t="s">
        <v>432</v>
      </c>
      <c r="AB8" s="312">
        <v>0.79800000000000004</v>
      </c>
      <c r="AC8" s="69">
        <v>0.44</v>
      </c>
      <c r="AD8" s="313">
        <v>0.44</v>
      </c>
      <c r="AE8" s="69">
        <f>AB8*AC8</f>
        <v>0.35112000000000004</v>
      </c>
      <c r="AF8" s="69">
        <f t="shared" ref="AF8:AF15" si="0">AB8*AC8</f>
        <v>0.35112000000000004</v>
      </c>
    </row>
    <row r="9" spans="2:39" ht="14.4">
      <c r="B9" s="297"/>
      <c r="C9" s="297"/>
      <c r="E9" s="297" t="s">
        <v>433</v>
      </c>
      <c r="F9" s="297"/>
      <c r="G9" s="297"/>
      <c r="H9" s="297"/>
      <c r="I9" s="297"/>
      <c r="J9" s="297"/>
      <c r="K9" s="306">
        <f>K8*'81 Biogas Plant, Basic conf.'!$H$18/'81 Biogas Plant, Basic conf.'!$G$18</f>
        <v>0.90141770903850638</v>
      </c>
      <c r="L9" s="306"/>
      <c r="M9" s="306"/>
      <c r="N9" s="307"/>
      <c r="O9" s="306">
        <f>AD9</f>
        <v>0.2</v>
      </c>
      <c r="P9" s="306"/>
      <c r="Q9" s="298"/>
      <c r="R9" s="298"/>
      <c r="S9" s="298"/>
      <c r="U9" s="308"/>
      <c r="V9" s="309"/>
      <c r="AA9" s="311" t="s">
        <v>434</v>
      </c>
      <c r="AB9" s="299">
        <v>0.08</v>
      </c>
      <c r="AC9" s="69">
        <v>2</v>
      </c>
      <c r="AD9" s="313">
        <v>0.2</v>
      </c>
      <c r="AE9" s="1256">
        <f t="shared" ref="AE9:AE15" si="1">AB9*AC9</f>
        <v>0.16</v>
      </c>
      <c r="AF9" s="69">
        <f t="shared" si="0"/>
        <v>0.16</v>
      </c>
      <c r="AG9" s="1256"/>
    </row>
    <row r="10" spans="2:39" ht="14.4">
      <c r="B10" s="297"/>
      <c r="C10" s="297"/>
      <c r="E10" s="297" t="s">
        <v>435</v>
      </c>
      <c r="F10" s="297"/>
      <c r="G10" s="297"/>
      <c r="H10" s="297"/>
      <c r="I10" s="297"/>
      <c r="J10" s="297"/>
      <c r="K10" s="306">
        <f>K9</f>
        <v>0.90141770903850638</v>
      </c>
      <c r="L10" s="306"/>
      <c r="M10" s="306"/>
      <c r="N10" s="307"/>
      <c r="O10" s="306">
        <f>AD12+AD13</f>
        <v>0.13</v>
      </c>
      <c r="P10" s="306"/>
      <c r="Q10" s="298"/>
      <c r="R10" s="298"/>
      <c r="S10" s="298"/>
      <c r="U10" s="308"/>
      <c r="V10" s="309"/>
      <c r="AA10" s="311" t="s">
        <v>436</v>
      </c>
      <c r="AB10" s="312">
        <v>6.0999999999999999E-2</v>
      </c>
      <c r="AC10" s="69">
        <v>1.57</v>
      </c>
      <c r="AD10" s="313">
        <v>0.12</v>
      </c>
      <c r="AE10" s="1256">
        <f t="shared" si="1"/>
        <v>9.5770000000000008E-2</v>
      </c>
      <c r="AF10" s="69">
        <f t="shared" si="0"/>
        <v>9.5770000000000008E-2</v>
      </c>
      <c r="AG10" s="1256"/>
    </row>
    <row r="11" spans="2:39" s="1256" customFormat="1" ht="14.4">
      <c r="B11" s="297"/>
      <c r="C11" s="297"/>
      <c r="E11" s="297" t="s">
        <v>1772</v>
      </c>
      <c r="F11" s="297"/>
      <c r="G11" s="297"/>
      <c r="H11" s="297"/>
      <c r="I11" s="297"/>
      <c r="J11" s="297"/>
      <c r="K11" s="306">
        <f>K10</f>
        <v>0.90141770903850638</v>
      </c>
      <c r="L11" s="306"/>
      <c r="M11" s="306"/>
      <c r="N11" s="307"/>
      <c r="O11" s="306">
        <f>AD15</f>
        <v>0.11</v>
      </c>
      <c r="P11" s="306"/>
      <c r="Q11" s="298"/>
      <c r="R11" s="298"/>
      <c r="S11" s="298"/>
      <c r="U11" s="308"/>
      <c r="V11" s="309"/>
      <c r="Y11" s="69"/>
      <c r="Z11" s="69"/>
      <c r="AA11" s="311" t="s">
        <v>437</v>
      </c>
      <c r="AB11" s="69"/>
      <c r="AC11" s="69">
        <v>7.27</v>
      </c>
      <c r="AD11" s="313">
        <v>0</v>
      </c>
      <c r="AE11" s="1256">
        <f t="shared" si="1"/>
        <v>0</v>
      </c>
      <c r="AF11" s="69">
        <f t="shared" si="0"/>
        <v>0</v>
      </c>
      <c r="AH11" s="69"/>
      <c r="AI11" s="69"/>
      <c r="AJ11" s="69"/>
      <c r="AK11" s="69"/>
      <c r="AL11" s="69"/>
      <c r="AM11" s="69"/>
    </row>
    <row r="12" spans="2:39" ht="14.4">
      <c r="B12" s="297"/>
      <c r="C12" s="297"/>
      <c r="D12" s="297" t="s">
        <v>71</v>
      </c>
      <c r="E12" s="297"/>
      <c r="F12" s="297"/>
      <c r="G12" s="297"/>
      <c r="H12" s="297"/>
      <c r="I12" s="297"/>
      <c r="J12" s="297"/>
      <c r="K12" s="306"/>
      <c r="L12" s="306">
        <f>'81 Biogas Plant, Basic conf.'!$H$11/100</f>
        <v>3.8195864970641452E-2</v>
      </c>
      <c r="M12" s="306"/>
      <c r="N12" s="306"/>
      <c r="O12" s="306"/>
      <c r="P12" s="306"/>
      <c r="Q12" s="306"/>
      <c r="R12" s="298"/>
      <c r="S12" s="298"/>
      <c r="T12" s="306"/>
      <c r="V12" s="306"/>
      <c r="AA12" s="311" t="s">
        <v>438</v>
      </c>
      <c r="AB12" s="299">
        <v>0.01</v>
      </c>
      <c r="AC12" s="69">
        <v>4.83</v>
      </c>
      <c r="AD12" s="313">
        <v>0.06</v>
      </c>
      <c r="AE12" s="1256">
        <f t="shared" si="1"/>
        <v>4.8300000000000003E-2</v>
      </c>
      <c r="AF12" s="69">
        <f t="shared" si="0"/>
        <v>4.8300000000000003E-2</v>
      </c>
      <c r="AG12" s="1256"/>
    </row>
    <row r="13" spans="2:39" ht="14.4">
      <c r="B13" s="297"/>
      <c r="C13" s="297"/>
      <c r="D13" s="297" t="s">
        <v>160</v>
      </c>
      <c r="F13" s="297"/>
      <c r="G13" s="297"/>
      <c r="H13" s="297"/>
      <c r="I13" s="297"/>
      <c r="J13" s="297"/>
      <c r="K13" s="306"/>
      <c r="L13" s="306">
        <f>'81 Biogas Plant, Basic conf.'!$H$13/100</f>
        <v>8.9255616752262193E-2</v>
      </c>
      <c r="M13" s="306"/>
      <c r="N13" s="306"/>
      <c r="O13" s="306"/>
      <c r="P13" s="306"/>
      <c r="Q13" s="306"/>
      <c r="R13" s="141"/>
      <c r="S13" s="141"/>
      <c r="AA13" s="311" t="s">
        <v>439</v>
      </c>
      <c r="AB13" s="312">
        <v>1.6E-2</v>
      </c>
      <c r="AC13" s="69">
        <v>3.41</v>
      </c>
      <c r="AD13" s="313">
        <v>7.0000000000000007E-2</v>
      </c>
      <c r="AE13" s="1256">
        <f t="shared" si="1"/>
        <v>5.4560000000000004E-2</v>
      </c>
      <c r="AF13" s="69">
        <f t="shared" si="0"/>
        <v>5.4560000000000004E-2</v>
      </c>
      <c r="AG13" s="1256"/>
    </row>
    <row r="14" spans="2:39" ht="15" thickBot="1">
      <c r="B14" s="297"/>
      <c r="C14" s="297"/>
      <c r="D14" s="297"/>
      <c r="E14" s="1084"/>
      <c r="F14" s="297" t="s">
        <v>1420</v>
      </c>
      <c r="G14" s="297"/>
      <c r="H14" s="297"/>
      <c r="I14" s="297"/>
      <c r="J14" s="297"/>
      <c r="K14" s="306"/>
      <c r="L14" s="306"/>
      <c r="M14" s="307">
        <f>(28-1)*O8*1.5</f>
        <v>22.68</v>
      </c>
      <c r="N14" s="306"/>
      <c r="O14" s="306"/>
      <c r="P14" s="306"/>
      <c r="Q14" s="306"/>
      <c r="R14" s="141"/>
      <c r="S14" s="141"/>
      <c r="T14" s="1084"/>
      <c r="U14" s="1084"/>
      <c r="V14" s="1084"/>
      <c r="W14" s="281"/>
      <c r="AA14" s="311" t="s">
        <v>440</v>
      </c>
      <c r="AC14" s="69">
        <f>(1.5+3.5)/2</f>
        <v>2.5</v>
      </c>
      <c r="AD14" s="313">
        <v>0</v>
      </c>
      <c r="AE14" s="1256">
        <f t="shared" si="1"/>
        <v>0</v>
      </c>
      <c r="AF14" s="69">
        <f t="shared" si="0"/>
        <v>0</v>
      </c>
      <c r="AG14" s="1256"/>
    </row>
    <row r="15" spans="2:39" ht="14.4">
      <c r="B15" s="297"/>
      <c r="C15" s="297"/>
      <c r="D15" s="297"/>
      <c r="E15" s="1258"/>
      <c r="F15" s="297" t="s">
        <v>1776</v>
      </c>
      <c r="G15" s="297"/>
      <c r="H15" s="297"/>
      <c r="I15" s="297"/>
      <c r="J15" s="297"/>
      <c r="K15" s="306"/>
      <c r="L15" s="306"/>
      <c r="M15" s="307">
        <f>-M14</f>
        <v>-22.68</v>
      </c>
      <c r="N15" s="306"/>
      <c r="O15" s="306"/>
      <c r="P15" s="306"/>
      <c r="Q15" s="306"/>
      <c r="R15" s="1260"/>
      <c r="S15" s="1260"/>
      <c r="T15" s="1258"/>
      <c r="U15" s="1258"/>
      <c r="V15" s="1258"/>
      <c r="W15" s="1258"/>
      <c r="X15" s="1258"/>
      <c r="AA15" s="311" t="s">
        <v>441</v>
      </c>
      <c r="AB15" s="312">
        <v>3.5000000000000003E-2</v>
      </c>
      <c r="AC15" s="69">
        <v>3.5</v>
      </c>
      <c r="AD15" s="313">
        <v>0.11</v>
      </c>
      <c r="AE15" s="1256">
        <f t="shared" si="1"/>
        <v>0.12250000000000001</v>
      </c>
      <c r="AF15" s="69">
        <f t="shared" si="0"/>
        <v>0.12250000000000001</v>
      </c>
      <c r="AG15" s="1256"/>
      <c r="AH15" s="304"/>
      <c r="AI15" s="104" t="s">
        <v>425</v>
      </c>
      <c r="AJ15" s="104" t="s">
        <v>426</v>
      </c>
      <c r="AK15" s="305" t="s">
        <v>427</v>
      </c>
      <c r="AM15" s="69" t="s">
        <v>1771</v>
      </c>
    </row>
    <row r="16" spans="2:39" ht="15" thickBot="1">
      <c r="B16" s="297"/>
      <c r="C16" s="297"/>
      <c r="D16" s="297"/>
      <c r="E16" s="297"/>
      <c r="F16" s="297"/>
      <c r="G16" s="297"/>
      <c r="H16" s="297" t="s">
        <v>70</v>
      </c>
      <c r="I16" s="297">
        <f>'81 Biogas Plant, Basic conf.'!H4</f>
        <v>2020</v>
      </c>
      <c r="J16" s="297"/>
      <c r="K16" s="306"/>
      <c r="L16" s="306"/>
      <c r="M16" s="306"/>
      <c r="N16" s="306"/>
      <c r="O16" s="306"/>
      <c r="P16" s="306"/>
      <c r="Q16" s="306"/>
      <c r="R16" s="298">
        <f>'81 Biogas Plant, Basic conf.'!$H$27*7.45</f>
        <v>12.74465564727425</v>
      </c>
      <c r="S16" s="298">
        <f>'81 Biogas Plant, Basic conf.'!$H$30/1000000*7.45</f>
        <v>1.4506269094783117</v>
      </c>
      <c r="T16" s="306"/>
      <c r="U16" s="1258"/>
      <c r="V16" s="306"/>
      <c r="W16" s="1258"/>
      <c r="X16" s="1258"/>
      <c r="AA16" s="325"/>
      <c r="AB16" s="326">
        <f>SUM(AB8:AB15)</f>
        <v>1</v>
      </c>
      <c r="AC16" s="107"/>
      <c r="AD16" s="327">
        <f>SUM(AD8:AD15)</f>
        <v>1.0000000000000002</v>
      </c>
      <c r="AF16" s="69">
        <f>SUM(AF8:AF15)</f>
        <v>0.83225000000000016</v>
      </c>
      <c r="AH16" s="311" t="s">
        <v>432</v>
      </c>
      <c r="AI16" s="312">
        <v>0.73499999999999999</v>
      </c>
      <c r="AJ16" s="69">
        <v>0.44</v>
      </c>
      <c r="AK16" s="313">
        <v>0.26</v>
      </c>
      <c r="AM16" s="69">
        <f>AI16*AJ16</f>
        <v>0.32340000000000002</v>
      </c>
    </row>
    <row r="17" spans="2:39" ht="14.4">
      <c r="B17" s="297"/>
      <c r="C17" s="297"/>
      <c r="D17" s="297"/>
      <c r="E17" s="297"/>
      <c r="F17" s="297"/>
      <c r="G17" s="297"/>
      <c r="H17" s="297" t="s">
        <v>70</v>
      </c>
      <c r="I17" s="297">
        <f>'81 Biogas Plant, Basic conf.'!I4</f>
        <v>2030</v>
      </c>
      <c r="J17" s="297"/>
      <c r="K17" s="306"/>
      <c r="L17" s="306"/>
      <c r="M17" s="306"/>
      <c r="N17" s="306"/>
      <c r="O17" s="306"/>
      <c r="P17" s="306"/>
      <c r="Q17" s="306"/>
      <c r="R17" s="298">
        <f>'81 Biogas Plant, Basic conf.'!$I$27*7.45</f>
        <v>11.470190082546825</v>
      </c>
      <c r="S17" s="298">
        <f>'81 Biogas Plant, Basic conf.'!$I$30/1000000*7.45</f>
        <v>1.4728831721856428</v>
      </c>
      <c r="T17" s="306"/>
      <c r="U17" s="1258"/>
      <c r="V17" s="306"/>
      <c r="W17" s="1258"/>
      <c r="X17" s="1258"/>
      <c r="AF17" s="69">
        <f>AF16/'81 Biogas Plant, Basic conf.'!$G$18</f>
        <v>1.04228421465919</v>
      </c>
      <c r="AH17" s="311" t="s">
        <v>434</v>
      </c>
      <c r="AI17" s="299">
        <v>0.08</v>
      </c>
      <c r="AJ17" s="69">
        <v>2</v>
      </c>
      <c r="AK17" s="313">
        <v>0.13</v>
      </c>
      <c r="AM17" s="69">
        <f t="shared" ref="AM17:AM23" si="2">AI17*AJ17</f>
        <v>0.16</v>
      </c>
    </row>
    <row r="18" spans="2:39" ht="14.4">
      <c r="B18" s="318"/>
      <c r="C18" s="318"/>
      <c r="D18" s="318"/>
      <c r="E18" s="318"/>
      <c r="F18" s="318"/>
      <c r="G18" s="318"/>
      <c r="H18" s="297" t="s">
        <v>70</v>
      </c>
      <c r="I18" s="318">
        <f>'81 Biogas Plant, Basic conf.'!J4</f>
        <v>2050</v>
      </c>
      <c r="J18" s="318"/>
      <c r="K18" s="319"/>
      <c r="L18" s="319"/>
      <c r="M18" s="319"/>
      <c r="N18" s="319"/>
      <c r="O18" s="319"/>
      <c r="P18" s="319"/>
      <c r="Q18" s="319"/>
      <c r="R18" s="320">
        <f>'81 Biogas Plant, Basic conf.'!$J$27*7.45</f>
        <v>10.323171074292143</v>
      </c>
      <c r="S18" s="320">
        <f>'81 Biogas Plant, Basic conf.'!$J$30/1000000*7.45</f>
        <v>1.4581311867857256</v>
      </c>
      <c r="T18" s="319"/>
      <c r="U18" s="1259"/>
      <c r="V18" s="319"/>
      <c r="W18" s="1258"/>
      <c r="X18" s="1258"/>
      <c r="AH18" s="311" t="s">
        <v>436</v>
      </c>
      <c r="AI18" s="312">
        <v>6.0999999999999999E-2</v>
      </c>
      <c r="AJ18" s="69">
        <v>1.57</v>
      </c>
      <c r="AK18" s="313">
        <v>0.08</v>
      </c>
      <c r="AM18" s="69">
        <f t="shared" si="2"/>
        <v>9.5770000000000008E-2</v>
      </c>
    </row>
    <row r="19" spans="2:39" ht="14.4">
      <c r="B19" s="297" t="str">
        <f>"SUP"&amp;G19&amp;RIGHT(E22,3)&amp;"1N"</f>
        <v>SUPBGASTR1N</v>
      </c>
      <c r="C19" s="321" t="s">
        <v>442</v>
      </c>
      <c r="D19" s="297"/>
      <c r="E19" s="297" t="s">
        <v>430</v>
      </c>
      <c r="F19" s="297"/>
      <c r="G19" s="297" t="s">
        <v>431</v>
      </c>
      <c r="H19" s="321" t="s">
        <v>70</v>
      </c>
      <c r="I19" s="321">
        <v>2015</v>
      </c>
      <c r="J19" s="321"/>
      <c r="K19" s="306">
        <f>1/(SUMPRODUCT(AI16:AI23,AJ16:AJ23)/'81 Biogas Plant, Basic conf.'!$G$18)</f>
        <v>0.63244461192748636</v>
      </c>
      <c r="L19" s="322"/>
      <c r="M19" s="306"/>
      <c r="N19" s="321">
        <f>'81 Biogas Plant, Add. Straw'!D23</f>
        <v>20</v>
      </c>
      <c r="O19" s="306">
        <f>AK16+AK18</f>
        <v>0.34</v>
      </c>
      <c r="P19" s="323">
        <v>5</v>
      </c>
      <c r="Q19" s="298">
        <f>(365-10)/365</f>
        <v>0.9726027397260274</v>
      </c>
      <c r="R19" s="324">
        <f>'81 Biogas Plant, Add. Straw'!X16*7.45</f>
        <v>12.49227037341001</v>
      </c>
      <c r="S19" s="324">
        <f>'81 Biogas Plant, Add. Straw'!X17*7.45</f>
        <v>1.6880661113319619</v>
      </c>
      <c r="T19" s="323"/>
      <c r="U19" s="308">
        <f>3.6*8760/1000000</f>
        <v>3.1536000000000002E-2</v>
      </c>
      <c r="V19" s="309">
        <v>-2</v>
      </c>
      <c r="W19" s="1258"/>
      <c r="X19" s="1258"/>
      <c r="AH19" s="311" t="s">
        <v>437</v>
      </c>
      <c r="AI19" s="312">
        <v>6.3E-2</v>
      </c>
      <c r="AJ19" s="69">
        <v>7.27</v>
      </c>
      <c r="AK19" s="313">
        <v>0.37</v>
      </c>
      <c r="AM19" s="69">
        <f t="shared" si="2"/>
        <v>0.45800999999999997</v>
      </c>
    </row>
    <row r="20" spans="2:39" ht="14.4">
      <c r="B20" s="297"/>
      <c r="C20" s="297"/>
      <c r="D20" s="1258"/>
      <c r="E20" s="297" t="s">
        <v>433</v>
      </c>
      <c r="F20" s="297"/>
      <c r="G20" s="297"/>
      <c r="H20" s="297"/>
      <c r="I20" s="297"/>
      <c r="J20" s="297"/>
      <c r="K20" s="306">
        <f>K19*'81 Biogas Plant, Basic conf.'!$H$18/'81 Biogas Plant, Basic conf.'!$G$18</f>
        <v>0.59420286751096763</v>
      </c>
      <c r="L20" s="306"/>
      <c r="M20" s="306"/>
      <c r="N20" s="297"/>
      <c r="O20" s="306">
        <f>AK17</f>
        <v>0.13</v>
      </c>
      <c r="P20" s="307"/>
      <c r="Q20" s="306"/>
      <c r="R20" s="307"/>
      <c r="S20" s="307"/>
      <c r="T20" s="307"/>
      <c r="U20" s="1258"/>
      <c r="V20" s="309"/>
      <c r="W20" s="1258"/>
      <c r="X20" s="1258"/>
      <c r="AA20" s="69">
        <v>140000</v>
      </c>
      <c r="AB20" s="69" t="s">
        <v>1769</v>
      </c>
      <c r="AH20" s="311" t="s">
        <v>438</v>
      </c>
      <c r="AI20" s="299">
        <v>0.01</v>
      </c>
      <c r="AJ20" s="69">
        <v>4.83</v>
      </c>
      <c r="AK20" s="313">
        <v>0.04</v>
      </c>
      <c r="AM20" s="69">
        <f t="shared" si="2"/>
        <v>4.8300000000000003E-2</v>
      </c>
    </row>
    <row r="21" spans="2:39" ht="14.4">
      <c r="B21" s="297"/>
      <c r="C21" s="297"/>
      <c r="D21" s="1258"/>
      <c r="E21" s="297" t="s">
        <v>435</v>
      </c>
      <c r="F21" s="297"/>
      <c r="G21" s="297"/>
      <c r="H21" s="297"/>
      <c r="I21" s="297"/>
      <c r="J21" s="297"/>
      <c r="K21" s="306">
        <f>K20</f>
        <v>0.59420286751096763</v>
      </c>
      <c r="L21" s="306"/>
      <c r="M21" s="306"/>
      <c r="N21" s="297"/>
      <c r="O21" s="306">
        <f>AK20+AK21</f>
        <v>0.08</v>
      </c>
      <c r="P21" s="307"/>
      <c r="Q21" s="306"/>
      <c r="R21" s="307"/>
      <c r="S21" s="307"/>
      <c r="T21" s="307"/>
      <c r="U21" s="1258"/>
      <c r="V21" s="309"/>
      <c r="W21" s="1258"/>
      <c r="X21" s="1258"/>
      <c r="AA21" s="69">
        <f>AA20*35</f>
        <v>4900000</v>
      </c>
      <c r="AB21" s="69" t="s">
        <v>1770</v>
      </c>
      <c r="AH21" s="311" t="s">
        <v>439</v>
      </c>
      <c r="AI21" s="312">
        <v>1.6E-2</v>
      </c>
      <c r="AJ21" s="69">
        <v>3.41</v>
      </c>
      <c r="AK21" s="313">
        <v>0.04</v>
      </c>
      <c r="AM21" s="69">
        <f t="shared" si="2"/>
        <v>5.4560000000000004E-2</v>
      </c>
    </row>
    <row r="22" spans="2:39" ht="14.4">
      <c r="B22" s="297"/>
      <c r="C22" s="297"/>
      <c r="D22" s="1258"/>
      <c r="E22" s="297" t="s">
        <v>83</v>
      </c>
      <c r="F22" s="297"/>
      <c r="G22" s="297"/>
      <c r="H22" s="297"/>
      <c r="I22" s="297"/>
      <c r="J22" s="297"/>
      <c r="K22" s="306">
        <f>K21</f>
        <v>0.59420286751096763</v>
      </c>
      <c r="L22" s="306"/>
      <c r="M22" s="306"/>
      <c r="N22" s="297"/>
      <c r="O22" s="306">
        <f>AK19</f>
        <v>0.37</v>
      </c>
      <c r="P22" s="307"/>
      <c r="Q22" s="306"/>
      <c r="R22" s="307"/>
      <c r="S22" s="307"/>
      <c r="T22" s="307"/>
      <c r="U22" s="1258"/>
      <c r="V22" s="309"/>
      <c r="W22" s="1258"/>
      <c r="X22" s="1258"/>
      <c r="AA22" s="69">
        <f>AA21/1000000</f>
        <v>4.9000000000000004</v>
      </c>
      <c r="AB22" s="69" t="s">
        <v>25</v>
      </c>
      <c r="AH22" s="311" t="s">
        <v>440</v>
      </c>
      <c r="AJ22" s="69">
        <f>(1.5+3.5)/2</f>
        <v>2.5</v>
      </c>
      <c r="AK22" s="313">
        <v>0</v>
      </c>
      <c r="AM22" s="69">
        <f t="shared" si="2"/>
        <v>0</v>
      </c>
    </row>
    <row r="23" spans="2:39" ht="15" thickBot="1">
      <c r="B23" s="297"/>
      <c r="C23" s="297"/>
      <c r="D23" s="1258"/>
      <c r="E23" s="297" t="s">
        <v>1772</v>
      </c>
      <c r="F23" s="297"/>
      <c r="G23" s="297"/>
      <c r="H23" s="297"/>
      <c r="I23" s="297"/>
      <c r="J23" s="297"/>
      <c r="K23" s="306">
        <f>K22</f>
        <v>0.59420286751096763</v>
      </c>
      <c r="L23" s="306"/>
      <c r="M23" s="306"/>
      <c r="N23" s="297"/>
      <c r="O23" s="306">
        <f>AK23</f>
        <v>7.0000000000000007E-2</v>
      </c>
      <c r="P23" s="307"/>
      <c r="Q23" s="306"/>
      <c r="R23" s="307"/>
      <c r="S23" s="307"/>
      <c r="T23" s="307"/>
      <c r="U23" s="1258"/>
      <c r="V23" s="309"/>
      <c r="W23" s="1258"/>
      <c r="X23" s="1258"/>
      <c r="AH23" s="311" t="s">
        <v>441</v>
      </c>
      <c r="AI23" s="312">
        <v>3.5000000000000003E-2</v>
      </c>
      <c r="AJ23" s="69">
        <v>3.5</v>
      </c>
      <c r="AK23" s="313">
        <v>7.0000000000000007E-2</v>
      </c>
      <c r="AM23" s="69">
        <f t="shared" si="2"/>
        <v>0.12250000000000001</v>
      </c>
    </row>
    <row r="24" spans="2:39" ht="15" thickBot="1">
      <c r="B24" s="297"/>
      <c r="C24" s="297"/>
      <c r="D24" s="297" t="s">
        <v>71</v>
      </c>
      <c r="E24" s="1258"/>
      <c r="F24" s="297"/>
      <c r="G24" s="297"/>
      <c r="H24" s="297"/>
      <c r="I24" s="297"/>
      <c r="J24" s="297"/>
      <c r="K24" s="306"/>
      <c r="L24" s="306">
        <f>'81 Biogas Plant, Add. Straw'!Y18</f>
        <v>3.7194624472035538E-2</v>
      </c>
      <c r="M24" s="306"/>
      <c r="N24" s="297"/>
      <c r="O24" s="306"/>
      <c r="P24" s="307"/>
      <c r="Q24" s="306"/>
      <c r="R24" s="307"/>
      <c r="S24" s="307"/>
      <c r="T24" s="307"/>
      <c r="U24" s="1258"/>
      <c r="V24" s="309"/>
      <c r="W24" s="1258"/>
      <c r="X24" s="1258"/>
      <c r="AA24" s="304"/>
      <c r="AB24" s="104" t="s">
        <v>425</v>
      </c>
      <c r="AC24" s="104" t="s">
        <v>426</v>
      </c>
      <c r="AD24" s="305" t="s">
        <v>427</v>
      </c>
      <c r="AF24" s="69" t="s">
        <v>428</v>
      </c>
      <c r="AH24" s="325"/>
      <c r="AI24" s="326">
        <f>SUM(AI16:AI23)</f>
        <v>0.99999999999999989</v>
      </c>
      <c r="AJ24" s="107"/>
      <c r="AK24" s="327">
        <f>SUM(AK16:AK23)</f>
        <v>0.99000000000000021</v>
      </c>
      <c r="AM24" s="69">
        <f>SUM(AM16:AM23)</f>
        <v>1.26254</v>
      </c>
    </row>
    <row r="25" spans="2:39" ht="14.4">
      <c r="B25" s="297"/>
      <c r="C25" s="297"/>
      <c r="D25" s="297" t="s">
        <v>160</v>
      </c>
      <c r="E25" s="297"/>
      <c r="F25" s="297"/>
      <c r="G25" s="297"/>
      <c r="H25" s="297"/>
      <c r="I25" s="297"/>
      <c r="J25" s="297"/>
      <c r="K25" s="306"/>
      <c r="L25" s="306">
        <f>'81 Biogas Plant, Add. Straw'!Y19</f>
        <v>8.0905415078096621E-2</v>
      </c>
      <c r="M25" s="306"/>
      <c r="N25" s="297"/>
      <c r="O25" s="306"/>
      <c r="P25" s="307"/>
      <c r="Q25" s="306"/>
      <c r="R25" s="307"/>
      <c r="S25" s="307"/>
      <c r="T25" s="307"/>
      <c r="U25" s="1258"/>
      <c r="V25" s="309"/>
      <c r="W25" s="1261"/>
      <c r="X25" s="1258"/>
      <c r="AA25" s="311" t="s">
        <v>432</v>
      </c>
      <c r="AB25" s="312">
        <v>0.75800000000000001</v>
      </c>
      <c r="AC25" s="69">
        <v>0.44</v>
      </c>
      <c r="AD25" s="313">
        <v>0.34</v>
      </c>
      <c r="AF25" s="69">
        <f t="shared" ref="AF25:AF32" si="3">AB25*AC25</f>
        <v>0.33351999999999998</v>
      </c>
      <c r="AM25" s="1256">
        <f>AM24/'81 Biogas Plant, Basic conf.'!$G$18</f>
        <v>1.5811661308210434</v>
      </c>
    </row>
    <row r="26" spans="2:39" ht="14.4">
      <c r="B26" s="297"/>
      <c r="C26" s="297"/>
      <c r="D26" s="297"/>
      <c r="E26" s="1258"/>
      <c r="F26" s="297" t="s">
        <v>1420</v>
      </c>
      <c r="G26" s="297"/>
      <c r="H26" s="297"/>
      <c r="I26" s="297"/>
      <c r="J26" s="297"/>
      <c r="K26" s="306"/>
      <c r="L26" s="306"/>
      <c r="M26" s="307">
        <f>(28-1)*O19*1.5</f>
        <v>13.770000000000003</v>
      </c>
      <c r="N26" s="306"/>
      <c r="O26" s="306"/>
      <c r="P26" s="306"/>
      <c r="Q26" s="306"/>
      <c r="R26" s="1260"/>
      <c r="S26" s="1260"/>
      <c r="T26" s="1258"/>
      <c r="U26" s="1258"/>
      <c r="V26" s="1258"/>
      <c r="W26" s="1258"/>
      <c r="X26" s="1258"/>
      <c r="AA26" s="311" t="s">
        <v>434</v>
      </c>
      <c r="AB26" s="299">
        <v>0.08</v>
      </c>
      <c r="AC26" s="69">
        <v>2</v>
      </c>
      <c r="AD26" s="313">
        <v>0.16</v>
      </c>
      <c r="AF26" s="69">
        <f t="shared" si="3"/>
        <v>0.16</v>
      </c>
      <c r="AJ26" s="141"/>
    </row>
    <row r="27" spans="2:39" ht="14.4">
      <c r="B27" s="297"/>
      <c r="C27" s="297"/>
      <c r="D27" s="297"/>
      <c r="E27" s="1258"/>
      <c r="F27" s="297" t="s">
        <v>1776</v>
      </c>
      <c r="G27" s="297"/>
      <c r="H27" s="297"/>
      <c r="I27" s="297"/>
      <c r="J27" s="297"/>
      <c r="K27" s="306"/>
      <c r="L27" s="306"/>
      <c r="M27" s="307">
        <f>-M26</f>
        <v>-13.770000000000003</v>
      </c>
      <c r="N27" s="306"/>
      <c r="O27" s="306"/>
      <c r="P27" s="306"/>
      <c r="Q27" s="306"/>
      <c r="R27" s="1260"/>
      <c r="S27" s="1260"/>
      <c r="T27" s="1258"/>
      <c r="U27" s="1258"/>
      <c r="V27" s="1258"/>
      <c r="W27" s="1258"/>
      <c r="X27" s="1258"/>
      <c r="AA27" s="311" t="s">
        <v>436</v>
      </c>
      <c r="AB27" s="312">
        <v>6.0999999999999999E-2</v>
      </c>
      <c r="AC27" s="69">
        <v>1.57</v>
      </c>
      <c r="AD27" s="313">
        <v>0.1</v>
      </c>
      <c r="AF27" s="69">
        <f t="shared" si="3"/>
        <v>9.5770000000000008E-2</v>
      </c>
      <c r="AJ27" s="141"/>
    </row>
    <row r="28" spans="2:39" ht="14.4">
      <c r="B28" s="297"/>
      <c r="C28" s="297"/>
      <c r="D28" s="297"/>
      <c r="E28" s="297"/>
      <c r="F28" s="297"/>
      <c r="G28" s="297"/>
      <c r="H28" s="297" t="s">
        <v>70</v>
      </c>
      <c r="I28" s="297">
        <f>I16</f>
        <v>2020</v>
      </c>
      <c r="J28" s="297"/>
      <c r="K28" s="306"/>
      <c r="L28" s="306"/>
      <c r="M28" s="306"/>
      <c r="N28" s="297"/>
      <c r="O28" s="306"/>
      <c r="P28" s="307"/>
      <c r="Q28" s="306"/>
      <c r="R28" s="298">
        <f>'81 Biogas Plant, Add. Straw'!Y16*7.45</f>
        <v>11.714618463068261</v>
      </c>
      <c r="S28" s="298">
        <f>'81 Biogas Plant, Add. Straw'!Y17*7.45</f>
        <v>1.6569936948015112</v>
      </c>
      <c r="T28" s="307"/>
      <c r="U28" s="1258"/>
      <c r="V28" s="309"/>
      <c r="W28" s="1258"/>
      <c r="X28" s="1258"/>
      <c r="AA28" s="311" t="s">
        <v>437</v>
      </c>
      <c r="AB28" s="312">
        <v>0</v>
      </c>
      <c r="AC28" s="69">
        <v>7.27</v>
      </c>
      <c r="AD28" s="313">
        <v>0</v>
      </c>
      <c r="AF28" s="69">
        <f t="shared" si="3"/>
        <v>0</v>
      </c>
      <c r="AJ28" s="141"/>
    </row>
    <row r="29" spans="2:39" ht="14.4">
      <c r="B29" s="297"/>
      <c r="C29" s="297"/>
      <c r="D29" s="297"/>
      <c r="E29" s="297"/>
      <c r="F29" s="297"/>
      <c r="G29" s="297"/>
      <c r="H29" s="297" t="s">
        <v>70</v>
      </c>
      <c r="I29" s="297">
        <f>I17</f>
        <v>2030</v>
      </c>
      <c r="J29" s="297"/>
      <c r="K29" s="306"/>
      <c r="L29" s="306"/>
      <c r="M29" s="306"/>
      <c r="N29" s="297"/>
      <c r="O29" s="306"/>
      <c r="P29" s="307"/>
      <c r="Q29" s="306"/>
      <c r="R29" s="298">
        <f>'81 Biogas Plant, Add. Straw'!Z16*7.45</f>
        <v>10.571772766125708</v>
      </c>
      <c r="S29" s="298">
        <f>'81 Biogas Plant, Add. Straw'!Z17*7.45</f>
        <v>1.7009656506304474</v>
      </c>
      <c r="T29" s="307"/>
      <c r="U29" s="1258"/>
      <c r="V29" s="309"/>
      <c r="W29" s="1258"/>
      <c r="X29" s="1258"/>
      <c r="AA29" s="311" t="s">
        <v>438</v>
      </c>
      <c r="AB29" s="299">
        <v>0.05</v>
      </c>
      <c r="AC29" s="69">
        <v>4.83</v>
      </c>
      <c r="AD29" s="313">
        <v>0.25</v>
      </c>
      <c r="AF29" s="69">
        <f t="shared" si="3"/>
        <v>0.24150000000000002</v>
      </c>
    </row>
    <row r="30" spans="2:39" ht="14.4">
      <c r="B30" s="297"/>
      <c r="C30" s="318"/>
      <c r="D30" s="318"/>
      <c r="E30" s="318"/>
      <c r="F30" s="318"/>
      <c r="G30" s="318"/>
      <c r="H30" s="318" t="s">
        <v>70</v>
      </c>
      <c r="I30" s="318">
        <f>I18</f>
        <v>2050</v>
      </c>
      <c r="J30" s="318"/>
      <c r="K30" s="319"/>
      <c r="L30" s="319"/>
      <c r="M30" s="319"/>
      <c r="N30" s="318"/>
      <c r="O30" s="319"/>
      <c r="P30" s="328"/>
      <c r="Q30" s="319"/>
      <c r="R30" s="320">
        <f>'81 Biogas Plant, Add. Straw'!AA16*7.45</f>
        <v>9.5432116388774109</v>
      </c>
      <c r="S30" s="320">
        <f>'81 Biogas Plant, Add. Straw'!AA17*7.45</f>
        <v>1.6999352666911234</v>
      </c>
      <c r="T30" s="328"/>
      <c r="U30" s="1259"/>
      <c r="V30" s="329"/>
      <c r="W30" s="1258"/>
      <c r="X30" s="1258"/>
      <c r="AA30" s="311" t="s">
        <v>439</v>
      </c>
      <c r="AB30" s="312">
        <v>1.6E-2</v>
      </c>
      <c r="AC30" s="69">
        <v>3.41</v>
      </c>
      <c r="AD30" s="313">
        <v>0.06</v>
      </c>
      <c r="AF30" s="69">
        <f t="shared" si="3"/>
        <v>5.4560000000000004E-2</v>
      </c>
    </row>
    <row r="31" spans="2:39" ht="14.4">
      <c r="B31" s="297" t="str">
        <f>"SUP"&amp;G31&amp;RIGHT(E33,3)&amp;"1N"</f>
        <v>SUPBGAWST1N</v>
      </c>
      <c r="C31" s="297" t="s">
        <v>443</v>
      </c>
      <c r="D31" s="297"/>
      <c r="E31" s="297" t="s">
        <v>430</v>
      </c>
      <c r="F31" s="297"/>
      <c r="G31" s="297" t="s">
        <v>431</v>
      </c>
      <c r="H31" s="297" t="s">
        <v>70</v>
      </c>
      <c r="I31" s="297">
        <v>2015</v>
      </c>
      <c r="J31" s="297"/>
      <c r="K31" s="306">
        <f>1/(SUMPRODUCT(AB25:AB32,AC25:AC32)/'81 Biogas Plant, Basic conf.'!$G$18)</f>
        <v>0.79226732186627835</v>
      </c>
      <c r="L31" s="297"/>
      <c r="M31" s="297"/>
      <c r="N31" s="297">
        <f>'81 Biogas Plant, Add. Org Waste'!D23</f>
        <v>20</v>
      </c>
      <c r="O31" s="306">
        <f>AD25+AD27</f>
        <v>0.44000000000000006</v>
      </c>
      <c r="P31" s="307">
        <v>5</v>
      </c>
      <c r="Q31" s="298">
        <f>Q19</f>
        <v>0.9726027397260274</v>
      </c>
      <c r="R31" s="298">
        <f>'81 Biogas Plant, Add. Org Waste'!X16*7.45</f>
        <v>12.396523799386882</v>
      </c>
      <c r="S31" s="298">
        <f>'81 Biogas Plant, Add. Org Waste'!X17*7.45</f>
        <v>1.6757905114452867</v>
      </c>
      <c r="T31" s="307"/>
      <c r="U31" s="1260">
        <f>U19</f>
        <v>3.1536000000000002E-2</v>
      </c>
      <c r="V31" s="309">
        <v>-2</v>
      </c>
      <c r="W31" s="1258"/>
      <c r="X31" s="1258"/>
      <c r="AA31" s="311" t="s">
        <v>440</v>
      </c>
      <c r="AC31" s="69">
        <f>(1.5+3.5)/2</f>
        <v>2.5</v>
      </c>
      <c r="AD31" s="313">
        <v>0</v>
      </c>
      <c r="AF31" s="69">
        <f t="shared" si="3"/>
        <v>0</v>
      </c>
    </row>
    <row r="32" spans="2:39" ht="14.4">
      <c r="B32" s="297"/>
      <c r="C32" s="297"/>
      <c r="D32" s="1258"/>
      <c r="E32" s="297" t="s">
        <v>433</v>
      </c>
      <c r="F32" s="297"/>
      <c r="G32" s="297"/>
      <c r="H32" s="297"/>
      <c r="I32" s="297"/>
      <c r="J32" s="297"/>
      <c r="K32" s="306">
        <f>K31*'81 Biogas Plant, Basic conf.'!$H$18/'81 Biogas Plant, Basic conf.'!$G$18</f>
        <v>0.74436164939951088</v>
      </c>
      <c r="L32" s="297"/>
      <c r="M32" s="297"/>
      <c r="N32" s="297"/>
      <c r="O32" s="306">
        <f>AD26</f>
        <v>0.16</v>
      </c>
      <c r="P32" s="307"/>
      <c r="Q32" s="306"/>
      <c r="R32" s="307"/>
      <c r="S32" s="307"/>
      <c r="T32" s="307"/>
      <c r="U32" s="1258"/>
      <c r="V32" s="309"/>
      <c r="W32" s="1258"/>
      <c r="X32" s="1258"/>
      <c r="AA32" s="311" t="s">
        <v>441</v>
      </c>
      <c r="AB32" s="312">
        <v>3.5000000000000003E-2</v>
      </c>
      <c r="AC32" s="69">
        <v>3.5</v>
      </c>
      <c r="AD32" s="313">
        <v>0.09</v>
      </c>
      <c r="AF32" s="69">
        <f t="shared" si="3"/>
        <v>0.12250000000000001</v>
      </c>
    </row>
    <row r="33" spans="2:32" ht="15" thickBot="1">
      <c r="B33" s="297"/>
      <c r="C33" s="297"/>
      <c r="D33" s="1258"/>
      <c r="E33" s="297" t="s">
        <v>435</v>
      </c>
      <c r="F33" s="297"/>
      <c r="G33" s="297"/>
      <c r="H33" s="297"/>
      <c r="I33" s="297"/>
      <c r="J33" s="297"/>
      <c r="K33" s="306">
        <f>K32</f>
        <v>0.74436164939951088</v>
      </c>
      <c r="L33" s="1258"/>
      <c r="M33" s="306"/>
      <c r="N33" s="297"/>
      <c r="O33" s="306">
        <f>SUM(AD29:AD30)</f>
        <v>0.31</v>
      </c>
      <c r="P33" s="307"/>
      <c r="Q33" s="306"/>
      <c r="R33" s="307"/>
      <c r="S33" s="307"/>
      <c r="T33" s="307"/>
      <c r="U33" s="1258"/>
      <c r="V33" s="309"/>
      <c r="W33" s="1258"/>
      <c r="X33" s="1258"/>
      <c r="AA33" s="325"/>
      <c r="AB33" s="326">
        <f>SUM(AB25:AB32)</f>
        <v>1</v>
      </c>
      <c r="AC33" s="107"/>
      <c r="AD33" s="327">
        <f>SUM(AD25:AD32)</f>
        <v>0.99999999999999989</v>
      </c>
      <c r="AF33" s="69">
        <f>SUM(AF25:AF32)</f>
        <v>1.0078500000000001</v>
      </c>
    </row>
    <row r="34" spans="2:32" ht="14.4">
      <c r="B34" s="297"/>
      <c r="C34" s="297"/>
      <c r="D34" s="1258"/>
      <c r="E34" s="297" t="s">
        <v>1772</v>
      </c>
      <c r="F34" s="297"/>
      <c r="G34" s="297"/>
      <c r="H34" s="297"/>
      <c r="I34" s="297"/>
      <c r="J34" s="297"/>
      <c r="K34" s="306">
        <f>K33</f>
        <v>0.74436164939951088</v>
      </c>
      <c r="L34" s="1258"/>
      <c r="M34" s="306"/>
      <c r="N34" s="297"/>
      <c r="O34" s="306">
        <f>AD32</f>
        <v>0.09</v>
      </c>
      <c r="P34" s="307"/>
      <c r="Q34" s="306"/>
      <c r="R34" s="307"/>
      <c r="S34" s="307"/>
      <c r="T34" s="307"/>
      <c r="U34" s="1258"/>
      <c r="V34" s="309"/>
      <c r="W34" s="1258"/>
      <c r="X34" s="1258"/>
      <c r="AF34" s="1256">
        <f>AF33/'81 Biogas Plant, Basic conf.'!$G$18</f>
        <v>1.2622002351988759</v>
      </c>
    </row>
    <row r="35" spans="2:32" ht="14.4">
      <c r="B35" s="297"/>
      <c r="C35" s="297"/>
      <c r="D35" s="297" t="s">
        <v>71</v>
      </c>
      <c r="E35" s="1258"/>
      <c r="F35" s="297"/>
      <c r="G35" s="297"/>
      <c r="H35" s="297"/>
      <c r="I35" s="297"/>
      <c r="J35" s="297"/>
      <c r="K35" s="306"/>
      <c r="L35" s="306">
        <f>'81 Biogas Plant, Add. Org Waste'!Y18</f>
        <v>3.5044044606867872E-2</v>
      </c>
      <c r="M35" s="306"/>
      <c r="N35" s="297"/>
      <c r="O35" s="306"/>
      <c r="P35" s="307"/>
      <c r="Q35" s="306"/>
      <c r="R35" s="307"/>
      <c r="S35" s="307"/>
      <c r="T35" s="307"/>
      <c r="U35" s="1258"/>
      <c r="V35" s="309"/>
      <c r="W35" s="1261"/>
      <c r="X35" s="1258"/>
    </row>
    <row r="36" spans="2:32" s="1272" customFormat="1" ht="14.4">
      <c r="B36" s="297"/>
      <c r="C36" s="297"/>
      <c r="D36" s="297" t="s">
        <v>160</v>
      </c>
      <c r="E36" s="297"/>
      <c r="F36" s="297"/>
      <c r="G36" s="1258"/>
      <c r="H36" s="297"/>
      <c r="I36" s="297"/>
      <c r="J36" s="297"/>
      <c r="K36" s="1258"/>
      <c r="L36" s="306">
        <f>'81 Biogas Plant, Add. Org Waste'!Y19</f>
        <v>8.1469514149582353E-2</v>
      </c>
      <c r="M36" s="306"/>
      <c r="N36" s="297"/>
      <c r="O36" s="306"/>
      <c r="P36" s="307"/>
      <c r="Q36" s="306"/>
      <c r="R36" s="307"/>
      <c r="S36" s="307"/>
      <c r="T36" s="307"/>
      <c r="U36" s="1258"/>
      <c r="V36" s="309"/>
      <c r="W36" s="1261"/>
      <c r="X36" s="1258"/>
    </row>
    <row r="37" spans="2:32" ht="14.4">
      <c r="B37" s="297"/>
      <c r="C37" s="297"/>
      <c r="D37" s="297"/>
      <c r="E37" s="1258"/>
      <c r="F37" s="297" t="s">
        <v>1420</v>
      </c>
      <c r="G37" s="297"/>
      <c r="H37" s="297"/>
      <c r="I37" s="297"/>
      <c r="J37" s="297"/>
      <c r="K37" s="306"/>
      <c r="L37" s="306"/>
      <c r="M37" s="307">
        <f>(28-1)*O31*1.5</f>
        <v>17.82</v>
      </c>
      <c r="N37" s="306"/>
      <c r="O37" s="306"/>
      <c r="P37" s="306"/>
      <c r="Q37" s="306"/>
      <c r="R37" s="1260"/>
      <c r="S37" s="1260"/>
      <c r="T37" s="1258"/>
      <c r="U37" s="1258"/>
      <c r="V37" s="1258"/>
      <c r="W37" s="1258"/>
      <c r="X37" s="1258"/>
    </row>
    <row r="38" spans="2:32" ht="14.4">
      <c r="B38" s="297"/>
      <c r="C38" s="297"/>
      <c r="D38" s="297"/>
      <c r="E38" s="1258"/>
      <c r="F38" s="297" t="s">
        <v>1776</v>
      </c>
      <c r="G38" s="297"/>
      <c r="H38" s="297"/>
      <c r="I38" s="297"/>
      <c r="J38" s="297"/>
      <c r="K38" s="306"/>
      <c r="L38" s="306"/>
      <c r="M38" s="307">
        <f>-M37</f>
        <v>-17.82</v>
      </c>
      <c r="N38" s="306"/>
      <c r="O38" s="306"/>
      <c r="P38" s="306"/>
      <c r="Q38" s="306"/>
      <c r="R38" s="1260"/>
      <c r="S38" s="1260"/>
      <c r="T38" s="1258"/>
      <c r="U38" s="1258"/>
      <c r="V38" s="1258"/>
      <c r="W38" s="1258"/>
      <c r="X38" s="1258"/>
    </row>
    <row r="39" spans="2:32" ht="14.4">
      <c r="B39" s="297"/>
      <c r="C39" s="297"/>
      <c r="D39" s="297"/>
      <c r="E39" s="297"/>
      <c r="F39" s="297"/>
      <c r="G39" s="297"/>
      <c r="H39" s="297" t="s">
        <v>70</v>
      </c>
      <c r="I39" s="297">
        <f>I28</f>
        <v>2020</v>
      </c>
      <c r="J39" s="297"/>
      <c r="K39" s="306"/>
      <c r="L39" s="1258"/>
      <c r="M39" s="306"/>
      <c r="N39" s="297"/>
      <c r="O39" s="306"/>
      <c r="P39" s="307"/>
      <c r="Q39" s="306"/>
      <c r="R39" s="298">
        <f>'81 Biogas Plant, Add. Org Waste'!Y16*7.45</f>
        <v>11.640848908474315</v>
      </c>
      <c r="S39" s="298">
        <f>'81 Biogas Plant, Add. Org Waste'!Y16*7.45</f>
        <v>11.640848908474315</v>
      </c>
      <c r="T39" s="307"/>
      <c r="U39" s="1258"/>
      <c r="V39" s="309"/>
      <c r="W39" s="1258"/>
      <c r="X39" s="1258"/>
    </row>
    <row r="40" spans="2:32" ht="14.4">
      <c r="B40" s="297"/>
      <c r="C40" s="297"/>
      <c r="D40" s="297"/>
      <c r="E40" s="297"/>
      <c r="F40" s="297"/>
      <c r="G40" s="297"/>
      <c r="H40" s="297" t="s">
        <v>70</v>
      </c>
      <c r="I40" s="297">
        <f>I29</f>
        <v>2030</v>
      </c>
      <c r="J40" s="297"/>
      <c r="K40" s="306"/>
      <c r="L40" s="306"/>
      <c r="M40" s="306"/>
      <c r="N40" s="297"/>
      <c r="O40" s="306"/>
      <c r="P40" s="307"/>
      <c r="Q40" s="306"/>
      <c r="R40" s="298">
        <f>'81 Biogas Plant, Add. Org Waste'!Z16*7.45</f>
        <v>10.498003211531762</v>
      </c>
      <c r="S40" s="298">
        <f>'81 Biogas Plant, Add. Org Waste'!Z16*7.45</f>
        <v>10.498003211531762</v>
      </c>
      <c r="T40" s="307"/>
      <c r="U40" s="1258"/>
      <c r="V40" s="309"/>
      <c r="W40" s="1258"/>
      <c r="X40" s="1258"/>
    </row>
    <row r="41" spans="2:32" ht="14.4">
      <c r="B41" s="318"/>
      <c r="C41" s="318"/>
      <c r="D41" s="318"/>
      <c r="E41" s="318"/>
      <c r="F41" s="318"/>
      <c r="G41" s="318"/>
      <c r="H41" s="318" t="s">
        <v>70</v>
      </c>
      <c r="I41" s="318">
        <f>I30</f>
        <v>2050</v>
      </c>
      <c r="J41" s="318"/>
      <c r="K41" s="319"/>
      <c r="L41" s="319"/>
      <c r="M41" s="319"/>
      <c r="N41" s="318"/>
      <c r="O41" s="319"/>
      <c r="P41" s="328"/>
      <c r="Q41" s="319"/>
      <c r="R41" s="320">
        <f>'81 Biogas Plant, Add. Org Waste'!AA16*7.45</f>
        <v>9.4694420842834646</v>
      </c>
      <c r="S41" s="320">
        <f>'81 Biogas Plant, Add. Org Waste'!AA16*7.45</f>
        <v>9.4694420842834646</v>
      </c>
      <c r="T41" s="328"/>
      <c r="U41" s="1259"/>
      <c r="V41" s="329"/>
      <c r="W41" s="1258"/>
      <c r="X41" s="1258"/>
    </row>
    <row r="42" spans="2:32" ht="14.4">
      <c r="B42" s="297" t="str">
        <f>"SUP"&amp;G42&amp;RIGHT(E45,3)&amp;"1N"</f>
        <v>SUPBGAGRS1N</v>
      </c>
      <c r="C42" s="297" t="s">
        <v>444</v>
      </c>
      <c r="D42" s="297"/>
      <c r="E42" s="297" t="str">
        <f>E19</f>
        <v>SUPMNR</v>
      </c>
      <c r="F42" s="306"/>
      <c r="G42" s="306" t="str">
        <f>G19</f>
        <v>BGA</v>
      </c>
      <c r="H42" s="306" t="str">
        <f>H19</f>
        <v>MKr15</v>
      </c>
      <c r="I42" s="297">
        <f>I19</f>
        <v>2015</v>
      </c>
      <c r="J42" s="297"/>
      <c r="K42" s="306">
        <f>K19</f>
        <v>0.63244461192748636</v>
      </c>
      <c r="L42" s="306"/>
      <c r="M42" s="306"/>
      <c r="N42" s="297">
        <f>N19</f>
        <v>20</v>
      </c>
      <c r="O42" s="306">
        <f>O19</f>
        <v>0.34</v>
      </c>
      <c r="P42" s="307">
        <v>5</v>
      </c>
      <c r="Q42" s="298">
        <f>Q19</f>
        <v>0.9726027397260274</v>
      </c>
      <c r="R42" s="298">
        <f>R19</f>
        <v>12.49227037341001</v>
      </c>
      <c r="S42" s="298">
        <f>S19</f>
        <v>1.6880661113319619</v>
      </c>
      <c r="T42" s="307"/>
      <c r="U42" s="298">
        <f>U19</f>
        <v>3.1536000000000002E-2</v>
      </c>
      <c r="V42" s="309">
        <v>-2</v>
      </c>
      <c r="W42" s="1258"/>
      <c r="X42" s="1258"/>
    </row>
    <row r="43" spans="2:32" ht="14.4">
      <c r="B43" s="297"/>
      <c r="C43" s="297"/>
      <c r="D43" s="297"/>
      <c r="E43" s="297" t="str">
        <f>E20</f>
        <v>SUPDLI</v>
      </c>
      <c r="F43" s="306"/>
      <c r="G43" s="306"/>
      <c r="H43" s="306"/>
      <c r="I43" s="306"/>
      <c r="J43" s="306"/>
      <c r="K43" s="306">
        <f>K20</f>
        <v>0.59420286751096763</v>
      </c>
      <c r="L43" s="306"/>
      <c r="M43" s="306"/>
      <c r="N43" s="297"/>
      <c r="O43" s="306">
        <f>O20</f>
        <v>0.13</v>
      </c>
      <c r="P43" s="306"/>
      <c r="Q43" s="306"/>
      <c r="R43" s="307"/>
      <c r="S43" s="307"/>
      <c r="T43" s="307"/>
      <c r="U43" s="1258"/>
      <c r="V43" s="309"/>
      <c r="W43" s="1258"/>
      <c r="X43" s="1258"/>
    </row>
    <row r="44" spans="2:32" ht="14.4">
      <c r="B44" s="297"/>
      <c r="C44" s="297"/>
      <c r="D44" s="1258"/>
      <c r="E44" s="297" t="str">
        <f>E21</f>
        <v>SUPWST</v>
      </c>
      <c r="F44" s="306"/>
      <c r="G44" s="306"/>
      <c r="H44" s="306"/>
      <c r="I44" s="306"/>
      <c r="J44" s="306"/>
      <c r="K44" s="306">
        <f>K21</f>
        <v>0.59420286751096763</v>
      </c>
      <c r="L44" s="306"/>
      <c r="M44" s="306"/>
      <c r="N44" s="297"/>
      <c r="O44" s="306">
        <f>O21</f>
        <v>0.08</v>
      </c>
      <c r="P44" s="306"/>
      <c r="Q44" s="306"/>
      <c r="R44" s="1258"/>
      <c r="S44" s="1258"/>
      <c r="T44" s="1258"/>
      <c r="U44" s="1258"/>
      <c r="V44" s="1258"/>
      <c r="W44" s="1258"/>
      <c r="X44" s="1258"/>
    </row>
    <row r="45" spans="2:32" ht="14.4">
      <c r="B45" s="297"/>
      <c r="C45" s="297"/>
      <c r="D45" s="1258"/>
      <c r="E45" s="297" t="s">
        <v>445</v>
      </c>
      <c r="F45" s="306"/>
      <c r="G45" s="306"/>
      <c r="H45" s="306"/>
      <c r="I45" s="306"/>
      <c r="J45" s="306"/>
      <c r="K45" s="306">
        <f>K22</f>
        <v>0.59420286751096763</v>
      </c>
      <c r="L45" s="306"/>
      <c r="M45" s="306"/>
      <c r="N45" s="297"/>
      <c r="O45" s="306">
        <f>O22</f>
        <v>0.37</v>
      </c>
      <c r="P45" s="306"/>
      <c r="Q45" s="306"/>
      <c r="R45" s="297"/>
      <c r="S45" s="297"/>
      <c r="T45" s="297"/>
      <c r="U45" s="1258"/>
      <c r="V45" s="297"/>
      <c r="W45" s="1258"/>
      <c r="X45" s="1258"/>
    </row>
    <row r="46" spans="2:32" ht="14.4">
      <c r="B46" s="297"/>
      <c r="C46" s="297"/>
      <c r="D46" s="1258"/>
      <c r="E46" s="297" t="s">
        <v>1772</v>
      </c>
      <c r="F46" s="297"/>
      <c r="G46" s="297"/>
      <c r="H46" s="297"/>
      <c r="I46" s="297"/>
      <c r="J46" s="297"/>
      <c r="K46" s="306">
        <f>K23</f>
        <v>0.59420286751096763</v>
      </c>
      <c r="L46" s="306"/>
      <c r="M46" s="306"/>
      <c r="N46" s="297"/>
      <c r="O46" s="306">
        <f>AK45</f>
        <v>0</v>
      </c>
      <c r="P46" s="307"/>
      <c r="Q46" s="306"/>
      <c r="R46" s="307"/>
      <c r="S46" s="307"/>
      <c r="T46" s="307"/>
      <c r="U46" s="1258"/>
      <c r="V46" s="309"/>
      <c r="W46" s="1258"/>
      <c r="X46" s="1258"/>
    </row>
    <row r="47" spans="2:32" ht="14.4">
      <c r="B47" s="297"/>
      <c r="C47" s="297"/>
      <c r="D47" s="297" t="s">
        <v>71</v>
      </c>
      <c r="E47" s="297"/>
      <c r="F47" s="306"/>
      <c r="G47" s="306"/>
      <c r="H47" s="306"/>
      <c r="I47" s="306"/>
      <c r="J47" s="306"/>
      <c r="K47" s="306"/>
      <c r="L47" s="306">
        <f>L24</f>
        <v>3.7194624472035538E-2</v>
      </c>
      <c r="M47" s="306"/>
      <c r="N47" s="297"/>
      <c r="O47" s="306"/>
      <c r="P47" s="306"/>
      <c r="Q47" s="306"/>
      <c r="R47" s="297"/>
      <c r="S47" s="297"/>
      <c r="T47" s="297"/>
      <c r="U47" s="1258"/>
      <c r="V47" s="297"/>
      <c r="W47" s="1261"/>
      <c r="X47" s="1258"/>
    </row>
    <row r="48" spans="2:32" ht="14.4">
      <c r="B48" s="297"/>
      <c r="C48" s="297"/>
      <c r="D48" s="297" t="s">
        <v>160</v>
      </c>
      <c r="E48" s="297"/>
      <c r="F48" s="297"/>
      <c r="G48" s="1258"/>
      <c r="H48" s="1258"/>
      <c r="I48" s="1258"/>
      <c r="J48" s="1258"/>
      <c r="K48" s="1258"/>
      <c r="L48" s="306">
        <f>L25</f>
        <v>8.0905415078096621E-2</v>
      </c>
      <c r="M48" s="306"/>
      <c r="N48" s="297"/>
      <c r="O48" s="306"/>
      <c r="P48" s="306"/>
      <c r="Q48" s="306"/>
      <c r="R48" s="297"/>
      <c r="S48" s="297"/>
      <c r="T48" s="297"/>
      <c r="U48" s="1258"/>
      <c r="V48" s="297"/>
      <c r="W48" s="1258"/>
      <c r="X48" s="1258"/>
    </row>
    <row r="49" spans="2:24" ht="14.4">
      <c r="B49" s="297"/>
      <c r="C49" s="297"/>
      <c r="D49" s="297"/>
      <c r="E49" s="1258"/>
      <c r="F49" s="297" t="s">
        <v>1420</v>
      </c>
      <c r="G49" s="297"/>
      <c r="H49" s="297"/>
      <c r="I49" s="297"/>
      <c r="J49" s="297"/>
      <c r="K49" s="306"/>
      <c r="L49" s="306"/>
      <c r="M49" s="307">
        <f>(28-1)*O42*1.5</f>
        <v>13.770000000000003</v>
      </c>
      <c r="N49" s="306"/>
      <c r="O49" s="306"/>
      <c r="P49" s="306"/>
      <c r="Q49" s="306"/>
      <c r="R49" s="1260"/>
      <c r="S49" s="1260"/>
      <c r="T49" s="1258"/>
      <c r="U49" s="1258"/>
      <c r="V49" s="1258"/>
      <c r="W49" s="1258"/>
      <c r="X49" s="1258"/>
    </row>
    <row r="50" spans="2:24" s="1256" customFormat="1" ht="14.4">
      <c r="B50" s="297"/>
      <c r="C50" s="297"/>
      <c r="D50" s="297"/>
      <c r="E50" s="1258"/>
      <c r="F50" s="297" t="s">
        <v>1776</v>
      </c>
      <c r="G50" s="297"/>
      <c r="H50" s="297"/>
      <c r="I50" s="297"/>
      <c r="J50" s="297"/>
      <c r="K50" s="306"/>
      <c r="L50" s="306"/>
      <c r="M50" s="307">
        <f>-M49</f>
        <v>-13.770000000000003</v>
      </c>
      <c r="N50" s="306"/>
      <c r="O50" s="306"/>
      <c r="P50" s="306"/>
      <c r="Q50" s="306"/>
      <c r="R50" s="1260"/>
      <c r="S50" s="1260"/>
      <c r="T50" s="1258"/>
      <c r="U50" s="1258"/>
      <c r="V50" s="1258"/>
      <c r="W50" s="1258"/>
      <c r="X50" s="1258"/>
    </row>
    <row r="51" spans="2:24" ht="14.4">
      <c r="B51" s="297"/>
      <c r="C51" s="297"/>
      <c r="D51" s="297"/>
      <c r="E51" s="297"/>
      <c r="F51" s="297"/>
      <c r="G51" s="1258"/>
      <c r="H51" s="297" t="s">
        <v>70</v>
      </c>
      <c r="I51" s="297">
        <f>I28</f>
        <v>2020</v>
      </c>
      <c r="J51" s="297"/>
      <c r="K51" s="1258"/>
      <c r="L51" s="306"/>
      <c r="M51" s="306"/>
      <c r="N51" s="297"/>
      <c r="O51" s="306"/>
      <c r="P51" s="306"/>
      <c r="Q51" s="306"/>
      <c r="R51" s="298">
        <f t="shared" ref="R51:S53" si="4">R28</f>
        <v>11.714618463068261</v>
      </c>
      <c r="S51" s="298">
        <f t="shared" si="4"/>
        <v>1.6569936948015112</v>
      </c>
      <c r="T51" s="297"/>
      <c r="U51" s="1258"/>
      <c r="V51" s="297"/>
      <c r="W51" s="1258"/>
      <c r="X51" s="1258"/>
    </row>
    <row r="52" spans="2:24" ht="14.4">
      <c r="B52" s="297"/>
      <c r="C52" s="297"/>
      <c r="D52" s="297"/>
      <c r="E52" s="297"/>
      <c r="F52" s="297"/>
      <c r="G52" s="1258"/>
      <c r="H52" s="297" t="s">
        <v>70</v>
      </c>
      <c r="I52" s="297">
        <f>I29</f>
        <v>2030</v>
      </c>
      <c r="J52" s="297"/>
      <c r="K52" s="1258"/>
      <c r="L52" s="306"/>
      <c r="M52" s="306"/>
      <c r="N52" s="297"/>
      <c r="O52" s="306"/>
      <c r="P52" s="306"/>
      <c r="Q52" s="306"/>
      <c r="R52" s="298">
        <f t="shared" si="4"/>
        <v>10.571772766125708</v>
      </c>
      <c r="S52" s="298">
        <f t="shared" si="4"/>
        <v>1.7009656506304474</v>
      </c>
      <c r="T52" s="297"/>
      <c r="U52" s="1258"/>
      <c r="V52" s="297"/>
      <c r="W52" s="1258"/>
      <c r="X52" s="1258"/>
    </row>
    <row r="53" spans="2:24" ht="14.4">
      <c r="B53" s="318"/>
      <c r="C53" s="318"/>
      <c r="D53" s="318"/>
      <c r="E53" s="318"/>
      <c r="F53" s="318"/>
      <c r="G53" s="1259"/>
      <c r="H53" s="318" t="s">
        <v>70</v>
      </c>
      <c r="I53" s="318">
        <f>I30</f>
        <v>2050</v>
      </c>
      <c r="J53" s="318"/>
      <c r="K53" s="1262"/>
      <c r="L53" s="319"/>
      <c r="M53" s="319"/>
      <c r="N53" s="318"/>
      <c r="O53" s="319"/>
      <c r="P53" s="319"/>
      <c r="Q53" s="319"/>
      <c r="R53" s="320">
        <f t="shared" si="4"/>
        <v>9.5432116388774109</v>
      </c>
      <c r="S53" s="320">
        <f t="shared" si="4"/>
        <v>1.6999352666911234</v>
      </c>
      <c r="T53" s="1259"/>
      <c r="U53" s="1259"/>
      <c r="V53" s="1259"/>
      <c r="W53" s="1258"/>
      <c r="X53" s="1258"/>
    </row>
    <row r="54" spans="2:24" ht="14.4">
      <c r="B54" s="1263"/>
      <c r="C54" s="1263"/>
      <c r="D54" s="1263"/>
      <c r="E54" s="1263"/>
      <c r="F54" s="1263"/>
      <c r="G54" s="1264"/>
      <c r="H54" s="1263"/>
      <c r="I54" s="1263"/>
      <c r="J54" s="1263"/>
      <c r="K54" s="1265"/>
      <c r="L54" s="1266"/>
      <c r="M54" s="1266"/>
      <c r="N54" s="1263"/>
      <c r="O54" s="1266"/>
      <c r="P54" s="1266"/>
      <c r="Q54" s="1266"/>
      <c r="R54" s="1267"/>
      <c r="S54" s="1267"/>
      <c r="T54" s="1264"/>
      <c r="U54" s="1264"/>
      <c r="V54" s="1264"/>
      <c r="W54" s="1258"/>
      <c r="X54" s="1258"/>
    </row>
    <row r="55" spans="2:24" ht="40.200000000000003">
      <c r="B55" s="297" t="s">
        <v>446</v>
      </c>
      <c r="C55" s="1258" t="s">
        <v>447</v>
      </c>
      <c r="D55" s="1258"/>
      <c r="E55" s="1268" t="s">
        <v>419</v>
      </c>
      <c r="F55" s="1258"/>
      <c r="G55" s="1258" t="s">
        <v>431</v>
      </c>
      <c r="H55" s="297" t="s">
        <v>70</v>
      </c>
      <c r="I55" s="1258">
        <f>'82 Biogas, upgrading'!$C$4</f>
        <v>2015</v>
      </c>
      <c r="J55" s="1258">
        <v>2030</v>
      </c>
      <c r="K55" s="1258">
        <f>'83 Gasif. Fixed Bed, Producer '!$C$13/100*'83 Gasif. Fixed Bed, Producer '!$C$9/100</f>
        <v>0.72519999999999996</v>
      </c>
      <c r="L55" s="1258"/>
      <c r="M55" s="1258"/>
      <c r="N55" s="1258"/>
      <c r="O55" s="1258"/>
      <c r="P55" s="1258"/>
      <c r="Q55" s="1260">
        <f>1-('83 Gasif. Fixed Bed, Producer '!$C$16/100+'83 Gasif. Fixed Bed, Producer '!$C$17*7*24/8760)</f>
        <v>0.8924657534246575</v>
      </c>
      <c r="R55" s="1258">
        <f>'83 Gasif. Fixed Bed, Producer '!$C$22*7.45</f>
        <v>10.43</v>
      </c>
      <c r="S55" s="1260">
        <f>'83 Gasif. Fixed Bed, Producer '!C25*7.45/1000000</f>
        <v>0.15645000000000001</v>
      </c>
      <c r="T55" s="1258">
        <f>'83 Gasif. Fixed Bed, Producer '!$C$26/3.6*7.45</f>
        <v>5.3805555555555555</v>
      </c>
      <c r="U55" s="298">
        <f>SUP_MethanationBGA!U57</f>
        <v>3.1536000000000002E-2</v>
      </c>
      <c r="V55" s="309">
        <v>-2</v>
      </c>
      <c r="W55" s="1258"/>
      <c r="X55" s="1258"/>
    </row>
    <row r="56" spans="2:24">
      <c r="B56" s="1258" t="s">
        <v>42</v>
      </c>
      <c r="C56" s="1258"/>
      <c r="D56" s="1258" t="s">
        <v>71</v>
      </c>
      <c r="E56" s="1258"/>
      <c r="F56" s="1258"/>
      <c r="G56" s="1258"/>
      <c r="H56" s="1258"/>
      <c r="I56" s="1258"/>
      <c r="J56" s="1258"/>
      <c r="K56" s="1258"/>
      <c r="L56" s="1258">
        <f>('83 Gasif. Fixed Bed, Producer '!$C$10/100*'83 Gasif. Fixed Bed, Producer '!$C$13/100)/K55</f>
        <v>2.0408163265306124E-2</v>
      </c>
      <c r="M56" s="1258"/>
      <c r="N56" s="1258"/>
      <c r="O56" s="1258"/>
      <c r="P56" s="1258"/>
      <c r="Q56" s="1258"/>
      <c r="R56" s="1258"/>
      <c r="S56" s="1260"/>
      <c r="T56" s="1258"/>
      <c r="U56" s="1258"/>
      <c r="V56" s="1258"/>
      <c r="W56" s="1258"/>
      <c r="X56" s="1258"/>
    </row>
    <row r="57" spans="2:24">
      <c r="B57" s="1258" t="s">
        <v>42</v>
      </c>
      <c r="C57" s="1258"/>
      <c r="D57" s="1258"/>
      <c r="E57" s="1258"/>
      <c r="F57" s="1258" t="s">
        <v>259</v>
      </c>
      <c r="G57" s="1258"/>
      <c r="H57" s="1258"/>
      <c r="I57" s="1258"/>
      <c r="J57" s="1258"/>
      <c r="K57" s="1258"/>
      <c r="L57" s="1258"/>
      <c r="M57" s="1258">
        <f>'83 Gasif. Fixed Bed, Producer '!$C$14/100</f>
        <v>0.1</v>
      </c>
      <c r="N57" s="1258"/>
      <c r="O57" s="1258"/>
      <c r="P57" s="1258"/>
      <c r="Q57" s="1258"/>
      <c r="R57" s="1258"/>
      <c r="S57" s="1260"/>
      <c r="T57" s="1258"/>
      <c r="U57" s="1258"/>
      <c r="V57" s="1258"/>
      <c r="W57" s="1258"/>
      <c r="X57" s="1258"/>
    </row>
    <row r="58" spans="2:24" ht="40.200000000000003">
      <c r="B58" s="1258" t="s">
        <v>42</v>
      </c>
      <c r="C58" s="1258"/>
      <c r="D58" s="1258"/>
      <c r="E58" s="1268" t="s">
        <v>419</v>
      </c>
      <c r="F58" s="1258"/>
      <c r="G58" s="1258" t="s">
        <v>431</v>
      </c>
      <c r="H58" s="297" t="s">
        <v>70</v>
      </c>
      <c r="I58" s="1258">
        <f>'82 Biogas, upgrading'!$D$4</f>
        <v>2020</v>
      </c>
      <c r="J58" s="1258"/>
      <c r="K58" s="1258">
        <f>'83 Gasif. Fixed Bed, Producer '!$D$13/100*'83 Gasif. Fixed Bed, Producer '!$D$9/100</f>
        <v>0.73499999999999999</v>
      </c>
      <c r="L58" s="1258"/>
      <c r="M58" s="1258"/>
      <c r="N58" s="1258"/>
      <c r="O58" s="1258"/>
      <c r="P58" s="1258"/>
      <c r="Q58" s="1260">
        <f>1-('83 Gasif. Fixed Bed, Producer '!$D$16/100+'83 Gasif. Fixed Bed, Producer '!$D$17*7*24/8760)</f>
        <v>0.8924657534246575</v>
      </c>
      <c r="R58" s="1258">
        <f>'83 Gasif. Fixed Bed, Producer '!$D$22*7.45</f>
        <v>9.6850000000000005</v>
      </c>
      <c r="S58" s="1260">
        <f>'83 Gasif. Fixed Bed, Producer '!$D$25*7.45/1000000</f>
        <v>0.14899999999999999</v>
      </c>
      <c r="T58" s="1258">
        <f>'83 Gasif. Fixed Bed, Producer '!$D$26/3.6*7.45</f>
        <v>5.1736111111111107</v>
      </c>
      <c r="U58" s="298">
        <f>U55</f>
        <v>3.1536000000000002E-2</v>
      </c>
      <c r="V58" s="309">
        <v>-2</v>
      </c>
      <c r="W58" s="1258"/>
      <c r="X58" s="1258"/>
    </row>
    <row r="59" spans="2:24">
      <c r="B59" s="1258" t="s">
        <v>42</v>
      </c>
      <c r="C59" s="1258"/>
      <c r="D59" s="1258" t="s">
        <v>71</v>
      </c>
      <c r="E59" s="1268"/>
      <c r="F59" s="1258"/>
      <c r="G59" s="1258"/>
      <c r="H59" s="1258"/>
      <c r="I59" s="1258"/>
      <c r="J59" s="1258"/>
      <c r="K59" s="1258"/>
      <c r="L59" s="1258">
        <f>('83 Gasif. Fixed Bed, Producer '!$D$10/100*'83 Gasif. Fixed Bed, Producer '!$D$13/100)/K58</f>
        <v>2.0408163265306121E-2</v>
      </c>
      <c r="M59" s="1258"/>
      <c r="N59" s="1258"/>
      <c r="O59" s="1258"/>
      <c r="P59" s="1258"/>
      <c r="Q59" s="1258"/>
      <c r="R59" s="1258"/>
      <c r="S59" s="1260"/>
      <c r="T59" s="1258"/>
      <c r="U59" s="1258"/>
      <c r="V59" s="1258"/>
      <c r="W59" s="1258"/>
      <c r="X59" s="1258"/>
    </row>
    <row r="60" spans="2:24">
      <c r="B60" s="1258" t="s">
        <v>42</v>
      </c>
      <c r="C60" s="1258"/>
      <c r="D60" s="1258"/>
      <c r="E60" s="1268"/>
      <c r="F60" s="1258" t="s">
        <v>259</v>
      </c>
      <c r="G60" s="1258"/>
      <c r="H60" s="1258"/>
      <c r="I60" s="1258"/>
      <c r="J60" s="1258"/>
      <c r="K60" s="1258"/>
      <c r="L60" s="1258"/>
      <c r="M60" s="1258">
        <f>'83 Gasif. Fixed Bed, Producer '!$D$14/100</f>
        <v>0.1</v>
      </c>
      <c r="N60" s="1258"/>
      <c r="O60" s="1258"/>
      <c r="P60" s="1258"/>
      <c r="Q60" s="1258"/>
      <c r="R60" s="1258"/>
      <c r="S60" s="1260"/>
      <c r="T60" s="1258"/>
      <c r="U60" s="1258"/>
      <c r="V60" s="1258"/>
      <c r="W60" s="1258"/>
    </row>
    <row r="61" spans="2:24" ht="40.200000000000003">
      <c r="B61" s="1258" t="s">
        <v>42</v>
      </c>
      <c r="C61" s="1258"/>
      <c r="D61" s="1258"/>
      <c r="E61" s="1268" t="s">
        <v>419</v>
      </c>
      <c r="F61" s="1258"/>
      <c r="G61" s="1258" t="s">
        <v>431</v>
      </c>
      <c r="H61" s="297" t="s">
        <v>70</v>
      </c>
      <c r="I61" s="1258">
        <f>'82 Biogas, upgrading'!$E$4</f>
        <v>2030</v>
      </c>
      <c r="J61" s="1258"/>
      <c r="K61" s="1258">
        <f>'83 Gasif. Fixed Bed, Producer '!$E$13/100*'83 Gasif. Fixed Bed, Producer '!$E$9/100</f>
        <v>0.75460000000000005</v>
      </c>
      <c r="L61" s="1258"/>
      <c r="M61" s="1258"/>
      <c r="N61" s="1258"/>
      <c r="O61" s="1258"/>
      <c r="P61" s="1258"/>
      <c r="Q61" s="1260">
        <f>1-('83 Gasif. Fixed Bed, Producer '!$E$16/100+'83 Gasif. Fixed Bed, Producer '!$E$17*7*24/8760)</f>
        <v>0.8924657534246575</v>
      </c>
      <c r="R61" s="1258">
        <f>'83 Gasif. Fixed Bed, Producer '!$E$22*7.45</f>
        <v>8.94</v>
      </c>
      <c r="S61" s="1260">
        <f>'83 Gasif. Fixed Bed, Producer '!$E$25*7.45/1000000</f>
        <v>0.1341</v>
      </c>
      <c r="T61" s="1258">
        <f>'83 Gasif. Fixed Bed, Producer '!$E$26/3.6*7.45</f>
        <v>4.552777777777778</v>
      </c>
      <c r="U61" s="298">
        <f>U58</f>
        <v>3.1536000000000002E-2</v>
      </c>
      <c r="V61" s="309">
        <v>-2</v>
      </c>
      <c r="W61" s="1258"/>
    </row>
    <row r="62" spans="2:24">
      <c r="B62" s="1258" t="s">
        <v>42</v>
      </c>
      <c r="C62" s="1258"/>
      <c r="D62" s="1258" t="s">
        <v>71</v>
      </c>
      <c r="E62" s="1268"/>
      <c r="F62" s="1258"/>
      <c r="G62" s="1258"/>
      <c r="H62" s="1258"/>
      <c r="I62" s="1258"/>
      <c r="J62" s="1258"/>
      <c r="K62" s="1258"/>
      <c r="L62" s="1258">
        <f>('83 Gasif. Fixed Bed, Producer '!$E$10/100*'83 Gasif. Fixed Bed, Producer '!$E$13/100)/K61</f>
        <v>2.0408163265306121E-2</v>
      </c>
      <c r="M62" s="1258"/>
      <c r="N62" s="1258"/>
      <c r="O62" s="1258"/>
      <c r="P62" s="1258"/>
      <c r="Q62" s="1258"/>
      <c r="R62" s="1258"/>
      <c r="S62" s="1260"/>
      <c r="T62" s="1258"/>
      <c r="U62" s="1258"/>
      <c r="V62" s="1258"/>
      <c r="W62" s="1258"/>
    </row>
    <row r="63" spans="2:24">
      <c r="B63" s="1258" t="s">
        <v>42</v>
      </c>
      <c r="C63" s="1258"/>
      <c r="D63" s="1258"/>
      <c r="E63" s="1268"/>
      <c r="F63" s="1258" t="s">
        <v>259</v>
      </c>
      <c r="G63" s="1258"/>
      <c r="H63" s="1258"/>
      <c r="I63" s="1258"/>
      <c r="J63" s="1258"/>
      <c r="K63" s="1258"/>
      <c r="L63" s="1258"/>
      <c r="M63" s="1258">
        <f>'83 Gasif. Fixed Bed, Producer '!$E$14/100</f>
        <v>0.09</v>
      </c>
      <c r="N63" s="1258"/>
      <c r="O63" s="1258"/>
      <c r="P63" s="1258"/>
      <c r="Q63" s="1258"/>
      <c r="R63" s="1258"/>
      <c r="S63" s="1260"/>
      <c r="T63" s="1258"/>
      <c r="U63" s="1258"/>
      <c r="V63" s="1258"/>
      <c r="W63" s="1258"/>
    </row>
    <row r="64" spans="2:24" ht="40.200000000000003">
      <c r="B64" s="1258" t="s">
        <v>42</v>
      </c>
      <c r="C64" s="1258"/>
      <c r="D64" s="1258"/>
      <c r="E64" s="1268" t="s">
        <v>419</v>
      </c>
      <c r="F64" s="1258"/>
      <c r="G64" s="1258" t="s">
        <v>431</v>
      </c>
      <c r="H64" s="297" t="s">
        <v>70</v>
      </c>
      <c r="I64" s="1258">
        <f>'82 Biogas, upgrading'!$F$4</f>
        <v>2050</v>
      </c>
      <c r="J64" s="1258"/>
      <c r="K64" s="1258">
        <f>'83 Gasif. Fixed Bed, Producer '!$F$13/100*'83 Gasif. Fixed Bed, Producer '!$F$9/100</f>
        <v>0.8133999999999999</v>
      </c>
      <c r="L64" s="1258"/>
      <c r="M64" s="1258"/>
      <c r="N64" s="1258"/>
      <c r="O64" s="1258"/>
      <c r="P64" s="1258"/>
      <c r="Q64" s="1260">
        <f>1-('83 Gasif. Fixed Bed, Producer '!$F$16/100+'83 Gasif. Fixed Bed, Producer '!$F$17*7*24/8760)</f>
        <v>0.8924657534246575</v>
      </c>
      <c r="R64" s="1258">
        <f>'83 Gasif. Fixed Bed, Producer '!$F$22*7.45</f>
        <v>8.1950000000000003</v>
      </c>
      <c r="S64" s="1260">
        <f>'83 Gasif. Fixed Bed, Producer '!$F$25*7.45/1000000</f>
        <v>0.12069000000000001</v>
      </c>
      <c r="T64" s="1258">
        <f>'83 Gasif. Fixed Bed, Producer '!$F$26/3.6*7.45</f>
        <v>4.1388888888888893</v>
      </c>
      <c r="U64" s="298">
        <f>U61</f>
        <v>3.1536000000000002E-2</v>
      </c>
      <c r="V64" s="309">
        <v>-2</v>
      </c>
      <c r="W64" s="1258"/>
    </row>
    <row r="65" spans="2:23">
      <c r="B65" s="1258" t="s">
        <v>42</v>
      </c>
      <c r="C65" s="1258"/>
      <c r="D65" s="1258" t="s">
        <v>71</v>
      </c>
      <c r="E65" s="1268"/>
      <c r="F65" s="1258"/>
      <c r="G65" s="1258"/>
      <c r="H65" s="1258"/>
      <c r="I65" s="1258"/>
      <c r="J65" s="1258"/>
      <c r="K65" s="1258"/>
      <c r="L65" s="1269">
        <f>('83 Gasif. Fixed Bed, Producer '!$F$10/100*'83 Gasif. Fixed Bed, Producer '!$F$13/100)/K64</f>
        <v>2.0408163265306124E-2</v>
      </c>
      <c r="M65" s="1258"/>
      <c r="N65" s="1258"/>
      <c r="O65" s="1258"/>
      <c r="P65" s="1258"/>
      <c r="Q65" s="1258"/>
      <c r="R65" s="1258"/>
      <c r="S65" s="1260"/>
      <c r="T65" s="1258"/>
      <c r="U65" s="1258"/>
      <c r="V65" s="1258"/>
      <c r="W65" s="1258"/>
    </row>
    <row r="66" spans="2:23">
      <c r="B66" s="1258" t="s">
        <v>42</v>
      </c>
      <c r="C66" s="1259"/>
      <c r="D66" s="1259"/>
      <c r="E66" s="1270"/>
      <c r="F66" s="1259" t="s">
        <v>259</v>
      </c>
      <c r="G66" s="1259"/>
      <c r="H66" s="1259"/>
      <c r="I66" s="1259"/>
      <c r="J66" s="1259"/>
      <c r="K66" s="1259"/>
      <c r="L66" s="1259"/>
      <c r="M66" s="1259">
        <f>'83 Gasif. Fixed Bed, Producer '!$F$14/100</f>
        <v>0.05</v>
      </c>
      <c r="N66" s="1259"/>
      <c r="O66" s="1259"/>
      <c r="P66" s="1259"/>
      <c r="Q66" s="1259"/>
      <c r="R66" s="1259"/>
      <c r="S66" s="1271"/>
      <c r="T66" s="1259"/>
      <c r="U66" s="1259"/>
      <c r="V66" s="1259"/>
      <c r="W66" s="1258"/>
    </row>
    <row r="67" spans="2:23">
      <c r="B67" s="1258"/>
      <c r="C67" s="1258"/>
      <c r="D67" s="1258"/>
      <c r="E67" s="1258"/>
      <c r="F67" s="1258"/>
      <c r="G67" s="1258"/>
      <c r="H67" s="1258"/>
      <c r="I67" s="1258"/>
      <c r="J67" s="1258"/>
      <c r="K67" s="1258"/>
      <c r="L67" s="1258"/>
      <c r="M67" s="1258"/>
      <c r="N67" s="1258"/>
      <c r="O67" s="1258"/>
      <c r="P67" s="1258"/>
      <c r="Q67" s="1258"/>
      <c r="R67" s="1258"/>
      <c r="S67" s="1258"/>
      <c r="T67" s="1258"/>
      <c r="U67" s="1258"/>
      <c r="V67" s="1258"/>
      <c r="W67" s="1258"/>
    </row>
    <row r="68" spans="2:23">
      <c r="B68" s="1258"/>
      <c r="C68" s="1258"/>
      <c r="D68" s="1258"/>
      <c r="E68" s="1258"/>
      <c r="F68" s="1258"/>
      <c r="G68" s="1258"/>
      <c r="H68" s="1258"/>
      <c r="I68" s="1258"/>
      <c r="J68" s="1258"/>
      <c r="K68" s="1258"/>
      <c r="L68" s="1258"/>
      <c r="M68" s="1258"/>
      <c r="N68" s="1258"/>
      <c r="O68" s="1258"/>
      <c r="P68" s="1258"/>
      <c r="Q68" s="1258"/>
      <c r="R68" s="1258"/>
      <c r="S68" s="1258"/>
      <c r="T68" s="1258"/>
      <c r="U68" s="1258"/>
      <c r="V68" s="1258"/>
      <c r="W68" s="1258"/>
    </row>
    <row r="69" spans="2:23">
      <c r="B69" s="1258"/>
      <c r="C69" s="1258"/>
      <c r="D69" s="1258"/>
      <c r="E69" s="1258"/>
      <c r="F69" s="1258"/>
      <c r="G69" s="1258"/>
      <c r="H69" s="1258"/>
      <c r="I69" s="1258"/>
      <c r="J69" s="1258"/>
      <c r="K69" s="1258"/>
      <c r="L69" s="1258"/>
      <c r="M69" s="1258"/>
      <c r="N69" s="1258"/>
      <c r="O69" s="1258"/>
      <c r="P69" s="1258"/>
      <c r="Q69" s="1258"/>
      <c r="R69" s="1258"/>
      <c r="S69" s="1258"/>
      <c r="T69" s="1258"/>
      <c r="U69" s="1258"/>
      <c r="V69" s="1258"/>
      <c r="W69" s="1258"/>
    </row>
    <row r="70" spans="2:23">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row>
    <row r="71" spans="2:23">
      <c r="B71" s="1258"/>
      <c r="C71" s="1258"/>
      <c r="D71" s="1258"/>
      <c r="E71" s="1258"/>
      <c r="F71" s="1258"/>
      <c r="G71" s="1258"/>
      <c r="H71" s="1258"/>
      <c r="I71" s="1258"/>
      <c r="J71" s="1258"/>
      <c r="K71" s="1258"/>
      <c r="L71" s="1258"/>
      <c r="M71" s="1258"/>
      <c r="N71" s="1258"/>
      <c r="O71" s="1258"/>
      <c r="P71" s="1258"/>
      <c r="Q71" s="1258"/>
      <c r="R71" s="1258"/>
      <c r="S71" s="1258"/>
      <c r="T71" s="1258"/>
      <c r="U71" s="1258"/>
      <c r="V71" s="1258"/>
    </row>
    <row r="72" spans="2:23">
      <c r="B72" s="1258"/>
      <c r="C72" s="1258"/>
      <c r="D72" s="1258"/>
      <c r="E72" s="1258"/>
      <c r="F72" s="1258"/>
      <c r="G72" s="1258"/>
      <c r="H72" s="1258"/>
      <c r="I72" s="1258"/>
      <c r="J72" s="1258"/>
      <c r="K72" s="1258"/>
      <c r="L72" s="1258"/>
      <c r="M72" s="1258"/>
      <c r="N72" s="1258"/>
      <c r="O72" s="1258"/>
      <c r="P72" s="1258"/>
      <c r="Q72" s="1258"/>
      <c r="R72" s="1258"/>
      <c r="S72" s="1258"/>
      <c r="T72" s="1258"/>
      <c r="U72" s="1258"/>
      <c r="V72" s="1258"/>
    </row>
    <row r="73" spans="2:23">
      <c r="B73" s="1258"/>
      <c r="C73" s="1258"/>
      <c r="D73" s="1258"/>
      <c r="E73" s="1258"/>
      <c r="F73" s="1258"/>
      <c r="G73" s="1258"/>
      <c r="H73" s="1258"/>
      <c r="I73" s="1258"/>
      <c r="J73" s="1258"/>
      <c r="K73" s="1258"/>
      <c r="L73" s="1258"/>
      <c r="M73" s="1258"/>
      <c r="N73" s="1258"/>
      <c r="O73" s="1258"/>
      <c r="P73" s="1258"/>
      <c r="Q73" s="1258"/>
      <c r="R73" s="1258"/>
      <c r="S73" s="1258"/>
      <c r="T73" s="1258"/>
      <c r="U73" s="1258"/>
      <c r="V73" s="1258"/>
    </row>
  </sheetData>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C45" sqref="C45"/>
    </sheetView>
  </sheetViews>
  <sheetFormatPr defaultColWidth="9.109375" defaultRowHeight="13.2"/>
  <cols>
    <col min="1" max="1" width="9.109375" style="69"/>
    <col min="2" max="2" width="17.44140625" style="69" bestFit="1" customWidth="1"/>
    <col min="3" max="3" width="80" style="69" bestFit="1" customWidth="1"/>
    <col min="4" max="4" width="14.6640625" style="69" bestFit="1" customWidth="1"/>
    <col min="5" max="5" width="16" style="69" bestFit="1" customWidth="1"/>
    <col min="6" max="6" width="14.44140625" style="69" bestFit="1" customWidth="1"/>
    <col min="7" max="7" width="21.6640625" style="69" bestFit="1" customWidth="1"/>
    <col min="8" max="8" width="16.6640625" style="69" bestFit="1" customWidth="1"/>
    <col min="9" max="9" width="22.6640625" style="69" bestFit="1" customWidth="1"/>
    <col min="10" max="11" width="15" style="69" bestFit="1" customWidth="1"/>
    <col min="12" max="12" width="16.5546875" style="69" bestFit="1" customWidth="1"/>
    <col min="13" max="15" width="16.5546875" style="69" customWidth="1"/>
    <col min="16" max="16" width="15.6640625" style="69" bestFit="1" customWidth="1"/>
    <col min="17" max="16384" width="9.109375" style="69"/>
  </cols>
  <sheetData>
    <row r="3" spans="2:18">
      <c r="K3" s="244" t="s">
        <v>190</v>
      </c>
      <c r="L3" s="245">
        <v>7.45</v>
      </c>
    </row>
    <row r="5" spans="2:18">
      <c r="K5" s="1010"/>
    </row>
    <row r="6" spans="2:18">
      <c r="F6" s="121" t="s">
        <v>0</v>
      </c>
      <c r="K6" s="1010"/>
    </row>
    <row r="7" spans="2:18">
      <c r="B7" s="120" t="s">
        <v>2</v>
      </c>
      <c r="C7" s="120" t="s">
        <v>11</v>
      </c>
      <c r="D7" s="120" t="s">
        <v>32</v>
      </c>
      <c r="E7" s="120" t="s">
        <v>3</v>
      </c>
      <c r="F7" s="120" t="s">
        <v>34</v>
      </c>
      <c r="G7" s="120" t="s">
        <v>187</v>
      </c>
      <c r="H7" s="157" t="s">
        <v>186</v>
      </c>
      <c r="I7" s="157" t="s">
        <v>185</v>
      </c>
      <c r="J7" s="157" t="s">
        <v>9</v>
      </c>
      <c r="K7" s="157"/>
      <c r="L7" s="157" t="s">
        <v>1308</v>
      </c>
      <c r="M7" s="157" t="s">
        <v>1307</v>
      </c>
      <c r="N7" s="157" t="s">
        <v>1306</v>
      </c>
      <c r="O7" s="157" t="s">
        <v>1305</v>
      </c>
      <c r="P7" s="157" t="s">
        <v>1304</v>
      </c>
      <c r="Q7" s="157" t="s">
        <v>1303</v>
      </c>
      <c r="R7" s="116" t="s">
        <v>41</v>
      </c>
    </row>
    <row r="8" spans="2:18">
      <c r="B8" s="1005" t="s">
        <v>184</v>
      </c>
      <c r="C8" s="1005" t="s">
        <v>19</v>
      </c>
      <c r="D8" s="1005" t="s">
        <v>183</v>
      </c>
      <c r="E8" s="1005" t="s">
        <v>181</v>
      </c>
      <c r="F8" s="1005"/>
      <c r="G8" s="1005" t="s">
        <v>233</v>
      </c>
      <c r="H8" s="1005" t="s">
        <v>178</v>
      </c>
      <c r="I8" s="1005" t="s">
        <v>177</v>
      </c>
      <c r="J8" s="1005" t="s">
        <v>176</v>
      </c>
      <c r="K8" s="1005"/>
      <c r="L8" s="1005" t="s">
        <v>175</v>
      </c>
      <c r="M8" s="1005" t="s">
        <v>174</v>
      </c>
      <c r="N8" s="1005" t="s">
        <v>173</v>
      </c>
      <c r="O8" s="1005" t="s">
        <v>175</v>
      </c>
      <c r="P8" s="1005" t="s">
        <v>174</v>
      </c>
      <c r="Q8" s="1005" t="s">
        <v>173</v>
      </c>
      <c r="R8" s="1004"/>
    </row>
    <row r="9" spans="2:18" ht="13.8" thickBot="1">
      <c r="B9" s="112" t="s">
        <v>172</v>
      </c>
      <c r="C9" s="110"/>
      <c r="D9" s="110"/>
      <c r="E9" s="110"/>
      <c r="F9" s="110"/>
      <c r="G9" s="110" t="s">
        <v>338</v>
      </c>
      <c r="H9" s="110"/>
      <c r="I9" s="110" t="s">
        <v>62</v>
      </c>
      <c r="J9" s="110"/>
      <c r="K9" s="110"/>
      <c r="L9" s="110" t="s">
        <v>340</v>
      </c>
      <c r="M9" s="110" t="s">
        <v>340</v>
      </c>
      <c r="N9" s="110" t="s">
        <v>367</v>
      </c>
      <c r="O9" s="110" t="s">
        <v>340</v>
      </c>
      <c r="P9" s="110" t="s">
        <v>340</v>
      </c>
      <c r="Q9" s="110" t="s">
        <v>367</v>
      </c>
      <c r="R9" s="1003"/>
    </row>
    <row r="10" spans="2:18">
      <c r="B10" s="69" t="s">
        <v>1302</v>
      </c>
      <c r="C10" s="69" t="s">
        <v>1387</v>
      </c>
      <c r="D10" s="69" t="s">
        <v>1314</v>
      </c>
      <c r="E10" s="69" t="s">
        <v>1385</v>
      </c>
      <c r="F10" s="69" t="s">
        <v>343</v>
      </c>
      <c r="G10" s="69">
        <v>1</v>
      </c>
      <c r="H10" s="299">
        <v>0.75</v>
      </c>
      <c r="I10" s="69">
        <v>20</v>
      </c>
      <c r="J10" s="69">
        <v>1</v>
      </c>
      <c r="K10" s="1010"/>
      <c r="L10" s="69">
        <f>65.69*L3</f>
        <v>489.39049999999997</v>
      </c>
      <c r="M10" s="69">
        <f>2.72*L3</f>
        <v>20.264000000000003</v>
      </c>
      <c r="N10" s="69">
        <f>0.34*L3</f>
        <v>2.5330000000000004</v>
      </c>
      <c r="O10" s="69">
        <f>45.79*L3</f>
        <v>341.13549999999998</v>
      </c>
      <c r="P10" s="69">
        <f>1.9*L3</f>
        <v>14.154999999999999</v>
      </c>
      <c r="Q10" s="69">
        <f>0.24*L3</f>
        <v>1.788</v>
      </c>
      <c r="R10" s="69" t="s">
        <v>1298</v>
      </c>
    </row>
    <row r="11" spans="2:18">
      <c r="B11" s="69" t="s">
        <v>1300</v>
      </c>
      <c r="C11" s="1011" t="s">
        <v>1388</v>
      </c>
      <c r="D11" s="69" t="s">
        <v>348</v>
      </c>
      <c r="E11" s="69" t="s">
        <v>1385</v>
      </c>
      <c r="F11" s="69" t="s">
        <v>343</v>
      </c>
      <c r="G11" s="69">
        <v>1</v>
      </c>
      <c r="H11" s="299">
        <v>0.7</v>
      </c>
      <c r="I11" s="69">
        <v>20</v>
      </c>
      <c r="J11" s="69">
        <v>1</v>
      </c>
      <c r="K11" s="1010"/>
      <c r="L11" s="69">
        <f>70.18*L3</f>
        <v>522.84100000000001</v>
      </c>
      <c r="M11" s="69">
        <f>5.09*L3</f>
        <v>37.920499999999997</v>
      </c>
      <c r="N11" s="69">
        <f>0.19*L3</f>
        <v>1.4155</v>
      </c>
      <c r="O11" s="69">
        <f>49.93*L3</f>
        <v>371.9785</v>
      </c>
      <c r="P11" s="69">
        <f>3.57*L3</f>
        <v>26.596499999999999</v>
      </c>
      <c r="Q11" s="69">
        <f>0.13*L3</f>
        <v>0.96850000000000003</v>
      </c>
      <c r="R11" s="69" t="s">
        <v>1298</v>
      </c>
    </row>
    <row r="12" spans="2:18">
      <c r="K12" s="1010"/>
    </row>
    <row r="13" spans="2:18">
      <c r="K13" s="1010"/>
    </row>
    <row r="14" spans="2:18">
      <c r="K14" s="10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25" t="s">
        <v>505</v>
      </c>
      <c r="F1" s="424" t="s">
        <v>504</v>
      </c>
      <c r="G1" s="423">
        <v>35.9</v>
      </c>
      <c r="H1" s="422" t="s">
        <v>503</v>
      </c>
      <c r="I1" s="421">
        <v>0.65</v>
      </c>
      <c r="J1" s="420" t="s">
        <v>502</v>
      </c>
      <c r="K1" s="419">
        <v>39.630000000000003</v>
      </c>
      <c r="L1" s="418" t="s">
        <v>501</v>
      </c>
    </row>
    <row r="2" spans="1:34" ht="15" thickBot="1">
      <c r="H2" s="417"/>
      <c r="J2" s="416"/>
    </row>
    <row r="3" spans="1:34" ht="29.4" thickBot="1">
      <c r="A3" s="233"/>
      <c r="B3" s="415" t="s">
        <v>500</v>
      </c>
      <c r="C3" s="414" t="s">
        <v>499</v>
      </c>
      <c r="D3" s="413" t="s">
        <v>498</v>
      </c>
      <c r="E3" s="412" t="s">
        <v>497</v>
      </c>
      <c r="F3" s="412" t="s">
        <v>496</v>
      </c>
      <c r="G3" s="412" t="s">
        <v>495</v>
      </c>
      <c r="H3" s="411" t="s">
        <v>494</v>
      </c>
      <c r="I3" s="410" t="s">
        <v>493</v>
      </c>
      <c r="J3" s="409" t="s">
        <v>492</v>
      </c>
      <c r="K3" s="408" t="s">
        <v>144</v>
      </c>
      <c r="L3" s="408" t="s">
        <v>491</v>
      </c>
      <c r="M3" s="407" t="s">
        <v>30</v>
      </c>
      <c r="N3" s="233"/>
      <c r="O3" s="233"/>
      <c r="P3" s="233"/>
      <c r="Q3" s="233"/>
      <c r="R3" s="233"/>
      <c r="S3" s="233"/>
      <c r="T3" s="233"/>
      <c r="U3" s="233"/>
      <c r="V3" s="233"/>
      <c r="W3" s="233"/>
      <c r="X3" s="233"/>
      <c r="Y3" s="233"/>
      <c r="Z3" s="233"/>
      <c r="AA3" s="233"/>
      <c r="AB3" s="233"/>
      <c r="AC3" s="233"/>
      <c r="AD3" s="233"/>
      <c r="AE3" s="233"/>
      <c r="AF3" s="233"/>
      <c r="AG3" s="233"/>
      <c r="AH3" s="233"/>
    </row>
    <row r="4" spans="1:34" ht="23.4">
      <c r="B4" s="406" t="s">
        <v>490</v>
      </c>
      <c r="C4" s="405" t="s">
        <v>477</v>
      </c>
      <c r="D4" s="370"/>
      <c r="E4" s="370"/>
      <c r="F4" s="370"/>
      <c r="G4" s="370"/>
      <c r="H4" s="370"/>
      <c r="I4" s="404"/>
      <c r="J4" s="403">
        <v>2277.21</v>
      </c>
      <c r="K4" s="403"/>
      <c r="L4" s="403"/>
      <c r="M4" s="403"/>
      <c r="N4" s="396" t="s">
        <v>489</v>
      </c>
      <c r="O4" s="90"/>
      <c r="P4" s="90"/>
      <c r="Q4" s="90"/>
      <c r="R4" s="90"/>
      <c r="S4" s="90"/>
      <c r="T4" s="90"/>
      <c r="U4" s="90"/>
      <c r="V4" s="90"/>
      <c r="W4" s="90"/>
      <c r="X4" s="90"/>
    </row>
    <row r="5" spans="1:34" ht="23.4">
      <c r="B5" s="402" t="s">
        <v>488</v>
      </c>
      <c r="C5" s="401"/>
      <c r="D5" s="400"/>
      <c r="E5" s="400"/>
      <c r="F5" s="400"/>
      <c r="G5" s="400"/>
      <c r="H5" s="400"/>
      <c r="I5" s="399"/>
      <c r="J5" s="365"/>
      <c r="K5" s="398" t="s">
        <v>487</v>
      </c>
      <c r="L5" s="397"/>
      <c r="M5" s="365"/>
      <c r="N5" s="396"/>
      <c r="O5" s="90"/>
      <c r="P5" s="90"/>
      <c r="Q5" s="90"/>
      <c r="R5" s="90"/>
      <c r="S5" s="90"/>
      <c r="T5" s="90"/>
      <c r="U5" s="90"/>
      <c r="V5" s="90"/>
      <c r="W5" s="90"/>
      <c r="X5" s="90"/>
    </row>
    <row r="6" spans="1:34" ht="21.6" thickBot="1">
      <c r="B6" s="395" t="s">
        <v>486</v>
      </c>
      <c r="C6" s="394"/>
      <c r="D6" s="393"/>
      <c r="E6" s="393"/>
      <c r="F6" s="393" t="s">
        <v>477</v>
      </c>
      <c r="G6" s="393"/>
      <c r="H6" s="393"/>
      <c r="I6" s="392"/>
      <c r="J6" s="391"/>
      <c r="K6" s="391"/>
      <c r="L6" s="391"/>
      <c r="M6" s="390" t="s">
        <v>485</v>
      </c>
    </row>
    <row r="7" spans="1:34" ht="21.6" thickTop="1">
      <c r="A7" s="1293" t="s">
        <v>484</v>
      </c>
      <c r="B7" s="389" t="s">
        <v>483</v>
      </c>
      <c r="C7" s="388"/>
      <c r="D7" s="387"/>
      <c r="E7" s="387"/>
      <c r="F7" s="387"/>
      <c r="G7" s="387"/>
      <c r="H7" s="387"/>
      <c r="I7" s="386" t="s">
        <v>477</v>
      </c>
      <c r="J7" s="385"/>
      <c r="K7" s="384">
        <f>281*3.6/1000</f>
        <v>1.0116000000000001</v>
      </c>
      <c r="L7" s="383" t="s">
        <v>470</v>
      </c>
      <c r="M7" s="383" t="s">
        <v>482</v>
      </c>
      <c r="N7" s="90" t="s">
        <v>481</v>
      </c>
      <c r="O7" s="90"/>
      <c r="P7" s="90"/>
      <c r="Q7" s="90"/>
      <c r="R7" s="90"/>
      <c r="S7" s="90"/>
      <c r="T7" s="90"/>
      <c r="U7" s="90"/>
      <c r="V7" s="90"/>
      <c r="W7" s="90"/>
      <c r="X7" s="90"/>
    </row>
    <row r="8" spans="1:34" ht="21">
      <c r="A8" s="1293"/>
      <c r="B8" s="382" t="s">
        <v>480</v>
      </c>
      <c r="C8" s="381"/>
      <c r="D8" s="380"/>
      <c r="E8" s="380"/>
      <c r="F8" s="380"/>
      <c r="G8" s="380" t="s">
        <v>477</v>
      </c>
      <c r="H8" s="380"/>
      <c r="I8" s="378"/>
      <c r="J8" s="377"/>
      <c r="K8" s="377">
        <f>8000000*0.65*G1/1000</f>
        <v>186680</v>
      </c>
      <c r="L8" s="377" t="s">
        <v>464</v>
      </c>
      <c r="M8" s="377" t="s">
        <v>479</v>
      </c>
    </row>
    <row r="9" spans="1:34">
      <c r="A9" s="1293"/>
      <c r="B9" s="1294" t="s">
        <v>478</v>
      </c>
      <c r="C9" s="1297"/>
      <c r="D9" s="1298"/>
      <c r="E9" s="1303" t="s">
        <v>477</v>
      </c>
      <c r="F9" s="1306"/>
      <c r="G9" s="1307"/>
      <c r="H9" s="1308"/>
      <c r="I9" s="378"/>
      <c r="J9" s="377"/>
      <c r="K9" s="377">
        <f>3000*I1*G1/1000*8300</f>
        <v>581041.5</v>
      </c>
      <c r="L9" s="377" t="s">
        <v>464</v>
      </c>
      <c r="M9" s="379" t="s">
        <v>476</v>
      </c>
    </row>
    <row r="10" spans="1:34">
      <c r="A10" s="1293"/>
      <c r="B10" s="1295"/>
      <c r="C10" s="1299"/>
      <c r="D10" s="1300"/>
      <c r="E10" s="1304"/>
      <c r="F10" s="1309"/>
      <c r="G10" s="1310"/>
      <c r="H10" s="1311"/>
      <c r="I10" s="378"/>
      <c r="J10" s="377"/>
      <c r="K10" s="377"/>
      <c r="L10" s="377"/>
      <c r="M10" s="377" t="s">
        <v>475</v>
      </c>
    </row>
    <row r="11" spans="1:34">
      <c r="A11" s="1293"/>
      <c r="B11" s="1295"/>
      <c r="C11" s="1299"/>
      <c r="D11" s="1300"/>
      <c r="E11" s="1304"/>
      <c r="F11" s="1309"/>
      <c r="G11" s="1310"/>
      <c r="H11" s="1311"/>
      <c r="I11" s="376"/>
      <c r="J11" s="375"/>
      <c r="K11" s="375"/>
      <c r="L11" s="375"/>
      <c r="M11" s="375" t="s">
        <v>474</v>
      </c>
    </row>
    <row r="12" spans="1:34" ht="15" thickBot="1">
      <c r="A12" s="1293"/>
      <c r="B12" s="1296"/>
      <c r="C12" s="1301"/>
      <c r="D12" s="1302"/>
      <c r="E12" s="1305"/>
      <c r="F12" s="1312"/>
      <c r="G12" s="1313"/>
      <c r="H12" s="1314"/>
      <c r="I12" s="374"/>
      <c r="J12" s="373"/>
      <c r="K12" s="373">
        <f>5000*0.65*$G$1/1000*8300</f>
        <v>968402.5</v>
      </c>
      <c r="L12" s="373" t="s">
        <v>464</v>
      </c>
      <c r="M12" s="373" t="s">
        <v>473</v>
      </c>
    </row>
    <row r="13" spans="1:34" ht="22.2" thickTop="1" thickBot="1">
      <c r="A13" s="1293"/>
      <c r="B13" s="372" t="s">
        <v>472</v>
      </c>
      <c r="C13" s="371"/>
      <c r="D13" s="370"/>
      <c r="E13" s="370"/>
      <c r="F13" s="370"/>
      <c r="G13" s="370"/>
      <c r="H13" s="370"/>
      <c r="I13" s="369"/>
      <c r="J13" s="368">
        <f>K13*I26</f>
        <v>188.36442558250451</v>
      </c>
      <c r="K13" s="367">
        <v>8</v>
      </c>
      <c r="L13" s="366" t="s">
        <v>470</v>
      </c>
      <c r="M13" s="365"/>
    </row>
    <row r="14" spans="1:34" ht="21.6" thickBot="1">
      <c r="A14" s="1293"/>
      <c r="B14" s="364" t="s">
        <v>471</v>
      </c>
      <c r="C14" s="363"/>
      <c r="D14" s="362"/>
      <c r="E14" s="362"/>
      <c r="F14" s="362"/>
      <c r="G14" s="362"/>
      <c r="H14" s="362"/>
      <c r="I14" s="362"/>
      <c r="J14" s="361">
        <f>I23*K14</f>
        <v>170.05121753976101</v>
      </c>
      <c r="K14" s="360">
        <v>6.5</v>
      </c>
      <c r="L14" s="359" t="s">
        <v>470</v>
      </c>
      <c r="M14" s="359"/>
    </row>
    <row r="15" spans="1:34">
      <c r="B15" s="233"/>
      <c r="C15" s="233"/>
      <c r="D15" s="233"/>
      <c r="E15" s="233"/>
      <c r="F15" s="233"/>
      <c r="G15" s="233"/>
      <c r="H15" s="233"/>
      <c r="I15" s="233"/>
      <c r="J15" s="233"/>
      <c r="K15" s="233"/>
      <c r="L15" s="233"/>
      <c r="M15" s="233"/>
    </row>
    <row r="16" spans="1:34" ht="21.6" thickBot="1">
      <c r="B16" s="358" t="s">
        <v>469</v>
      </c>
      <c r="C16" s="233"/>
      <c r="D16" s="233"/>
      <c r="E16" s="233"/>
      <c r="F16" s="233"/>
      <c r="G16" s="233"/>
      <c r="H16" s="233"/>
      <c r="I16" s="233"/>
      <c r="K16" s="233"/>
      <c r="L16" s="357" t="s">
        <v>468</v>
      </c>
      <c r="M16" s="233"/>
    </row>
    <row r="17" spans="2:14">
      <c r="B17" s="233"/>
      <c r="C17" s="233"/>
      <c r="D17" s="233"/>
      <c r="E17" s="233"/>
      <c r="F17" s="233"/>
      <c r="G17" s="233"/>
      <c r="H17" s="356" t="s">
        <v>467</v>
      </c>
      <c r="I17" s="355">
        <f>3100</f>
        <v>3100</v>
      </c>
      <c r="K17" s="233"/>
      <c r="L17" s="233"/>
      <c r="M17" s="233"/>
    </row>
    <row r="18" spans="2:14">
      <c r="B18" s="233"/>
      <c r="C18" s="233"/>
      <c r="D18" s="233"/>
      <c r="E18" s="233"/>
      <c r="H18" s="346" t="s">
        <v>466</v>
      </c>
      <c r="I18" s="354">
        <f>I17*$I$1*$G$1/1000</f>
        <v>72.338499999999996</v>
      </c>
      <c r="K18" s="233"/>
      <c r="L18" s="233"/>
      <c r="M18" s="233"/>
    </row>
    <row r="19" spans="2:14">
      <c r="B19" s="233"/>
      <c r="C19" s="233"/>
      <c r="D19" s="233"/>
      <c r="E19" s="233"/>
      <c r="H19" s="346" t="s">
        <v>465</v>
      </c>
      <c r="I19" s="353">
        <v>8000</v>
      </c>
      <c r="J19">
        <f>15140/48740</f>
        <v>0.31062782109150594</v>
      </c>
      <c r="K19" s="233"/>
      <c r="L19" s="233"/>
      <c r="M19" s="233"/>
    </row>
    <row r="20" spans="2:14" ht="15" thickBot="1">
      <c r="B20" s="233"/>
      <c r="C20" s="233"/>
      <c r="D20" s="233"/>
      <c r="E20" s="233"/>
      <c r="H20" s="349" t="s">
        <v>464</v>
      </c>
      <c r="I20" s="352">
        <f>I19*I18</f>
        <v>578708</v>
      </c>
      <c r="K20" s="233"/>
      <c r="L20" s="233"/>
      <c r="M20" s="233"/>
      <c r="N20" s="332"/>
    </row>
    <row r="21" spans="2:14" ht="58.2" thickBot="1">
      <c r="B21" s="233"/>
      <c r="C21" s="233"/>
      <c r="D21" s="233"/>
      <c r="E21" s="233"/>
      <c r="H21" s="346" t="s">
        <v>463</v>
      </c>
      <c r="I21" s="350">
        <f>I20/3.6*0.46</f>
        <v>73946.022222222222</v>
      </c>
      <c r="J21" s="351" t="s">
        <v>462</v>
      </c>
      <c r="K21" s="233"/>
      <c r="L21" s="233"/>
      <c r="M21" s="233"/>
    </row>
    <row r="22" spans="2:14">
      <c r="B22" s="233"/>
      <c r="C22" s="233"/>
      <c r="D22" s="233"/>
      <c r="E22" s="233"/>
      <c r="H22" s="346" t="s">
        <v>461</v>
      </c>
      <c r="I22" s="233">
        <v>15140</v>
      </c>
      <c r="J22" s="344">
        <v>15140</v>
      </c>
      <c r="K22" s="233"/>
      <c r="L22" s="233"/>
      <c r="M22" s="233"/>
    </row>
    <row r="23" spans="2:14">
      <c r="B23" s="233"/>
      <c r="C23" s="233"/>
      <c r="D23" s="233"/>
      <c r="E23" s="233"/>
      <c r="H23" s="346" t="s">
        <v>460</v>
      </c>
      <c r="I23" s="350">
        <f>I22/I20*1000</f>
        <v>26.161725775347847</v>
      </c>
      <c r="J23" s="344"/>
      <c r="K23" s="233"/>
      <c r="L23" s="233"/>
      <c r="M23" s="233"/>
    </row>
    <row r="24" spans="2:14">
      <c r="B24" s="233"/>
      <c r="C24" s="233"/>
      <c r="D24" s="233"/>
      <c r="E24" s="233"/>
      <c r="H24" s="349" t="s">
        <v>459</v>
      </c>
      <c r="I24" s="348">
        <f>I23</f>
        <v>26.161725775347847</v>
      </c>
      <c r="J24" s="347">
        <f>J22/I20*1000</f>
        <v>26.161725775347847</v>
      </c>
      <c r="K24" s="233"/>
      <c r="L24" s="233"/>
      <c r="M24" s="233"/>
    </row>
    <row r="25" spans="2:14">
      <c r="B25" s="233"/>
      <c r="C25" s="233"/>
      <c r="D25" s="233"/>
      <c r="E25" s="233"/>
      <c r="H25" s="346" t="s">
        <v>458</v>
      </c>
      <c r="I25" s="345">
        <v>0.9</v>
      </c>
      <c r="J25" s="344"/>
      <c r="K25" s="233"/>
      <c r="L25" s="233"/>
      <c r="M25" s="233"/>
    </row>
    <row r="26" spans="2:14" ht="15" thickBot="1">
      <c r="B26" s="233"/>
      <c r="C26" s="233"/>
      <c r="D26" s="233"/>
      <c r="E26" s="233"/>
      <c r="H26" s="343" t="s">
        <v>457</v>
      </c>
      <c r="I26" s="342">
        <f>I25*I24</f>
        <v>23.545553197813064</v>
      </c>
      <c r="J26" s="341"/>
      <c r="K26" s="233"/>
      <c r="L26" s="233"/>
      <c r="M26" s="233"/>
    </row>
    <row r="27" spans="2:14">
      <c r="B27" s="233"/>
      <c r="C27" s="233"/>
      <c r="D27" s="233"/>
      <c r="E27" s="233"/>
      <c r="H27" s="233"/>
      <c r="I27" s="233"/>
      <c r="J27" s="233"/>
      <c r="K27" s="233"/>
      <c r="L27" s="233"/>
      <c r="M27" s="233"/>
    </row>
    <row r="28" spans="2:14" ht="25.8">
      <c r="B28" s="233"/>
      <c r="C28" s="233"/>
      <c r="D28" s="233"/>
      <c r="E28" s="233"/>
      <c r="H28" s="340"/>
      <c r="I28" s="339" t="s">
        <v>456</v>
      </c>
      <c r="J28" s="339"/>
      <c r="K28" s="233"/>
      <c r="L28" s="233"/>
      <c r="M28" s="233"/>
    </row>
    <row r="29" spans="2:14">
      <c r="B29" s="233"/>
      <c r="C29" s="233"/>
      <c r="D29" s="233"/>
      <c r="E29" s="233"/>
      <c r="K29" s="233"/>
      <c r="L29" s="233"/>
      <c r="M29" s="233"/>
    </row>
    <row r="30" spans="2:14">
      <c r="B30" s="233"/>
      <c r="C30" s="233"/>
      <c r="D30" s="233"/>
      <c r="E30" s="233"/>
      <c r="F30" s="233"/>
      <c r="G30" s="233"/>
      <c r="H30" s="233"/>
      <c r="I30" s="233"/>
      <c r="J30" s="233"/>
      <c r="K30" s="233"/>
      <c r="L30" s="233"/>
      <c r="M30" s="233"/>
    </row>
    <row r="31" spans="2:14" ht="25.8">
      <c r="B31" s="233"/>
      <c r="C31" s="233"/>
      <c r="D31" s="233"/>
      <c r="E31" s="233"/>
      <c r="F31" s="233"/>
      <c r="G31" s="233"/>
      <c r="H31" s="233"/>
      <c r="I31" s="233"/>
      <c r="J31" s="233"/>
      <c r="K31" s="233"/>
      <c r="L31" s="233"/>
      <c r="M31" s="233"/>
      <c r="N31" s="336"/>
    </row>
    <row r="32" spans="2:14">
      <c r="B32" s="233"/>
      <c r="C32" s="233"/>
      <c r="D32" s="233"/>
      <c r="E32" s="233"/>
      <c r="F32" s="233"/>
      <c r="G32" s="233"/>
      <c r="H32" s="233"/>
      <c r="I32" s="233"/>
      <c r="J32" s="233"/>
      <c r="K32" s="233"/>
      <c r="L32" s="233"/>
      <c r="M32" s="233"/>
    </row>
    <row r="33" spans="2:13">
      <c r="B33" s="233"/>
      <c r="C33" s="233"/>
      <c r="D33" s="233"/>
      <c r="E33" s="233"/>
      <c r="F33" s="233"/>
      <c r="G33" s="233"/>
      <c r="H33" s="233"/>
      <c r="I33" s="233"/>
      <c r="J33" s="233"/>
      <c r="K33" s="233"/>
      <c r="L33" s="233"/>
      <c r="M33" s="233"/>
    </row>
    <row r="34" spans="2:13">
      <c r="B34" s="233"/>
      <c r="C34" s="233"/>
      <c r="D34" s="233"/>
      <c r="E34" s="233"/>
      <c r="F34" s="233"/>
      <c r="G34" s="233"/>
      <c r="H34" s="233"/>
      <c r="I34" s="233"/>
      <c r="J34" s="233"/>
      <c r="K34" s="233"/>
      <c r="L34" s="233"/>
      <c r="M34" s="233"/>
    </row>
    <row r="35" spans="2:13">
      <c r="B35" s="233"/>
    </row>
    <row r="37" spans="2:13" ht="28.8">
      <c r="H37" s="338"/>
    </row>
    <row r="38" spans="2:13" ht="21">
      <c r="B38" s="337" t="s">
        <v>455</v>
      </c>
    </row>
    <row r="39" spans="2:13" ht="25.8">
      <c r="C39" s="336"/>
      <c r="D39" s="336"/>
    </row>
    <row r="42" spans="2:13" ht="25.8">
      <c r="B42" s="336"/>
    </row>
    <row r="67" spans="2:13" ht="23.4">
      <c r="F67" s="335" t="s">
        <v>454</v>
      </c>
    </row>
    <row r="69" spans="2:13" ht="18">
      <c r="B69" s="334" t="s">
        <v>453</v>
      </c>
    </row>
    <row r="73" spans="2:13">
      <c r="M73" s="333" t="s">
        <v>452</v>
      </c>
    </row>
    <row r="74" spans="2:13">
      <c r="M74" s="333" t="s">
        <v>451</v>
      </c>
    </row>
    <row r="75" spans="2:13">
      <c r="M75" s="333" t="s">
        <v>450</v>
      </c>
    </row>
    <row r="92" spans="17:17">
      <c r="Q92" s="332"/>
    </row>
    <row r="104" spans="2:2" ht="21">
      <c r="B104" s="90" t="s">
        <v>449</v>
      </c>
    </row>
    <row r="182" spans="2:2" ht="18">
      <c r="B182" s="331" t="s">
        <v>448</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32" t="s">
        <v>546</v>
      </c>
      <c r="C2" s="1315" t="s">
        <v>424</v>
      </c>
      <c r="D2" s="1316"/>
      <c r="E2" s="138" t="s">
        <v>545</v>
      </c>
      <c r="F2" t="s">
        <v>544</v>
      </c>
    </row>
    <row r="3" spans="2:16">
      <c r="B3" s="132" t="s">
        <v>543</v>
      </c>
      <c r="C3" s="223">
        <v>5.84</v>
      </c>
      <c r="D3" s="426" t="s">
        <v>542</v>
      </c>
    </row>
    <row r="4" spans="2:16">
      <c r="B4" s="132" t="s">
        <v>541</v>
      </c>
      <c r="C4" s="223">
        <v>43</v>
      </c>
      <c r="D4" s="426" t="s">
        <v>515</v>
      </c>
    </row>
    <row r="5" spans="2:16">
      <c r="B5" s="132" t="s">
        <v>540</v>
      </c>
      <c r="C5" s="223">
        <v>39.630000000000003</v>
      </c>
      <c r="D5" s="426" t="s">
        <v>501</v>
      </c>
    </row>
    <row r="6" spans="2:16">
      <c r="B6" s="132" t="s">
        <v>539</v>
      </c>
      <c r="C6" s="223">
        <v>24.29</v>
      </c>
      <c r="D6" s="426" t="s">
        <v>515</v>
      </c>
      <c r="P6" s="90" t="s">
        <v>538</v>
      </c>
    </row>
    <row r="7" spans="2:16">
      <c r="B7" s="132" t="s">
        <v>537</v>
      </c>
      <c r="C7" s="223">
        <v>40.65</v>
      </c>
      <c r="D7" s="426" t="s">
        <v>515</v>
      </c>
    </row>
    <row r="8" spans="2:16">
      <c r="B8" s="431" t="s">
        <v>510</v>
      </c>
      <c r="C8" s="430" t="s">
        <v>536</v>
      </c>
      <c r="D8" s="429" t="s">
        <v>515</v>
      </c>
    </row>
    <row r="9" spans="2:16">
      <c r="B9" s="431" t="s">
        <v>509</v>
      </c>
      <c r="C9" s="430">
        <v>44.9</v>
      </c>
      <c r="D9" s="429" t="s">
        <v>515</v>
      </c>
    </row>
    <row r="10" spans="2:16">
      <c r="B10" s="431" t="s">
        <v>535</v>
      </c>
      <c r="C10" s="430">
        <v>37.5</v>
      </c>
      <c r="D10" s="429" t="s">
        <v>515</v>
      </c>
    </row>
    <row r="11" spans="2:16">
      <c r="B11" s="132" t="s">
        <v>534</v>
      </c>
      <c r="C11" s="223" t="s">
        <v>533</v>
      </c>
      <c r="D11" s="426" t="s">
        <v>515</v>
      </c>
    </row>
    <row r="12" spans="2:16" ht="15.6">
      <c r="B12" s="132" t="s">
        <v>532</v>
      </c>
      <c r="C12" s="223">
        <v>26.7</v>
      </c>
      <c r="D12" s="426" t="s">
        <v>515</v>
      </c>
    </row>
    <row r="13" spans="2:16">
      <c r="B13" s="132" t="s">
        <v>531</v>
      </c>
      <c r="C13" s="223">
        <v>43.5</v>
      </c>
      <c r="D13" s="426" t="s">
        <v>515</v>
      </c>
    </row>
    <row r="14" spans="2:16">
      <c r="B14" s="132" t="s">
        <v>530</v>
      </c>
      <c r="C14" s="223">
        <v>14.5</v>
      </c>
      <c r="D14" s="426" t="s">
        <v>515</v>
      </c>
    </row>
    <row r="15" spans="2:16">
      <c r="B15" s="132" t="s">
        <v>529</v>
      </c>
      <c r="C15" s="223">
        <v>9.3000000000000007</v>
      </c>
      <c r="D15" s="426" t="s">
        <v>515</v>
      </c>
    </row>
    <row r="16" spans="2:16">
      <c r="B16" s="132" t="s">
        <v>528</v>
      </c>
      <c r="C16" s="223">
        <v>17.5</v>
      </c>
      <c r="D16" s="426" t="s">
        <v>515</v>
      </c>
    </row>
    <row r="17" spans="1:18">
      <c r="B17" s="132" t="s">
        <v>527</v>
      </c>
      <c r="C17" s="223">
        <v>8</v>
      </c>
      <c r="D17" s="426" t="s">
        <v>515</v>
      </c>
    </row>
    <row r="18" spans="1:18" ht="15" thickBot="1">
      <c r="B18" s="92" t="s">
        <v>526</v>
      </c>
      <c r="C18" s="428">
        <v>10.6</v>
      </c>
      <c r="D18" s="427" t="s">
        <v>515</v>
      </c>
    </row>
    <row r="19" spans="1:18" ht="21">
      <c r="B19" s="132" t="s">
        <v>525</v>
      </c>
      <c r="C19" s="223" t="s">
        <v>524</v>
      </c>
      <c r="D19" s="426" t="s">
        <v>515</v>
      </c>
      <c r="E19" s="138" t="s">
        <v>523</v>
      </c>
    </row>
    <row r="20" spans="1:18" ht="15.6">
      <c r="B20" s="132" t="s">
        <v>522</v>
      </c>
      <c r="C20" s="223" t="s">
        <v>521</v>
      </c>
      <c r="D20" s="426" t="s">
        <v>515</v>
      </c>
      <c r="R20" s="90" t="s">
        <v>520</v>
      </c>
    </row>
    <row r="21" spans="1:18">
      <c r="B21" s="132" t="s">
        <v>519</v>
      </c>
      <c r="C21" s="223">
        <v>120</v>
      </c>
      <c r="D21" s="426" t="s">
        <v>515</v>
      </c>
    </row>
    <row r="22" spans="1:18">
      <c r="B22" s="132" t="s">
        <v>518</v>
      </c>
      <c r="C22" s="223">
        <v>18.600000000000001</v>
      </c>
      <c r="D22" s="426" t="s">
        <v>515</v>
      </c>
    </row>
    <row r="23" spans="1:18">
      <c r="B23" s="132" t="s">
        <v>517</v>
      </c>
      <c r="C23" s="223">
        <v>43.2</v>
      </c>
      <c r="D23" s="426" t="s">
        <v>515</v>
      </c>
    </row>
    <row r="24" spans="1:18">
      <c r="B24" s="132" t="s">
        <v>516</v>
      </c>
      <c r="C24" s="223">
        <v>49.85</v>
      </c>
      <c r="D24" s="426" t="s">
        <v>515</v>
      </c>
    </row>
    <row r="26" spans="1:18" ht="28.8">
      <c r="A26" s="90" t="s">
        <v>514</v>
      </c>
    </row>
    <row r="48" spans="12:13">
      <c r="L48" t="s">
        <v>513</v>
      </c>
      <c r="M48" t="s">
        <v>512</v>
      </c>
    </row>
    <row r="49" spans="10:15">
      <c r="K49" t="s">
        <v>511</v>
      </c>
      <c r="L49">
        <v>146</v>
      </c>
      <c r="M49">
        <f>L49/SUM($L$49:$L$51)</f>
        <v>0.25391304347826088</v>
      </c>
    </row>
    <row r="50" spans="10:15">
      <c r="K50" t="s">
        <v>510</v>
      </c>
      <c r="L50">
        <v>348</v>
      </c>
      <c r="M50">
        <f>L50/SUM($L$49:$L$51)</f>
        <v>0.60521739130434782</v>
      </c>
      <c r="O50">
        <f>M49*C13+M50*43.2+C9*M51</f>
        <v>43.51565217391304</v>
      </c>
    </row>
    <row r="51" spans="10:15">
      <c r="K51" t="s">
        <v>509</v>
      </c>
      <c r="L51">
        <v>81</v>
      </c>
      <c r="M51">
        <f>L51/SUM($L$49:$L$51)</f>
        <v>0.1408695652173913</v>
      </c>
    </row>
    <row r="52" spans="10:15">
      <c r="K52" t="s">
        <v>508</v>
      </c>
      <c r="L52">
        <v>800</v>
      </c>
    </row>
    <row r="53" spans="10:15">
      <c r="J53" t="s">
        <v>507</v>
      </c>
      <c r="L53">
        <f>SUM(L49:L51)/L52</f>
        <v>0.71875</v>
      </c>
    </row>
    <row r="54" spans="10:15">
      <c r="J54" t="s">
        <v>506</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69"/>
  </cols>
  <sheetData>
    <row r="1" spans="1:2" ht="13.8">
      <c r="A1" s="434" t="s">
        <v>56</v>
      </c>
      <c r="B1" s="433" t="s">
        <v>547</v>
      </c>
    </row>
    <row r="26" spans="18:23">
      <c r="U26" s="69" t="s">
        <v>1449</v>
      </c>
      <c r="V26" s="69" t="s">
        <v>1450</v>
      </c>
    </row>
    <row r="27" spans="18:23">
      <c r="R27" s="69" t="s">
        <v>1448</v>
      </c>
      <c r="U27" s="1085">
        <v>170</v>
      </c>
      <c r="V27" s="69">
        <v>300</v>
      </c>
      <c r="W27" s="69" t="s">
        <v>331</v>
      </c>
    </row>
    <row r="28" spans="18:23">
      <c r="U28" s="1085">
        <v>300</v>
      </c>
      <c r="V28" s="69">
        <v>300</v>
      </c>
      <c r="W28" s="69" t="s">
        <v>123</v>
      </c>
    </row>
    <row r="29" spans="18:23">
      <c r="U29" s="69">
        <f>U27/U28</f>
        <v>0.56666666666666665</v>
      </c>
      <c r="V29" s="1085">
        <f>V27/V28</f>
        <v>1</v>
      </c>
      <c r="W29" s="69" t="s">
        <v>1443</v>
      </c>
    </row>
    <row r="30" spans="18:23">
      <c r="U30" s="69">
        <f>U29/0.0315</f>
        <v>17.989417989417987</v>
      </c>
      <c r="V30" s="1085">
        <f>V29/0.0315</f>
        <v>31.746031746031747</v>
      </c>
      <c r="W30" s="69" t="s">
        <v>1451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69"/>
  </cols>
  <sheetData>
    <row r="1" spans="1:2">
      <c r="A1" s="69" t="s">
        <v>549</v>
      </c>
      <c r="B1" s="69" t="s">
        <v>548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69"/>
    <col min="2" max="2" width="36.88671875" style="69" customWidth="1"/>
    <col min="3" max="3" width="20.6640625" style="69" customWidth="1"/>
    <col min="4" max="7" width="10.109375" style="69" bestFit="1" customWidth="1"/>
    <col min="8" max="9" width="9.109375" style="69"/>
    <col min="10" max="10" width="135.44140625" style="69" bestFit="1" customWidth="1"/>
    <col min="11" max="16384" width="9.109375" style="69"/>
  </cols>
  <sheetData>
    <row r="1" spans="2:19">
      <c r="B1" s="69" t="s">
        <v>56</v>
      </c>
      <c r="C1" s="69" t="s">
        <v>641</v>
      </c>
    </row>
    <row r="2" spans="2:19" ht="21">
      <c r="B2" s="549" t="s">
        <v>640</v>
      </c>
      <c r="C2" s="549"/>
      <c r="D2" s="549"/>
      <c r="E2" s="549"/>
      <c r="F2" s="549"/>
      <c r="G2" s="549"/>
      <c r="H2" s="549"/>
      <c r="I2" s="549"/>
      <c r="J2" s="549"/>
      <c r="K2" s="549"/>
      <c r="L2" s="549"/>
      <c r="M2" s="549"/>
      <c r="N2" s="549"/>
      <c r="O2" s="549"/>
      <c r="P2" s="549"/>
      <c r="Q2" s="549" t="e">
        <v>#REF!</v>
      </c>
      <c r="R2" s="548" t="e">
        <v>#REF!</v>
      </c>
      <c r="S2" s="547"/>
    </row>
    <row r="3" spans="2:19">
      <c r="R3" s="546" t="e">
        <v>#REF!</v>
      </c>
      <c r="S3" s="546">
        <v>0</v>
      </c>
    </row>
    <row r="5" spans="2:19" ht="13.8" thickBot="1">
      <c r="B5" s="541" t="s">
        <v>639</v>
      </c>
    </row>
    <row r="6" spans="2:19" ht="13.8">
      <c r="B6" s="545" t="s">
        <v>638</v>
      </c>
      <c r="C6" s="443"/>
      <c r="D6" s="443"/>
      <c r="E6" s="443"/>
      <c r="F6" s="443"/>
      <c r="G6" s="443"/>
      <c r="H6" s="443"/>
      <c r="I6" s="443"/>
      <c r="J6" s="443"/>
      <c r="K6" s="443"/>
      <c r="L6" s="443"/>
      <c r="M6" s="443"/>
      <c r="N6" s="442"/>
    </row>
    <row r="7" spans="2:19" ht="13.8">
      <c r="B7" s="544" t="s">
        <v>637</v>
      </c>
      <c r="C7" s="439"/>
      <c r="D7" s="439"/>
      <c r="E7" s="439"/>
      <c r="F7" s="439"/>
      <c r="G7" s="439"/>
      <c r="H7" s="439"/>
      <c r="I7" s="439"/>
      <c r="J7" s="439"/>
      <c r="K7" s="439"/>
      <c r="L7" s="439"/>
      <c r="M7" s="439"/>
      <c r="N7" s="438"/>
    </row>
    <row r="8" spans="2:19" ht="13.8">
      <c r="B8" s="544" t="s">
        <v>636</v>
      </c>
      <c r="C8" s="439"/>
      <c r="D8" s="439"/>
      <c r="E8" s="439"/>
      <c r="F8" s="439"/>
      <c r="G8" s="439"/>
      <c r="H8" s="439"/>
      <c r="I8" s="439"/>
      <c r="J8" s="439"/>
      <c r="K8" s="439"/>
      <c r="L8" s="439"/>
      <c r="M8" s="439"/>
      <c r="N8" s="438"/>
    </row>
    <row r="9" spans="2:19" ht="13.8">
      <c r="B9" s="544" t="s">
        <v>635</v>
      </c>
      <c r="C9" s="439"/>
      <c r="D9" s="439"/>
      <c r="E9" s="439"/>
      <c r="F9" s="439"/>
      <c r="G9" s="439"/>
      <c r="H9" s="439"/>
      <c r="I9" s="439"/>
      <c r="J9" s="439"/>
      <c r="K9" s="439"/>
      <c r="L9" s="439"/>
      <c r="M9" s="439"/>
      <c r="N9" s="438"/>
    </row>
    <row r="10" spans="2:19" ht="13.8">
      <c r="B10" s="504"/>
      <c r="C10" s="439"/>
      <c r="D10" s="439"/>
      <c r="E10" s="439"/>
      <c r="F10" s="439"/>
      <c r="G10" s="439"/>
      <c r="H10" s="439"/>
      <c r="I10" s="439"/>
      <c r="J10" s="439"/>
      <c r="K10" s="439"/>
      <c r="L10" s="439"/>
      <c r="M10" s="439"/>
      <c r="N10" s="438"/>
    </row>
    <row r="11" spans="2:19" ht="13.8">
      <c r="B11" s="504"/>
      <c r="C11" s="439"/>
      <c r="D11" s="439"/>
      <c r="E11" s="439"/>
      <c r="F11" s="439"/>
      <c r="G11" s="439"/>
      <c r="H11" s="439"/>
      <c r="I11" s="439"/>
      <c r="J11" s="439"/>
      <c r="K11" s="439"/>
      <c r="L11" s="439"/>
      <c r="M11" s="439"/>
      <c r="N11" s="438"/>
    </row>
    <row r="12" spans="2:19" ht="13.8">
      <c r="B12" s="543" t="s">
        <v>634</v>
      </c>
      <c r="C12" s="439"/>
      <c r="D12" s="439"/>
      <c r="E12" s="439"/>
      <c r="F12" s="439"/>
      <c r="G12" s="439"/>
      <c r="H12" s="439"/>
      <c r="I12" s="439"/>
      <c r="J12" s="439"/>
      <c r="K12" s="439"/>
      <c r="L12" s="439"/>
      <c r="M12" s="439"/>
      <c r="N12" s="438"/>
    </row>
    <row r="13" spans="2:19" ht="13.8">
      <c r="B13" s="544" t="s">
        <v>633</v>
      </c>
      <c r="C13" s="439"/>
      <c r="D13" s="439"/>
      <c r="E13" s="439"/>
      <c r="F13" s="439"/>
      <c r="G13" s="439"/>
      <c r="H13" s="439"/>
      <c r="I13" s="439"/>
      <c r="J13" s="439"/>
      <c r="K13" s="439"/>
      <c r="L13" s="439"/>
      <c r="M13" s="439"/>
      <c r="N13" s="438"/>
    </row>
    <row r="14" spans="2:19" ht="13.8">
      <c r="B14" s="544" t="s">
        <v>632</v>
      </c>
      <c r="C14" s="439"/>
      <c r="D14" s="439"/>
      <c r="E14" s="439"/>
      <c r="F14" s="439"/>
      <c r="G14" s="439"/>
      <c r="H14" s="439"/>
      <c r="I14" s="439"/>
      <c r="J14" s="439"/>
      <c r="K14" s="439"/>
      <c r="L14" s="439"/>
      <c r="M14" s="439"/>
      <c r="N14" s="438"/>
    </row>
    <row r="15" spans="2:19" ht="13.8">
      <c r="B15" s="543" t="s">
        <v>631</v>
      </c>
      <c r="C15" s="439"/>
      <c r="D15" s="439"/>
      <c r="E15" s="439"/>
      <c r="F15" s="439"/>
      <c r="G15" s="439"/>
      <c r="H15" s="439"/>
      <c r="I15" s="439"/>
      <c r="J15" s="439"/>
      <c r="K15" s="439"/>
      <c r="L15" s="439"/>
      <c r="M15" s="439"/>
      <c r="N15" s="438"/>
    </row>
    <row r="16" spans="2:19" ht="13.8">
      <c r="B16" s="504"/>
      <c r="C16" s="439"/>
      <c r="D16" s="439"/>
      <c r="E16" s="439"/>
      <c r="F16" s="439"/>
      <c r="G16" s="439"/>
      <c r="H16" s="439"/>
      <c r="I16" s="439"/>
      <c r="J16" s="439"/>
      <c r="K16" s="439"/>
      <c r="L16" s="439"/>
      <c r="M16" s="439"/>
      <c r="N16" s="438"/>
    </row>
    <row r="17" spans="2:14" ht="13.8">
      <c r="B17" s="504"/>
      <c r="C17" s="439"/>
      <c r="D17" s="439"/>
      <c r="E17" s="439"/>
      <c r="F17" s="439"/>
      <c r="G17" s="439"/>
      <c r="H17" s="439"/>
      <c r="I17" s="439"/>
      <c r="J17" s="439"/>
      <c r="K17" s="439"/>
      <c r="L17" s="439"/>
      <c r="M17" s="439"/>
      <c r="N17" s="438"/>
    </row>
    <row r="18" spans="2:14" ht="14.4" thickBot="1">
      <c r="B18" s="437"/>
      <c r="C18" s="436"/>
      <c r="D18" s="436"/>
      <c r="E18" s="436"/>
      <c r="F18" s="436"/>
      <c r="G18" s="436"/>
      <c r="H18" s="436"/>
      <c r="I18" s="436"/>
      <c r="J18" s="436"/>
      <c r="K18" s="436"/>
      <c r="L18" s="436"/>
      <c r="M18" s="436"/>
      <c r="N18" s="435"/>
    </row>
    <row r="19" spans="2:14" ht="13.8">
      <c r="F19" s="539"/>
      <c r="G19" s="539"/>
      <c r="I19" s="542"/>
      <c r="J19" s="539"/>
    </row>
    <row r="20" spans="2:14" ht="14.4" thickBot="1">
      <c r="B20" s="541" t="s">
        <v>630</v>
      </c>
      <c r="E20" s="540"/>
      <c r="F20" s="539"/>
      <c r="G20" s="539"/>
    </row>
    <row r="21" spans="2:14" ht="13.8">
      <c r="B21" s="445"/>
      <c r="C21" s="484"/>
      <c r="D21" s="483"/>
      <c r="E21" s="443"/>
      <c r="F21" s="443"/>
      <c r="G21" s="443"/>
      <c r="H21" s="443"/>
      <c r="I21" s="443" t="s">
        <v>287</v>
      </c>
      <c r="J21" s="442" t="s">
        <v>288</v>
      </c>
    </row>
    <row r="22" spans="2:14" ht="13.8">
      <c r="B22" s="482"/>
      <c r="C22" s="481" t="s">
        <v>603</v>
      </c>
      <c r="D22" s="538">
        <v>2015</v>
      </c>
      <c r="E22" s="537">
        <v>2020</v>
      </c>
      <c r="F22" s="537">
        <v>2035</v>
      </c>
      <c r="G22" s="479"/>
      <c r="H22" s="479" t="s">
        <v>629</v>
      </c>
      <c r="I22" s="536"/>
      <c r="J22" s="478"/>
    </row>
    <row r="23" spans="2:14" ht="13.8">
      <c r="B23" s="504" t="s">
        <v>628</v>
      </c>
      <c r="C23" s="492"/>
      <c r="D23" s="535"/>
      <c r="E23" s="534"/>
      <c r="F23" s="534"/>
      <c r="G23" s="534"/>
      <c r="H23" s="534"/>
      <c r="I23" s="439"/>
      <c r="J23" s="438"/>
    </row>
    <row r="24" spans="2:14" ht="13.8">
      <c r="B24" s="525" t="s">
        <v>627</v>
      </c>
      <c r="C24" s="492" t="s">
        <v>624</v>
      </c>
      <c r="D24" s="533">
        <v>0.56448821165977348</v>
      </c>
      <c r="E24" s="533">
        <v>0.65009680614089171</v>
      </c>
      <c r="F24" s="533">
        <v>0.65009680614089171</v>
      </c>
      <c r="G24" s="532">
        <v>0.65009680614089171</v>
      </c>
      <c r="H24" s="528"/>
      <c r="I24" s="531"/>
      <c r="J24" s="527" t="s">
        <v>626</v>
      </c>
      <c r="M24" s="455"/>
    </row>
    <row r="25" spans="2:14" ht="13.8">
      <c r="B25" s="525" t="s">
        <v>625</v>
      </c>
      <c r="C25" s="492" t="s">
        <v>624</v>
      </c>
      <c r="D25" s="530">
        <v>0.56448821165977348</v>
      </c>
      <c r="E25" s="529">
        <v>0.65009680614089171</v>
      </c>
      <c r="F25" s="529">
        <v>0.65009680614089171</v>
      </c>
      <c r="G25" s="529">
        <v>0.65009680614089171</v>
      </c>
      <c r="H25" s="528"/>
      <c r="I25" s="451"/>
      <c r="J25" s="527" t="s">
        <v>623</v>
      </c>
    </row>
    <row r="26" spans="2:14" ht="13.8">
      <c r="B26" s="525" t="s">
        <v>622</v>
      </c>
      <c r="C26" s="492" t="s">
        <v>620</v>
      </c>
      <c r="D26" s="526">
        <v>0.74990000000000001</v>
      </c>
      <c r="E26" s="526">
        <v>0.53849999999999998</v>
      </c>
      <c r="F26" s="526">
        <v>0.53849999999999998</v>
      </c>
      <c r="G26" s="526">
        <v>0.53849999999999998</v>
      </c>
      <c r="H26" s="522"/>
      <c r="I26" s="451" t="s">
        <v>559</v>
      </c>
      <c r="J26" s="438" t="s">
        <v>619</v>
      </c>
    </row>
    <row r="27" spans="2:14" ht="13.8">
      <c r="B27" s="525" t="s">
        <v>621</v>
      </c>
      <c r="C27" s="492" t="s">
        <v>620</v>
      </c>
      <c r="D27" s="524"/>
      <c r="E27" s="523">
        <v>0</v>
      </c>
      <c r="F27" s="523">
        <v>0</v>
      </c>
      <c r="G27" s="523">
        <v>0</v>
      </c>
      <c r="H27" s="522"/>
      <c r="I27" s="451" t="s">
        <v>559</v>
      </c>
      <c r="J27" s="438" t="s">
        <v>619</v>
      </c>
      <c r="L27" s="455">
        <v>0</v>
      </c>
    </row>
    <row r="28" spans="2:14" ht="13.8">
      <c r="B28" s="515" t="s">
        <v>618</v>
      </c>
      <c r="C28" s="492" t="s">
        <v>617</v>
      </c>
      <c r="D28" s="521">
        <v>16.3</v>
      </c>
      <c r="E28" s="520">
        <v>16.3</v>
      </c>
      <c r="F28" s="520">
        <v>16.3</v>
      </c>
      <c r="G28" s="501">
        <v>16.3</v>
      </c>
      <c r="H28" s="501"/>
      <c r="I28" s="459" t="s">
        <v>616</v>
      </c>
      <c r="J28" s="438"/>
    </row>
    <row r="29" spans="2:14" ht="13.8">
      <c r="B29" s="515" t="s">
        <v>591</v>
      </c>
      <c r="C29" s="492" t="s">
        <v>590</v>
      </c>
      <c r="D29" s="519">
        <v>7.619574778625954</v>
      </c>
      <c r="E29" s="518">
        <v>6.3013883419236638</v>
      </c>
      <c r="F29" s="518">
        <v>6.3013883419236638</v>
      </c>
      <c r="G29" s="518">
        <v>6.3013883419236638</v>
      </c>
      <c r="H29" s="518"/>
      <c r="I29" s="451"/>
      <c r="J29" s="438"/>
    </row>
    <row r="30" spans="2:14" ht="13.8">
      <c r="B30" s="441"/>
      <c r="C30" s="517"/>
      <c r="D30" s="497"/>
      <c r="E30" s="496"/>
      <c r="F30" s="496"/>
      <c r="G30" s="496"/>
      <c r="H30" s="496"/>
      <c r="I30" s="439"/>
      <c r="J30" s="438"/>
    </row>
    <row r="31" spans="2:14" ht="13.8">
      <c r="B31" s="504" t="s">
        <v>615</v>
      </c>
      <c r="C31" s="492"/>
      <c r="D31" s="497"/>
      <c r="E31" s="496"/>
      <c r="F31" s="496"/>
      <c r="G31" s="496"/>
      <c r="H31" s="496"/>
      <c r="I31" s="439"/>
      <c r="J31" s="438"/>
    </row>
    <row r="32" spans="2:14" ht="13.8">
      <c r="B32" s="515" t="s">
        <v>614</v>
      </c>
      <c r="C32" s="492" t="s">
        <v>563</v>
      </c>
      <c r="D32" s="516">
        <v>324327.7117358431</v>
      </c>
      <c r="E32" s="516">
        <v>217507.89270712316</v>
      </c>
      <c r="F32" s="516">
        <v>184938.55106805882</v>
      </c>
      <c r="G32" s="516">
        <v>184938.55106805882</v>
      </c>
      <c r="H32" s="451">
        <v>2015</v>
      </c>
      <c r="I32" s="439"/>
      <c r="J32" s="438"/>
    </row>
    <row r="33" spans="2:10" ht="13.8">
      <c r="B33" s="441" t="s">
        <v>613</v>
      </c>
      <c r="C33" s="492" t="s">
        <v>588</v>
      </c>
      <c r="D33" s="516">
        <v>4293.4696693761334</v>
      </c>
      <c r="E33" s="516">
        <v>3646.4604673615695</v>
      </c>
      <c r="F33" s="516">
        <v>3175.3416583090861</v>
      </c>
      <c r="G33" s="516">
        <v>3175.3416583090861</v>
      </c>
      <c r="H33" s="451">
        <v>2015</v>
      </c>
      <c r="I33" s="439"/>
      <c r="J33" s="438"/>
    </row>
    <row r="34" spans="2:10" ht="13.8">
      <c r="B34" s="505" t="s">
        <v>612</v>
      </c>
      <c r="C34" s="492" t="s">
        <v>588</v>
      </c>
      <c r="D34" s="516">
        <v>3879.8151199957892</v>
      </c>
      <c r="E34" s="516">
        <v>3146.2735878206458</v>
      </c>
      <c r="F34" s="516">
        <v>2675.1547787681625</v>
      </c>
      <c r="G34" s="516">
        <v>2675.1547787681625</v>
      </c>
      <c r="H34" s="451">
        <v>2015</v>
      </c>
      <c r="I34" s="439"/>
      <c r="J34" s="438"/>
    </row>
    <row r="35" spans="2:10" ht="13.8">
      <c r="B35" s="505" t="s">
        <v>611</v>
      </c>
      <c r="C35" s="492" t="s">
        <v>588</v>
      </c>
      <c r="D35" s="516">
        <v>413.65454938034395</v>
      </c>
      <c r="E35" s="516">
        <v>500.18687954092383</v>
      </c>
      <c r="F35" s="516">
        <v>500.18687954092383</v>
      </c>
      <c r="G35" s="516">
        <v>500.18687954092383</v>
      </c>
      <c r="H35" s="451">
        <v>2015</v>
      </c>
      <c r="I35" s="439"/>
      <c r="J35" s="438"/>
    </row>
    <row r="36" spans="2:10" ht="13.8">
      <c r="B36" s="505"/>
      <c r="C36" s="492"/>
      <c r="D36" s="516"/>
      <c r="E36" s="516"/>
      <c r="F36" s="516"/>
      <c r="G36" s="516"/>
      <c r="H36" s="451"/>
      <c r="I36" s="439"/>
      <c r="J36" s="438"/>
    </row>
    <row r="37" spans="2:10" ht="13.8">
      <c r="B37" s="505" t="s">
        <v>610</v>
      </c>
      <c r="C37" s="492" t="s">
        <v>588</v>
      </c>
      <c r="D37" s="516">
        <v>0</v>
      </c>
      <c r="E37" s="516">
        <v>0</v>
      </c>
      <c r="F37" s="516">
        <v>0</v>
      </c>
      <c r="G37" s="516">
        <v>0</v>
      </c>
      <c r="H37" s="451">
        <v>2015</v>
      </c>
      <c r="I37" s="439"/>
      <c r="J37" s="438"/>
    </row>
    <row r="38" spans="2:10" ht="13.8">
      <c r="B38" s="504"/>
      <c r="C38" s="492"/>
      <c r="D38" s="497"/>
      <c r="E38" s="496"/>
      <c r="F38" s="496"/>
      <c r="G38" s="496"/>
      <c r="H38" s="496"/>
      <c r="I38" s="439"/>
      <c r="J38" s="438"/>
    </row>
    <row r="39" spans="2:10" ht="13.8">
      <c r="B39" s="515" t="s">
        <v>614</v>
      </c>
      <c r="C39" s="492" t="s">
        <v>563</v>
      </c>
      <c r="D39" s="514">
        <v>304687</v>
      </c>
      <c r="E39" s="513">
        <v>204336</v>
      </c>
      <c r="F39" s="513">
        <v>173739</v>
      </c>
      <c r="G39" s="512">
        <v>173739</v>
      </c>
      <c r="H39" s="511">
        <v>2011</v>
      </c>
      <c r="I39" s="451" t="s">
        <v>573</v>
      </c>
      <c r="J39" s="438"/>
    </row>
    <row r="40" spans="2:10" ht="13.8">
      <c r="B40" s="441" t="s">
        <v>613</v>
      </c>
      <c r="C40" s="492" t="s">
        <v>588</v>
      </c>
      <c r="D40" s="510">
        <v>4033.464751290428</v>
      </c>
      <c r="E40" s="502">
        <v>3425.6372804920857</v>
      </c>
      <c r="F40" s="502">
        <v>2983.0485920155152</v>
      </c>
      <c r="G40" s="502">
        <v>2983.0485920155152</v>
      </c>
      <c r="H40" s="506">
        <v>2011</v>
      </c>
      <c r="I40" s="451"/>
      <c r="J40" s="438"/>
    </row>
    <row r="41" spans="2:10" ht="13.8">
      <c r="B41" s="505" t="s">
        <v>612</v>
      </c>
      <c r="C41" s="492" t="s">
        <v>588</v>
      </c>
      <c r="D41" s="510">
        <v>3644.8603887076174</v>
      </c>
      <c r="E41" s="502">
        <v>2955.740832387115</v>
      </c>
      <c r="F41" s="502">
        <v>2513.1521439105445</v>
      </c>
      <c r="G41" s="502">
        <v>2513.1521439105445</v>
      </c>
      <c r="H41" s="506">
        <v>2011</v>
      </c>
      <c r="I41" s="451"/>
      <c r="J41" s="438"/>
    </row>
    <row r="42" spans="2:10" ht="13.8">
      <c r="B42" s="505" t="s">
        <v>611</v>
      </c>
      <c r="C42" s="492" t="s">
        <v>588</v>
      </c>
      <c r="D42" s="509">
        <v>388.60436258281067</v>
      </c>
      <c r="E42" s="508">
        <v>469.8964481049706</v>
      </c>
      <c r="F42" s="508">
        <v>469.8964481049706</v>
      </c>
      <c r="G42" s="508">
        <v>469.8964481049706</v>
      </c>
      <c r="H42" s="506">
        <v>2011</v>
      </c>
      <c r="I42" s="459"/>
      <c r="J42" s="438"/>
    </row>
    <row r="43" spans="2:10" ht="13.8">
      <c r="B43" s="505"/>
      <c r="C43" s="492"/>
      <c r="D43" s="497"/>
      <c r="E43" s="496"/>
      <c r="F43" s="496"/>
      <c r="G43" s="496"/>
      <c r="H43" s="506"/>
      <c r="I43" s="451"/>
      <c r="J43" s="438"/>
    </row>
    <row r="44" spans="2:10" ht="13.8">
      <c r="B44" s="505" t="s">
        <v>610</v>
      </c>
      <c r="C44" s="492" t="s">
        <v>588</v>
      </c>
      <c r="D44" s="507">
        <v>0</v>
      </c>
      <c r="E44" s="501">
        <v>0</v>
      </c>
      <c r="F44" s="501">
        <v>0</v>
      </c>
      <c r="G44" s="501">
        <v>0</v>
      </c>
      <c r="H44" s="506">
        <v>2011</v>
      </c>
      <c r="I44" s="451"/>
      <c r="J44" s="438"/>
    </row>
    <row r="45" spans="2:10" ht="13.8">
      <c r="B45" s="505"/>
      <c r="C45" s="492"/>
      <c r="D45" s="497"/>
      <c r="E45" s="496"/>
      <c r="F45" s="496"/>
      <c r="G45" s="496"/>
      <c r="H45" s="496"/>
      <c r="I45" s="451"/>
      <c r="J45" s="438"/>
    </row>
    <row r="46" spans="2:10" ht="13.8">
      <c r="B46" s="504" t="s">
        <v>609</v>
      </c>
      <c r="C46" s="492"/>
      <c r="D46" s="497"/>
      <c r="E46" s="496"/>
      <c r="F46" s="496"/>
      <c r="G46" s="496"/>
      <c r="H46" s="503"/>
      <c r="I46" s="451"/>
      <c r="J46" s="438"/>
    </row>
    <row r="47" spans="2:10" ht="13.8">
      <c r="B47" s="498" t="s">
        <v>608</v>
      </c>
      <c r="C47" s="492"/>
      <c r="D47" s="497"/>
      <c r="E47" s="496"/>
      <c r="F47" s="496"/>
      <c r="G47" s="496"/>
      <c r="H47" s="502"/>
      <c r="I47" s="451"/>
      <c r="J47" s="438"/>
    </row>
    <row r="48" spans="2:10" ht="13.8">
      <c r="B48" s="441" t="s">
        <v>556</v>
      </c>
      <c r="C48" s="492" t="s">
        <v>605</v>
      </c>
      <c r="D48" s="495"/>
      <c r="E48" s="494"/>
      <c r="F48" s="494"/>
      <c r="G48" s="494"/>
      <c r="H48" s="502"/>
      <c r="I48" s="451"/>
      <c r="J48" s="461" t="s">
        <v>606</v>
      </c>
    </row>
    <row r="49" spans="2:10" ht="13.8">
      <c r="B49" s="441" t="s">
        <v>555</v>
      </c>
      <c r="C49" s="492" t="s">
        <v>605</v>
      </c>
      <c r="D49" s="500">
        <v>0</v>
      </c>
      <c r="E49" s="499">
        <v>0</v>
      </c>
      <c r="F49" s="499">
        <v>0</v>
      </c>
      <c r="G49" s="499">
        <v>0</v>
      </c>
      <c r="H49" s="493"/>
      <c r="I49" s="451"/>
      <c r="J49" s="438"/>
    </row>
    <row r="50" spans="2:10" ht="13.8">
      <c r="B50" s="441" t="s">
        <v>554</v>
      </c>
      <c r="C50" s="492" t="s">
        <v>605</v>
      </c>
      <c r="D50" s="500">
        <v>0</v>
      </c>
      <c r="E50" s="499">
        <v>0</v>
      </c>
      <c r="F50" s="499">
        <v>0</v>
      </c>
      <c r="G50" s="499">
        <v>0</v>
      </c>
      <c r="H50" s="496"/>
      <c r="I50" s="451"/>
      <c r="J50" s="438"/>
    </row>
    <row r="51" spans="2:10" ht="13.8">
      <c r="B51" s="441" t="s">
        <v>553</v>
      </c>
      <c r="C51" s="492" t="s">
        <v>605</v>
      </c>
      <c r="D51" s="500">
        <v>0</v>
      </c>
      <c r="E51" s="499">
        <v>0</v>
      </c>
      <c r="F51" s="499">
        <v>0</v>
      </c>
      <c r="G51" s="499">
        <v>0</v>
      </c>
      <c r="H51" s="501"/>
      <c r="I51" s="451"/>
      <c r="J51" s="438"/>
    </row>
    <row r="52" spans="2:10" ht="13.8">
      <c r="B52" s="441" t="s">
        <v>552</v>
      </c>
      <c r="C52" s="492" t="s">
        <v>605</v>
      </c>
      <c r="D52" s="500">
        <v>0</v>
      </c>
      <c r="E52" s="499">
        <v>0</v>
      </c>
      <c r="F52" s="499">
        <v>0</v>
      </c>
      <c r="G52" s="499">
        <v>0</v>
      </c>
      <c r="H52" s="496"/>
      <c r="I52" s="451"/>
      <c r="J52" s="438"/>
    </row>
    <row r="53" spans="2:10" ht="13.8">
      <c r="B53" s="441" t="s">
        <v>551</v>
      </c>
      <c r="C53" s="492" t="s">
        <v>605</v>
      </c>
      <c r="D53" s="500">
        <v>0</v>
      </c>
      <c r="E53" s="499">
        <v>0</v>
      </c>
      <c r="F53" s="499">
        <v>0</v>
      </c>
      <c r="G53" s="499">
        <v>0</v>
      </c>
      <c r="H53" s="496"/>
      <c r="I53" s="451"/>
      <c r="J53" s="438"/>
    </row>
    <row r="54" spans="2:10" ht="13.8">
      <c r="B54" s="441"/>
      <c r="C54" s="492"/>
      <c r="D54" s="497"/>
      <c r="E54" s="439"/>
      <c r="F54" s="439"/>
      <c r="G54" s="439"/>
      <c r="H54" s="496"/>
      <c r="I54" s="451"/>
      <c r="J54" s="438"/>
    </row>
    <row r="55" spans="2:10" ht="13.8">
      <c r="B55" s="498" t="s">
        <v>607</v>
      </c>
      <c r="C55" s="492"/>
      <c r="D55" s="497"/>
      <c r="E55" s="496"/>
      <c r="F55" s="496"/>
      <c r="G55" s="496"/>
      <c r="H55" s="493"/>
      <c r="I55" s="451"/>
      <c r="J55" s="438"/>
    </row>
    <row r="56" spans="2:10" ht="13.8">
      <c r="B56" s="441" t="s">
        <v>556</v>
      </c>
      <c r="C56" s="492" t="s">
        <v>605</v>
      </c>
      <c r="D56" s="495"/>
      <c r="E56" s="494"/>
      <c r="F56" s="494"/>
      <c r="G56" s="494"/>
      <c r="H56" s="493"/>
      <c r="I56" s="451"/>
      <c r="J56" s="461" t="s">
        <v>606</v>
      </c>
    </row>
    <row r="57" spans="2:10" ht="13.8">
      <c r="B57" s="441" t="s">
        <v>555</v>
      </c>
      <c r="C57" s="492" t="s">
        <v>605</v>
      </c>
      <c r="D57" s="491">
        <v>0</v>
      </c>
      <c r="E57" s="490">
        <v>0</v>
      </c>
      <c r="F57" s="490">
        <v>0</v>
      </c>
      <c r="G57" s="490">
        <v>0</v>
      </c>
      <c r="H57" s="489"/>
      <c r="I57" s="451"/>
      <c r="J57" s="438"/>
    </row>
    <row r="58" spans="2:10" ht="13.8">
      <c r="B58" s="441" t="s">
        <v>554</v>
      </c>
      <c r="C58" s="492" t="s">
        <v>605</v>
      </c>
      <c r="D58" s="491">
        <v>0</v>
      </c>
      <c r="E58" s="490">
        <v>0</v>
      </c>
      <c r="F58" s="490">
        <v>0</v>
      </c>
      <c r="G58" s="490">
        <v>0</v>
      </c>
      <c r="H58" s="489"/>
      <c r="I58" s="451"/>
      <c r="J58" s="438"/>
    </row>
    <row r="59" spans="2:10" ht="13.8">
      <c r="B59" s="441" t="s">
        <v>553</v>
      </c>
      <c r="C59" s="492" t="s">
        <v>605</v>
      </c>
      <c r="D59" s="491">
        <v>0</v>
      </c>
      <c r="E59" s="490">
        <v>0</v>
      </c>
      <c r="F59" s="490">
        <v>0</v>
      </c>
      <c r="G59" s="490">
        <v>0</v>
      </c>
      <c r="H59" s="489"/>
      <c r="I59" s="451"/>
      <c r="J59" s="438"/>
    </row>
    <row r="60" spans="2:10" ht="13.8">
      <c r="B60" s="441" t="s">
        <v>552</v>
      </c>
      <c r="C60" s="492" t="s">
        <v>605</v>
      </c>
      <c r="D60" s="491">
        <v>0</v>
      </c>
      <c r="E60" s="490">
        <v>0</v>
      </c>
      <c r="F60" s="490">
        <v>0</v>
      </c>
      <c r="G60" s="490">
        <v>0</v>
      </c>
      <c r="H60" s="489"/>
      <c r="I60" s="451"/>
      <c r="J60" s="438"/>
    </row>
    <row r="61" spans="2:10" ht="13.8">
      <c r="B61" s="441" t="s">
        <v>551</v>
      </c>
      <c r="C61" s="492" t="s">
        <v>605</v>
      </c>
      <c r="D61" s="491">
        <v>0</v>
      </c>
      <c r="E61" s="490">
        <v>0</v>
      </c>
      <c r="F61" s="490">
        <v>0</v>
      </c>
      <c r="G61" s="490">
        <v>0</v>
      </c>
      <c r="H61" s="489"/>
      <c r="I61" s="451"/>
      <c r="J61" s="438"/>
    </row>
    <row r="62" spans="2:10" ht="14.4" thickBot="1">
      <c r="B62" s="488"/>
      <c r="C62" s="487"/>
      <c r="D62" s="486"/>
      <c r="E62" s="436"/>
      <c r="F62" s="436"/>
      <c r="G62" s="436"/>
      <c r="H62" s="448"/>
      <c r="I62" s="448"/>
      <c r="J62" s="435"/>
    </row>
    <row r="63" spans="2:10" ht="13.8">
      <c r="I63" s="447"/>
    </row>
    <row r="64" spans="2:10" ht="13.8">
      <c r="D64" s="485"/>
      <c r="I64" s="447"/>
    </row>
    <row r="65" spans="2:10" ht="16.2" thickBot="1">
      <c r="B65" s="446" t="s">
        <v>604</v>
      </c>
      <c r="I65" s="447"/>
    </row>
    <row r="66" spans="2:10" ht="13.8">
      <c r="B66" s="445"/>
      <c r="C66" s="484"/>
      <c r="D66" s="483"/>
      <c r="E66" s="443"/>
      <c r="F66" s="443"/>
      <c r="G66" s="443"/>
      <c r="H66" s="443"/>
      <c r="I66" s="443" t="s">
        <v>287</v>
      </c>
      <c r="J66" s="442" t="s">
        <v>288</v>
      </c>
    </row>
    <row r="67" spans="2:10" ht="13.8">
      <c r="B67" s="482"/>
      <c r="C67" s="481" t="s">
        <v>603</v>
      </c>
      <c r="D67" s="480">
        <v>2015</v>
      </c>
      <c r="E67" s="479">
        <v>2020</v>
      </c>
      <c r="F67" s="479">
        <v>2035</v>
      </c>
      <c r="G67" s="479">
        <v>2050</v>
      </c>
      <c r="H67" s="439"/>
      <c r="I67" s="439"/>
      <c r="J67" s="478"/>
    </row>
    <row r="68" spans="2:10" ht="13.8">
      <c r="B68" s="441" t="s">
        <v>602</v>
      </c>
      <c r="C68" s="453" t="s">
        <v>600</v>
      </c>
      <c r="D68" s="477">
        <v>0.42330970992366412</v>
      </c>
      <c r="E68" s="477">
        <v>0.35007713010687019</v>
      </c>
      <c r="F68" s="477">
        <v>0.35007713010687019</v>
      </c>
      <c r="G68" s="477">
        <v>0.35007713010687019</v>
      </c>
      <c r="H68" s="439"/>
      <c r="I68" s="439"/>
      <c r="J68" s="438"/>
    </row>
    <row r="69" spans="2:10" ht="13.8">
      <c r="B69" s="441" t="s">
        <v>601</v>
      </c>
      <c r="C69" s="453" t="s">
        <v>600</v>
      </c>
      <c r="D69" s="476">
        <v>0.38034000000000001</v>
      </c>
      <c r="E69" s="476"/>
      <c r="F69" s="476"/>
      <c r="G69" s="476"/>
      <c r="H69" s="451"/>
      <c r="I69" s="451"/>
      <c r="J69" s="438"/>
    </row>
    <row r="70" spans="2:10" ht="13.8">
      <c r="B70" s="441" t="s">
        <v>599</v>
      </c>
      <c r="C70" s="453" t="s">
        <v>596</v>
      </c>
      <c r="D70" s="475">
        <v>1458</v>
      </c>
      <c r="E70" s="475"/>
      <c r="F70" s="475"/>
      <c r="G70" s="475"/>
      <c r="H70" s="451"/>
      <c r="I70" s="451" t="s">
        <v>559</v>
      </c>
      <c r="J70" s="438" t="s">
        <v>598</v>
      </c>
    </row>
    <row r="71" spans="2:10" ht="13.8">
      <c r="B71" s="441" t="s">
        <v>597</v>
      </c>
      <c r="C71" s="453" t="s">
        <v>596</v>
      </c>
      <c r="D71" s="474">
        <v>1310</v>
      </c>
      <c r="E71" s="474"/>
      <c r="F71" s="474"/>
      <c r="G71" s="474"/>
      <c r="H71" s="439"/>
      <c r="I71" s="439"/>
      <c r="J71" s="438"/>
    </row>
    <row r="72" spans="2:10" ht="13.8">
      <c r="B72" s="441" t="s">
        <v>595</v>
      </c>
      <c r="C72" s="453" t="s">
        <v>580</v>
      </c>
      <c r="D72" s="473"/>
      <c r="E72" s="472">
        <v>0.17299999999999999</v>
      </c>
      <c r="F72" s="471"/>
      <c r="G72" s="471"/>
      <c r="H72" s="451"/>
      <c r="I72" s="451" t="s">
        <v>559</v>
      </c>
      <c r="J72" s="438" t="s">
        <v>594</v>
      </c>
    </row>
    <row r="73" spans="2:10" ht="13.8">
      <c r="B73" s="441" t="s">
        <v>593</v>
      </c>
      <c r="C73" s="453" t="s">
        <v>592</v>
      </c>
      <c r="D73" s="470">
        <v>18000</v>
      </c>
      <c r="E73" s="469">
        <v>18000</v>
      </c>
      <c r="F73" s="469">
        <v>18000</v>
      </c>
      <c r="G73" s="469">
        <v>18000</v>
      </c>
      <c r="H73" s="439"/>
      <c r="I73" s="439"/>
      <c r="J73" s="438"/>
    </row>
    <row r="74" spans="2:10" ht="13.8">
      <c r="B74" s="441" t="s">
        <v>591</v>
      </c>
      <c r="C74" s="453" t="s">
        <v>590</v>
      </c>
      <c r="D74" s="463">
        <v>7.619574778625954</v>
      </c>
      <c r="E74" s="439">
        <v>6.3013883419236638</v>
      </c>
      <c r="F74" s="439">
        <v>6.3013883419236638</v>
      </c>
      <c r="G74" s="439">
        <v>6.3013883419236638</v>
      </c>
      <c r="H74" s="439"/>
      <c r="I74" s="439"/>
      <c r="J74" s="438" t="s">
        <v>589</v>
      </c>
    </row>
    <row r="75" spans="2:10" ht="13.8">
      <c r="B75" s="441" t="s">
        <v>587</v>
      </c>
      <c r="C75" s="453" t="s">
        <v>588</v>
      </c>
      <c r="D75" s="468">
        <v>388.60436258281067</v>
      </c>
      <c r="E75" s="466">
        <v>469.8964481049706</v>
      </c>
      <c r="F75" s="466">
        <v>469.8964481049706</v>
      </c>
      <c r="G75" s="466">
        <v>469.8964481049706</v>
      </c>
      <c r="H75" s="439"/>
      <c r="I75" s="439"/>
      <c r="J75" s="438"/>
    </row>
    <row r="76" spans="2:10" ht="13.8">
      <c r="B76" s="441" t="s">
        <v>587</v>
      </c>
      <c r="C76" s="453" t="s">
        <v>582</v>
      </c>
      <c r="D76" s="467">
        <v>0.16449999999999998</v>
      </c>
      <c r="E76" s="467">
        <v>0.16449999999999998</v>
      </c>
      <c r="F76" s="467">
        <v>0.16449999999999998</v>
      </c>
      <c r="G76" s="466">
        <v>0.16449999999999998</v>
      </c>
      <c r="H76" s="459"/>
      <c r="I76" s="459"/>
      <c r="J76" s="461"/>
    </row>
    <row r="77" spans="2:10" ht="13.8">
      <c r="B77" s="441" t="s">
        <v>587</v>
      </c>
      <c r="C77" s="453" t="s">
        <v>586</v>
      </c>
      <c r="D77" s="465">
        <v>0.47</v>
      </c>
      <c r="E77" s="465">
        <v>0.47</v>
      </c>
      <c r="F77" s="465">
        <v>0.47</v>
      </c>
      <c r="G77" s="465">
        <v>0.47</v>
      </c>
      <c r="H77" s="439"/>
      <c r="I77" s="439" t="s">
        <v>585</v>
      </c>
      <c r="J77" s="461" t="s">
        <v>584</v>
      </c>
    </row>
    <row r="78" spans="2:10" ht="13.8">
      <c r="B78" s="441" t="s">
        <v>583</v>
      </c>
      <c r="C78" s="453" t="s">
        <v>582</v>
      </c>
      <c r="D78" s="464">
        <v>0.35</v>
      </c>
      <c r="E78" s="464">
        <v>0.35</v>
      </c>
      <c r="F78" s="464">
        <v>0.35</v>
      </c>
      <c r="G78" s="464">
        <v>0.35</v>
      </c>
      <c r="H78" s="459"/>
      <c r="I78" s="459"/>
      <c r="J78" s="461"/>
    </row>
    <row r="79" spans="2:10" ht="13.8">
      <c r="B79" s="441" t="s">
        <v>581</v>
      </c>
      <c r="C79" s="453" t="s">
        <v>580</v>
      </c>
      <c r="D79" s="463"/>
      <c r="E79" s="454">
        <v>0.2</v>
      </c>
      <c r="F79" s="454">
        <v>0.4</v>
      </c>
      <c r="G79" s="454">
        <v>0.4</v>
      </c>
      <c r="H79" s="459"/>
      <c r="I79" s="459"/>
      <c r="J79" s="438" t="s">
        <v>579</v>
      </c>
    </row>
    <row r="80" spans="2:10" ht="13.8">
      <c r="B80" s="441"/>
      <c r="C80" s="453"/>
      <c r="D80" s="439"/>
      <c r="E80" s="452"/>
      <c r="F80" s="452"/>
      <c r="G80" s="452"/>
      <c r="H80" s="459"/>
      <c r="I80" s="459"/>
      <c r="J80" s="438"/>
    </row>
    <row r="81" spans="2:12" ht="13.8">
      <c r="B81" s="441" t="s">
        <v>578</v>
      </c>
      <c r="C81" s="453" t="s">
        <v>563</v>
      </c>
      <c r="D81" s="462">
        <v>304687</v>
      </c>
      <c r="E81" s="462">
        <v>204336</v>
      </c>
      <c r="F81" s="462">
        <v>173739</v>
      </c>
      <c r="G81" s="462">
        <v>173739</v>
      </c>
      <c r="H81" s="459"/>
      <c r="I81" s="459"/>
      <c r="J81" s="438"/>
    </row>
    <row r="82" spans="2:12" ht="13.8">
      <c r="B82" s="441" t="s">
        <v>577</v>
      </c>
      <c r="C82" s="453" t="s">
        <v>563</v>
      </c>
      <c r="D82" s="458">
        <v>193387</v>
      </c>
      <c r="E82" s="458">
        <v>160836</v>
      </c>
      <c r="F82" s="458">
        <v>151864</v>
      </c>
      <c r="G82" s="458">
        <v>151864</v>
      </c>
      <c r="H82" s="451"/>
      <c r="I82" s="451" t="s">
        <v>573</v>
      </c>
      <c r="J82" s="461" t="s">
        <v>576</v>
      </c>
    </row>
    <row r="83" spans="2:12" ht="13.8">
      <c r="B83" s="441" t="s">
        <v>575</v>
      </c>
      <c r="C83" s="453" t="s">
        <v>563</v>
      </c>
      <c r="D83" s="460">
        <v>105000</v>
      </c>
      <c r="E83" s="460">
        <v>41250</v>
      </c>
      <c r="F83" s="460">
        <v>20625</v>
      </c>
      <c r="G83" s="460">
        <v>20625</v>
      </c>
      <c r="H83" s="459"/>
      <c r="I83" s="459"/>
      <c r="J83" s="438"/>
    </row>
    <row r="84" spans="2:12" ht="13.8">
      <c r="B84" s="441" t="s">
        <v>574</v>
      </c>
      <c r="C84" s="453" t="s">
        <v>563</v>
      </c>
      <c r="D84" s="458">
        <v>1500</v>
      </c>
      <c r="E84" s="458">
        <v>750</v>
      </c>
      <c r="F84" s="458">
        <v>375</v>
      </c>
      <c r="G84" s="458">
        <v>375</v>
      </c>
      <c r="H84" s="451"/>
      <c r="I84" s="451" t="s">
        <v>573</v>
      </c>
      <c r="J84" s="438" t="s">
        <v>572</v>
      </c>
    </row>
    <row r="85" spans="2:12" ht="13.8">
      <c r="B85" s="441" t="s">
        <v>571</v>
      </c>
      <c r="C85" s="453" t="s">
        <v>563</v>
      </c>
      <c r="D85" s="452">
        <v>70</v>
      </c>
      <c r="E85" s="452">
        <v>55</v>
      </c>
      <c r="F85" s="452">
        <v>55</v>
      </c>
      <c r="G85" s="452">
        <v>55</v>
      </c>
      <c r="H85" s="451"/>
      <c r="I85" s="451" t="s">
        <v>559</v>
      </c>
      <c r="J85" s="438" t="s">
        <v>562</v>
      </c>
    </row>
    <row r="86" spans="2:12" ht="13.8">
      <c r="B86" s="441" t="s">
        <v>570</v>
      </c>
      <c r="C86" s="453" t="s">
        <v>563</v>
      </c>
      <c r="D86" s="457"/>
      <c r="E86" s="457"/>
      <c r="F86" s="457"/>
      <c r="G86" s="457"/>
      <c r="H86" s="451"/>
      <c r="I86" s="451"/>
      <c r="J86" s="438"/>
    </row>
    <row r="87" spans="2:12" ht="13.8">
      <c r="B87" s="441" t="s">
        <v>569</v>
      </c>
      <c r="C87" s="453" t="s">
        <v>563</v>
      </c>
      <c r="D87" s="452"/>
      <c r="E87" s="452"/>
      <c r="F87" s="452"/>
      <c r="G87" s="452"/>
      <c r="H87" s="451"/>
      <c r="I87" s="451"/>
      <c r="J87" s="438"/>
    </row>
    <row r="88" spans="2:12" ht="13.8">
      <c r="B88" s="441" t="s">
        <v>568</v>
      </c>
      <c r="C88" s="453" t="s">
        <v>563</v>
      </c>
      <c r="D88" s="457"/>
      <c r="E88" s="457"/>
      <c r="F88" s="457"/>
      <c r="G88" s="457"/>
      <c r="H88" s="451"/>
      <c r="I88" s="451"/>
      <c r="J88" s="438"/>
    </row>
    <row r="89" spans="2:12" ht="13.8">
      <c r="B89" s="441" t="s">
        <v>567</v>
      </c>
      <c r="C89" s="453" t="s">
        <v>563</v>
      </c>
      <c r="D89" s="456">
        <v>6300</v>
      </c>
      <c r="E89" s="456">
        <v>2250</v>
      </c>
      <c r="F89" s="456">
        <v>1250</v>
      </c>
      <c r="G89" s="456">
        <v>1250</v>
      </c>
      <c r="H89" s="451"/>
      <c r="I89" s="451"/>
      <c r="J89" s="438"/>
      <c r="L89" s="455"/>
    </row>
    <row r="90" spans="2:12" ht="13.8">
      <c r="B90" s="441" t="s">
        <v>566</v>
      </c>
      <c r="C90" s="453" t="s">
        <v>563</v>
      </c>
      <c r="D90" s="454">
        <v>4500</v>
      </c>
      <c r="E90" s="454">
        <v>2250</v>
      </c>
      <c r="F90" s="454">
        <v>1250</v>
      </c>
      <c r="G90" s="454">
        <v>1250</v>
      </c>
      <c r="H90" s="451"/>
      <c r="I90" s="451"/>
      <c r="J90" s="438" t="s">
        <v>565</v>
      </c>
    </row>
    <row r="91" spans="2:12" ht="13.8">
      <c r="B91" s="441" t="s">
        <v>564</v>
      </c>
      <c r="C91" s="453" t="s">
        <v>563</v>
      </c>
      <c r="D91" s="452">
        <v>1.4</v>
      </c>
      <c r="E91" s="452">
        <v>1</v>
      </c>
      <c r="F91" s="452">
        <v>1</v>
      </c>
      <c r="G91" s="452">
        <v>1</v>
      </c>
      <c r="H91" s="451"/>
      <c r="I91" s="451" t="s">
        <v>559</v>
      </c>
      <c r="J91" s="438" t="s">
        <v>562</v>
      </c>
    </row>
    <row r="92" spans="2:12" ht="13.8">
      <c r="B92" s="441"/>
      <c r="C92" s="453"/>
      <c r="D92" s="452"/>
      <c r="E92" s="452"/>
      <c r="F92" s="452"/>
      <c r="G92" s="452"/>
      <c r="H92" s="451"/>
      <c r="I92" s="451"/>
      <c r="J92" s="438"/>
    </row>
    <row r="93" spans="2:12" ht="13.8">
      <c r="B93" s="441" t="s">
        <v>561</v>
      </c>
      <c r="C93" s="453" t="s">
        <v>560</v>
      </c>
      <c r="D93" s="452">
        <v>0.74990000000000001</v>
      </c>
      <c r="E93" s="452">
        <v>0.53849999999999998</v>
      </c>
      <c r="F93" s="452">
        <v>0.53849999999999998</v>
      </c>
      <c r="G93" s="452">
        <v>0.53849999999999998</v>
      </c>
      <c r="H93" s="451"/>
      <c r="I93" s="451" t="s">
        <v>559</v>
      </c>
      <c r="J93" s="438" t="s">
        <v>558</v>
      </c>
    </row>
    <row r="94" spans="2:12" ht="13.8">
      <c r="B94" s="441"/>
      <c r="C94" s="453"/>
      <c r="D94" s="452"/>
      <c r="E94" s="452"/>
      <c r="F94" s="452"/>
      <c r="G94" s="452"/>
      <c r="H94" s="451"/>
      <c r="I94" s="451"/>
      <c r="J94" s="438"/>
    </row>
    <row r="95" spans="2:12" ht="13.8">
      <c r="B95" s="441"/>
      <c r="C95" s="453"/>
      <c r="D95" s="452"/>
      <c r="E95" s="452"/>
      <c r="F95" s="452"/>
      <c r="G95" s="452"/>
      <c r="H95" s="451"/>
      <c r="I95" s="451"/>
      <c r="J95" s="438"/>
    </row>
    <row r="96" spans="2:12" ht="14.4" thickBot="1">
      <c r="B96" s="437"/>
      <c r="C96" s="450"/>
      <c r="D96" s="449"/>
      <c r="E96" s="449"/>
      <c r="F96" s="449"/>
      <c r="G96" s="449"/>
      <c r="H96" s="448"/>
      <c r="I96" s="448"/>
      <c r="J96" s="435"/>
    </row>
    <row r="97" spans="2:10" ht="13.8">
      <c r="H97" s="447"/>
      <c r="I97" s="447"/>
    </row>
    <row r="98" spans="2:10" ht="16.2" thickBot="1">
      <c r="B98" s="446" t="s">
        <v>557</v>
      </c>
    </row>
    <row r="99" spans="2:10" ht="13.8">
      <c r="B99" s="445"/>
      <c r="C99" s="443"/>
      <c r="D99" s="444"/>
      <c r="E99" s="444"/>
      <c r="F99" s="444"/>
      <c r="G99" s="444"/>
      <c r="H99" s="443"/>
      <c r="I99" s="443"/>
      <c r="J99" s="442"/>
    </row>
    <row r="100" spans="2:10" ht="13.8">
      <c r="B100" s="441"/>
      <c r="C100" s="439"/>
      <c r="D100" s="439"/>
      <c r="E100" s="439"/>
      <c r="F100" s="439"/>
      <c r="G100" s="439"/>
      <c r="H100" s="439"/>
      <c r="I100" s="439"/>
      <c r="J100" s="438"/>
    </row>
    <row r="101" spans="2:10" ht="13.8">
      <c r="B101" s="441" t="s">
        <v>556</v>
      </c>
      <c r="C101" s="439" t="s">
        <v>550</v>
      </c>
      <c r="D101" s="440">
        <v>0</v>
      </c>
      <c r="E101" s="440">
        <v>0</v>
      </c>
      <c r="F101" s="440">
        <v>0</v>
      </c>
      <c r="G101" s="440"/>
      <c r="H101" s="439"/>
      <c r="I101" s="439"/>
      <c r="J101" s="438"/>
    </row>
    <row r="102" spans="2:10" ht="13.8">
      <c r="B102" s="441" t="s">
        <v>555</v>
      </c>
      <c r="C102" s="439" t="s">
        <v>550</v>
      </c>
      <c r="D102" s="440">
        <v>0</v>
      </c>
      <c r="E102" s="440">
        <v>0</v>
      </c>
      <c r="F102" s="440">
        <v>0</v>
      </c>
      <c r="G102" s="440"/>
      <c r="H102" s="439"/>
      <c r="I102" s="439"/>
      <c r="J102" s="438"/>
    </row>
    <row r="103" spans="2:10" ht="13.8">
      <c r="B103" s="441" t="s">
        <v>554</v>
      </c>
      <c r="C103" s="439" t="s">
        <v>550</v>
      </c>
      <c r="D103" s="440">
        <v>0</v>
      </c>
      <c r="E103" s="440">
        <v>0</v>
      </c>
      <c r="F103" s="440">
        <v>0</v>
      </c>
      <c r="G103" s="440"/>
      <c r="H103" s="439"/>
      <c r="I103" s="439"/>
      <c r="J103" s="438"/>
    </row>
    <row r="104" spans="2:10" ht="13.8">
      <c r="B104" s="441" t="s">
        <v>553</v>
      </c>
      <c r="C104" s="439" t="s">
        <v>550</v>
      </c>
      <c r="D104" s="440">
        <v>0</v>
      </c>
      <c r="E104" s="440">
        <v>0</v>
      </c>
      <c r="F104" s="440">
        <v>0</v>
      </c>
      <c r="G104" s="440"/>
      <c r="H104" s="439"/>
      <c r="I104" s="439"/>
      <c r="J104" s="438"/>
    </row>
    <row r="105" spans="2:10" ht="13.8">
      <c r="B105" s="441" t="s">
        <v>552</v>
      </c>
      <c r="C105" s="439" t="s">
        <v>550</v>
      </c>
      <c r="D105" s="440">
        <v>0</v>
      </c>
      <c r="E105" s="440">
        <v>0</v>
      </c>
      <c r="F105" s="440">
        <v>0</v>
      </c>
      <c r="G105" s="440"/>
      <c r="H105" s="439"/>
      <c r="I105" s="439"/>
      <c r="J105" s="438"/>
    </row>
    <row r="106" spans="2:10" ht="13.8">
      <c r="B106" s="441" t="s">
        <v>551</v>
      </c>
      <c r="C106" s="439" t="s">
        <v>550</v>
      </c>
      <c r="D106" s="440">
        <v>0</v>
      </c>
      <c r="E106" s="440">
        <v>0</v>
      </c>
      <c r="F106" s="440">
        <v>0</v>
      </c>
      <c r="G106" s="440"/>
      <c r="H106" s="439"/>
      <c r="I106" s="439"/>
      <c r="J106" s="438"/>
    </row>
    <row r="107" spans="2:10" ht="14.4" thickBot="1">
      <c r="B107" s="437"/>
      <c r="C107" s="436"/>
      <c r="D107" s="436"/>
      <c r="E107" s="436"/>
      <c r="F107" s="436"/>
      <c r="G107" s="436"/>
      <c r="H107" s="436"/>
      <c r="I107" s="436"/>
      <c r="J107" s="4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566" t="s">
        <v>664</v>
      </c>
      <c r="C3" s="565"/>
      <c r="D3" s="565"/>
      <c r="E3" s="565"/>
      <c r="F3" s="565"/>
      <c r="G3" s="565"/>
      <c r="H3" s="565"/>
      <c r="I3" s="565"/>
      <c r="J3" s="565"/>
      <c r="K3" s="565"/>
      <c r="L3" s="565"/>
    </row>
    <row r="4" spans="2:15">
      <c r="B4" s="563" t="s">
        <v>296</v>
      </c>
      <c r="C4" s="1317" t="s">
        <v>664</v>
      </c>
      <c r="D4" s="1318"/>
      <c r="E4" s="1318"/>
      <c r="F4" s="1318"/>
      <c r="G4" s="1318"/>
      <c r="H4" s="1318"/>
      <c r="I4" s="1318"/>
      <c r="J4" s="1318"/>
      <c r="K4" s="1318"/>
      <c r="L4" s="1319"/>
    </row>
    <row r="5" spans="2:15">
      <c r="B5" s="550"/>
      <c r="C5" s="552">
        <v>2015</v>
      </c>
      <c r="D5" s="552">
        <v>2020</v>
      </c>
      <c r="E5" s="564">
        <v>2030</v>
      </c>
      <c r="F5" s="552">
        <v>2050</v>
      </c>
      <c r="G5" s="1320" t="s">
        <v>290</v>
      </c>
      <c r="H5" s="1321"/>
      <c r="I5" s="1320" t="s">
        <v>289</v>
      </c>
      <c r="J5" s="1321"/>
      <c r="K5" s="563" t="s">
        <v>288</v>
      </c>
      <c r="L5" s="563" t="s">
        <v>287</v>
      </c>
    </row>
    <row r="6" spans="2:15">
      <c r="B6" s="550"/>
      <c r="C6" s="550"/>
      <c r="D6" s="550"/>
      <c r="E6" s="550"/>
      <c r="F6" s="550"/>
      <c r="G6" s="563" t="s">
        <v>284</v>
      </c>
      <c r="H6" s="563" t="s">
        <v>283</v>
      </c>
      <c r="I6" s="563" t="s">
        <v>284</v>
      </c>
      <c r="J6" s="551" t="s">
        <v>283</v>
      </c>
      <c r="K6" s="550"/>
      <c r="L6" s="550"/>
    </row>
    <row r="7" spans="2:15">
      <c r="B7" s="1322" t="s">
        <v>282</v>
      </c>
      <c r="C7" s="1323"/>
      <c r="D7" s="1323"/>
      <c r="E7" s="1323"/>
      <c r="F7" s="1323"/>
      <c r="G7" s="1323"/>
      <c r="H7" s="1323"/>
      <c r="I7" s="1323"/>
      <c r="J7" s="1323"/>
      <c r="K7" s="1323"/>
      <c r="L7" s="1324"/>
      <c r="N7" s="7" t="s">
        <v>663</v>
      </c>
    </row>
    <row r="8" spans="2:15">
      <c r="B8" s="553" t="s">
        <v>281</v>
      </c>
      <c r="C8" s="552">
        <v>100</v>
      </c>
      <c r="D8" s="552">
        <v>100</v>
      </c>
      <c r="E8" s="559">
        <v>200</v>
      </c>
      <c r="F8" s="552">
        <v>300</v>
      </c>
      <c r="G8" s="556">
        <v>0.5</v>
      </c>
      <c r="H8" s="556">
        <v>2</v>
      </c>
      <c r="I8" s="556">
        <v>0.5</v>
      </c>
      <c r="J8" s="555">
        <v>1.25</v>
      </c>
      <c r="K8" s="554" t="s">
        <v>280</v>
      </c>
      <c r="L8" s="554" t="s">
        <v>661</v>
      </c>
      <c r="N8" s="7">
        <v>130</v>
      </c>
      <c r="O8" s="7" t="s">
        <v>662</v>
      </c>
    </row>
    <row r="9" spans="2:15">
      <c r="B9" s="553" t="s">
        <v>278</v>
      </c>
      <c r="C9" s="552">
        <v>65</v>
      </c>
      <c r="D9" s="552">
        <v>65</v>
      </c>
      <c r="E9" s="559">
        <v>130</v>
      </c>
      <c r="F9" s="552">
        <v>195</v>
      </c>
      <c r="G9" s="556">
        <v>0.5</v>
      </c>
      <c r="H9" s="556">
        <v>2</v>
      </c>
      <c r="I9" s="556">
        <v>0.5</v>
      </c>
      <c r="J9" s="555">
        <v>1.25</v>
      </c>
      <c r="K9" s="554" t="s">
        <v>280</v>
      </c>
      <c r="L9" s="554" t="s">
        <v>661</v>
      </c>
    </row>
    <row r="10" spans="2:15">
      <c r="B10" s="1325" t="s">
        <v>275</v>
      </c>
      <c r="C10" s="1326"/>
      <c r="D10" s="1326"/>
      <c r="E10" s="1326"/>
      <c r="F10" s="1326"/>
      <c r="G10" s="1326"/>
      <c r="H10" s="1326"/>
      <c r="I10" s="1326"/>
      <c r="J10" s="1326"/>
      <c r="K10" s="1326"/>
      <c r="L10" s="1327"/>
      <c r="N10" s="50"/>
    </row>
    <row r="11" spans="2:15">
      <c r="B11" s="553" t="s">
        <v>660</v>
      </c>
      <c r="C11" s="557">
        <v>2.2000000000000002</v>
      </c>
      <c r="D11" s="557">
        <v>2.2000000000000002</v>
      </c>
      <c r="E11" s="561">
        <v>2</v>
      </c>
      <c r="F11" s="557">
        <v>1.8</v>
      </c>
      <c r="G11" s="556">
        <v>0.9</v>
      </c>
      <c r="H11" s="556">
        <v>1.5</v>
      </c>
      <c r="I11" s="556">
        <v>0.9</v>
      </c>
      <c r="J11" s="555">
        <v>1.2</v>
      </c>
      <c r="K11" s="550"/>
      <c r="L11" s="552">
        <v>1</v>
      </c>
      <c r="N11" s="50" t="s">
        <v>659</v>
      </c>
    </row>
    <row r="12" spans="2:15">
      <c r="B12" s="553" t="s">
        <v>658</v>
      </c>
      <c r="C12" s="557">
        <v>0.27</v>
      </c>
      <c r="D12" s="557">
        <v>0.27</v>
      </c>
      <c r="E12" s="558">
        <v>0.24</v>
      </c>
      <c r="F12" s="557">
        <v>0.22</v>
      </c>
      <c r="G12" s="556">
        <v>0</v>
      </c>
      <c r="H12" s="556">
        <v>1</v>
      </c>
      <c r="I12" s="556">
        <v>0</v>
      </c>
      <c r="J12" s="555">
        <v>1</v>
      </c>
      <c r="K12" s="554" t="s">
        <v>272</v>
      </c>
      <c r="L12" s="552">
        <v>1</v>
      </c>
      <c r="N12" s="7">
        <v>22.7</v>
      </c>
      <c r="O12" s="7" t="s">
        <v>426</v>
      </c>
    </row>
    <row r="13" spans="2:15">
      <c r="B13" s="1325" t="s">
        <v>271</v>
      </c>
      <c r="C13" s="1326"/>
      <c r="D13" s="1326"/>
      <c r="E13" s="1326"/>
      <c r="F13" s="1326"/>
      <c r="G13" s="1326"/>
      <c r="H13" s="1326"/>
      <c r="I13" s="1326"/>
      <c r="J13" s="1326"/>
      <c r="K13" s="1326"/>
      <c r="L13" s="1327"/>
      <c r="N13" s="7">
        <v>18</v>
      </c>
      <c r="O13" s="7" t="s">
        <v>657</v>
      </c>
    </row>
    <row r="14" spans="2:15">
      <c r="B14" s="553" t="s">
        <v>656</v>
      </c>
      <c r="C14" s="557">
        <v>0.75</v>
      </c>
      <c r="D14" s="557">
        <v>0.75</v>
      </c>
      <c r="E14" s="558">
        <v>0.75</v>
      </c>
      <c r="F14" s="557">
        <v>0.75</v>
      </c>
      <c r="G14" s="556">
        <v>1</v>
      </c>
      <c r="H14" s="556">
        <v>1.33</v>
      </c>
      <c r="I14" s="556">
        <v>1</v>
      </c>
      <c r="J14" s="555">
        <v>1.33</v>
      </c>
      <c r="K14" s="554" t="s">
        <v>269</v>
      </c>
      <c r="L14" s="552">
        <v>1</v>
      </c>
    </row>
    <row r="15" spans="2:15">
      <c r="B15" s="553" t="s">
        <v>655</v>
      </c>
      <c r="C15" s="557">
        <v>0.25</v>
      </c>
      <c r="D15" s="557">
        <v>0.25</v>
      </c>
      <c r="E15" s="558">
        <v>0.25</v>
      </c>
      <c r="F15" s="557">
        <v>0.25</v>
      </c>
      <c r="G15" s="556">
        <v>0</v>
      </c>
      <c r="H15" s="556">
        <v>1</v>
      </c>
      <c r="I15" s="556">
        <v>0</v>
      </c>
      <c r="J15" s="555">
        <v>1</v>
      </c>
      <c r="K15" s="554" t="s">
        <v>269</v>
      </c>
      <c r="L15" s="552">
        <v>1</v>
      </c>
    </row>
    <row r="16" spans="2:15">
      <c r="B16" s="550"/>
      <c r="C16" s="550"/>
      <c r="D16" s="550"/>
      <c r="E16" s="550"/>
      <c r="F16" s="550"/>
      <c r="G16" s="550"/>
      <c r="H16" s="550"/>
      <c r="I16" s="550"/>
      <c r="J16" s="550"/>
      <c r="K16" s="550"/>
      <c r="L16" s="550"/>
    </row>
    <row r="17" spans="2:14">
      <c r="B17" s="553" t="s">
        <v>59</v>
      </c>
      <c r="C17" s="552">
        <v>0</v>
      </c>
      <c r="D17" s="552">
        <v>0</v>
      </c>
      <c r="E17" s="552">
        <v>0</v>
      </c>
      <c r="F17" s="552">
        <v>0</v>
      </c>
      <c r="G17" s="550"/>
      <c r="H17" s="550"/>
      <c r="I17" s="550"/>
      <c r="J17" s="550"/>
      <c r="K17" s="550"/>
      <c r="L17" s="550"/>
    </row>
    <row r="18" spans="2:14">
      <c r="B18" s="553" t="s">
        <v>92</v>
      </c>
      <c r="C18" s="1328">
        <v>2</v>
      </c>
      <c r="D18" s="1329"/>
      <c r="E18" s="1329"/>
      <c r="F18" s="1330"/>
      <c r="G18" s="550"/>
      <c r="H18" s="550"/>
      <c r="I18" s="550"/>
      <c r="J18" s="550"/>
      <c r="K18" s="550"/>
      <c r="L18" s="550"/>
    </row>
    <row r="19" spans="2:14">
      <c r="B19" s="553" t="s">
        <v>58</v>
      </c>
      <c r="C19" s="1328">
        <v>25</v>
      </c>
      <c r="D19" s="1329"/>
      <c r="E19" s="1329"/>
      <c r="F19" s="1330"/>
      <c r="G19" s="550"/>
      <c r="H19" s="550"/>
      <c r="I19" s="550"/>
      <c r="J19" s="550"/>
      <c r="K19" s="550"/>
      <c r="L19" s="550"/>
    </row>
    <row r="20" spans="2:14">
      <c r="B20" s="553" t="s">
        <v>60</v>
      </c>
      <c r="C20" s="1331" t="s">
        <v>654</v>
      </c>
      <c r="D20" s="1332"/>
      <c r="E20" s="1332"/>
      <c r="F20" s="1333"/>
      <c r="G20" s="550"/>
      <c r="H20" s="550"/>
      <c r="I20" s="550"/>
      <c r="J20" s="550"/>
      <c r="K20" s="550"/>
      <c r="L20" s="550"/>
      <c r="N20" s="7" t="s">
        <v>653</v>
      </c>
    </row>
    <row r="21" spans="2:14">
      <c r="B21" s="1322" t="s">
        <v>652</v>
      </c>
      <c r="C21" s="1323"/>
      <c r="D21" s="1323"/>
      <c r="E21" s="1323"/>
      <c r="F21" s="1323"/>
      <c r="G21" s="1323"/>
      <c r="H21" s="1323"/>
      <c r="I21" s="1323"/>
      <c r="J21" s="1323"/>
      <c r="K21" s="1323"/>
      <c r="L21" s="1324"/>
      <c r="N21" s="7">
        <v>7.45</v>
      </c>
    </row>
    <row r="22" spans="2:14" ht="20.399999999999999">
      <c r="B22" s="553" t="s">
        <v>651</v>
      </c>
      <c r="C22" s="562">
        <v>2.7</v>
      </c>
      <c r="D22" s="562">
        <v>2.7</v>
      </c>
      <c r="E22" s="561">
        <v>1.5</v>
      </c>
      <c r="F22" s="557">
        <v>0.75</v>
      </c>
      <c r="G22" s="556">
        <v>0.5</v>
      </c>
      <c r="H22" s="556">
        <v>1</v>
      </c>
      <c r="I22" s="556">
        <v>0.8</v>
      </c>
      <c r="J22" s="555">
        <v>1.2</v>
      </c>
      <c r="K22" s="550"/>
      <c r="L22" s="560" t="s">
        <v>649</v>
      </c>
    </row>
    <row r="23" spans="2:14" ht="20.399999999999999">
      <c r="B23" s="553" t="s">
        <v>650</v>
      </c>
      <c r="C23" s="562">
        <f>C22*$N$8/C9</f>
        <v>5.4</v>
      </c>
      <c r="D23" s="562">
        <f>D22*$N$8/D9</f>
        <v>5.4</v>
      </c>
      <c r="E23" s="561">
        <f>E22*$N$8/E9*E9/D9</f>
        <v>3</v>
      </c>
      <c r="F23" s="561">
        <f>F22*$N$8/F9*F9/D9</f>
        <v>1.5</v>
      </c>
      <c r="G23" s="556">
        <v>0.5</v>
      </c>
      <c r="H23" s="556">
        <v>1</v>
      </c>
      <c r="I23" s="556">
        <v>0.8</v>
      </c>
      <c r="J23" s="555">
        <v>1.2</v>
      </c>
      <c r="K23" s="550"/>
      <c r="L23" s="560" t="s">
        <v>649</v>
      </c>
    </row>
    <row r="24" spans="2:14">
      <c r="B24" s="553" t="s">
        <v>252</v>
      </c>
      <c r="C24" s="552">
        <v>75</v>
      </c>
      <c r="D24" s="552">
        <v>75</v>
      </c>
      <c r="E24" s="559">
        <v>75</v>
      </c>
      <c r="F24" s="552">
        <v>75</v>
      </c>
      <c r="G24" s="550"/>
      <c r="H24" s="550"/>
      <c r="I24" s="550"/>
      <c r="J24" s="550"/>
      <c r="K24" s="550"/>
      <c r="L24" s="550"/>
    </row>
    <row r="25" spans="2:14">
      <c r="B25" s="553" t="s">
        <v>648</v>
      </c>
      <c r="C25" s="552">
        <v>25</v>
      </c>
      <c r="D25" s="552">
        <v>25</v>
      </c>
      <c r="E25" s="559">
        <v>25</v>
      </c>
      <c r="F25" s="552">
        <v>25</v>
      </c>
      <c r="G25" s="550"/>
      <c r="H25" s="550"/>
      <c r="I25" s="550"/>
      <c r="J25" s="550"/>
      <c r="K25" s="550"/>
      <c r="L25" s="550"/>
    </row>
    <row r="26" spans="2:14">
      <c r="B26" s="553" t="s">
        <v>647</v>
      </c>
      <c r="C26" s="557">
        <v>0.03</v>
      </c>
      <c r="D26" s="557">
        <v>0.03</v>
      </c>
      <c r="E26" s="558">
        <v>0.02</v>
      </c>
      <c r="F26" s="557">
        <v>0.02</v>
      </c>
      <c r="G26" s="556">
        <v>0.9</v>
      </c>
      <c r="H26" s="556">
        <v>1.1000000000000001</v>
      </c>
      <c r="I26" s="556">
        <v>0.9</v>
      </c>
      <c r="J26" s="555">
        <v>1.1000000000000001</v>
      </c>
      <c r="K26" s="554" t="s">
        <v>266</v>
      </c>
      <c r="L26" s="552">
        <v>1</v>
      </c>
    </row>
    <row r="27" spans="2:14">
      <c r="B27" s="553" t="s">
        <v>646</v>
      </c>
      <c r="C27" s="557">
        <f>C26*$N$8/C9</f>
        <v>0.06</v>
      </c>
      <c r="D27" s="557">
        <f>D26*$N$8/D9</f>
        <v>0.06</v>
      </c>
      <c r="E27" s="557">
        <f>E26*$N$8/E9*E9/D9</f>
        <v>0.04</v>
      </c>
      <c r="F27" s="557">
        <f>F26*$N$8/F9*F9/D9</f>
        <v>0.04</v>
      </c>
      <c r="G27" s="556">
        <v>0.9</v>
      </c>
      <c r="H27" s="556">
        <v>1.1000000000000001</v>
      </c>
      <c r="I27" s="556">
        <v>0.9</v>
      </c>
      <c r="J27" s="555">
        <v>1.1000000000000001</v>
      </c>
      <c r="K27" s="554" t="s">
        <v>266</v>
      </c>
      <c r="L27" s="552">
        <v>1</v>
      </c>
    </row>
    <row r="28" spans="2:14">
      <c r="B28" s="553" t="s">
        <v>645</v>
      </c>
      <c r="C28" s="557">
        <v>0.09</v>
      </c>
      <c r="D28" s="557">
        <v>0.09</v>
      </c>
      <c r="E28" s="558">
        <v>0.06</v>
      </c>
      <c r="F28" s="557">
        <v>0.06</v>
      </c>
      <c r="G28" s="556">
        <v>0.9</v>
      </c>
      <c r="H28" s="556">
        <v>1.1000000000000001</v>
      </c>
      <c r="I28" s="556">
        <v>0.9</v>
      </c>
      <c r="J28" s="555">
        <v>1.1000000000000001</v>
      </c>
      <c r="K28" s="554" t="s">
        <v>266</v>
      </c>
      <c r="L28" s="552">
        <v>1</v>
      </c>
    </row>
    <row r="29" spans="2:14">
      <c r="B29" s="553" t="s">
        <v>644</v>
      </c>
      <c r="C29" s="557">
        <f>C28/$N$13*1000</f>
        <v>5</v>
      </c>
      <c r="D29" s="557">
        <f>D28/$N$13*1000</f>
        <v>5</v>
      </c>
      <c r="E29" s="557">
        <f>E28/$N$13*1000</f>
        <v>3.333333333333333</v>
      </c>
      <c r="F29" s="557">
        <f>F28/$N$13*1000</f>
        <v>3.333333333333333</v>
      </c>
      <c r="G29" s="556">
        <v>0.9</v>
      </c>
      <c r="H29" s="556">
        <v>1.1000000000000001</v>
      </c>
      <c r="I29" s="556">
        <v>0.9</v>
      </c>
      <c r="J29" s="555">
        <v>1.1000000000000001</v>
      </c>
      <c r="K29" s="554" t="s">
        <v>266</v>
      </c>
      <c r="L29" s="552">
        <v>1</v>
      </c>
    </row>
    <row r="30" spans="2:14">
      <c r="B30" s="553" t="s">
        <v>643</v>
      </c>
      <c r="C30" s="552">
        <v>0</v>
      </c>
      <c r="D30" s="552">
        <v>0</v>
      </c>
      <c r="E30" s="552">
        <v>0</v>
      </c>
      <c r="F30" s="552">
        <v>0</v>
      </c>
      <c r="G30" s="550"/>
      <c r="H30" s="550"/>
      <c r="I30" s="550"/>
      <c r="J30" s="550"/>
      <c r="K30" s="550"/>
      <c r="L30" s="550"/>
    </row>
    <row r="31" spans="2:14">
      <c r="B31" s="551" t="s">
        <v>642</v>
      </c>
      <c r="C31" s="550"/>
      <c r="D31" s="550"/>
      <c r="E31" s="550"/>
      <c r="F31" s="550"/>
      <c r="G31" s="550"/>
      <c r="H31" s="550"/>
      <c r="I31" s="550"/>
      <c r="J31" s="550"/>
      <c r="K31" s="550"/>
      <c r="L31" s="550"/>
    </row>
    <row r="32" spans="2:14">
      <c r="B32" s="550"/>
      <c r="C32" s="550"/>
      <c r="D32" s="550"/>
      <c r="E32" s="550"/>
      <c r="F32" s="550"/>
      <c r="G32" s="550"/>
      <c r="H32" s="550"/>
      <c r="I32" s="550"/>
      <c r="J32" s="550"/>
      <c r="K32" s="550"/>
      <c r="L32" s="550"/>
    </row>
  </sheetData>
  <mergeCells count="10">
    <mergeCell ref="B13:L13"/>
    <mergeCell ref="C18:F18"/>
    <mergeCell ref="C19:F19"/>
    <mergeCell ref="C20:F20"/>
    <mergeCell ref="B21:L21"/>
    <mergeCell ref="C4:L4"/>
    <mergeCell ref="G5:H5"/>
    <mergeCell ref="I5:J5"/>
    <mergeCell ref="B7:L7"/>
    <mergeCell ref="B10:L10"/>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G30" sqref="G30"/>
    </sheetView>
  </sheetViews>
  <sheetFormatPr defaultColWidth="9.109375" defaultRowHeight="13.2"/>
  <cols>
    <col min="1" max="1" width="4.44140625" style="69" customWidth="1"/>
    <col min="2" max="2" width="1" style="69" customWidth="1"/>
    <col min="3" max="5" width="0" style="69" hidden="1" customWidth="1"/>
    <col min="6" max="6" width="43.44140625" style="69" customWidth="1"/>
    <col min="7" max="7" width="9" style="69" customWidth="1"/>
    <col min="8" max="8" width="9.109375" style="69" customWidth="1"/>
    <col min="9" max="9" width="8.33203125" style="69" customWidth="1"/>
    <col min="10" max="13" width="8.44140625" style="69" customWidth="1"/>
    <col min="14" max="14" width="8.109375" style="69" customWidth="1"/>
    <col min="15" max="15" width="6.44140625" style="69" customWidth="1"/>
    <col min="16" max="16" width="9.88671875" style="69" customWidth="1"/>
    <col min="17" max="17" width="9.109375" style="69"/>
    <col min="18" max="18" width="30.88671875" style="69" bestFit="1" customWidth="1"/>
    <col min="19" max="16384" width="9.109375" style="69"/>
  </cols>
  <sheetData>
    <row r="1" spans="1:22" ht="21">
      <c r="A1" s="567"/>
      <c r="F1" s="650" t="s">
        <v>749</v>
      </c>
      <c r="G1" s="1334" t="s">
        <v>747</v>
      </c>
      <c r="H1" s="1335"/>
      <c r="I1" s="1335"/>
      <c r="J1" s="1335"/>
      <c r="K1" s="1335"/>
      <c r="L1" s="1335"/>
      <c r="M1" s="1335"/>
      <c r="N1" s="1335"/>
      <c r="O1" s="1335"/>
      <c r="P1" s="649"/>
    </row>
    <row r="2" spans="1:22">
      <c r="A2" s="567"/>
      <c r="R2" s="69" t="s">
        <v>748</v>
      </c>
    </row>
    <row r="3" spans="1:22">
      <c r="A3" s="567"/>
      <c r="F3" s="618" t="s">
        <v>296</v>
      </c>
      <c r="G3" s="1336" t="s">
        <v>747</v>
      </c>
      <c r="H3" s="1337"/>
      <c r="I3" s="1337"/>
      <c r="J3" s="1337"/>
      <c r="K3" s="1337"/>
      <c r="L3" s="1337"/>
      <c r="M3" s="1337"/>
      <c r="N3" s="1337"/>
      <c r="O3" s="1337"/>
      <c r="P3" s="1338"/>
      <c r="R3" s="303"/>
      <c r="S3" s="142" t="s">
        <v>746</v>
      </c>
      <c r="T3" s="302" t="s">
        <v>745</v>
      </c>
    </row>
    <row r="4" spans="1:22">
      <c r="A4" s="567"/>
      <c r="F4" s="609"/>
      <c r="G4" s="648">
        <v>2015</v>
      </c>
      <c r="H4" s="648">
        <v>2020</v>
      </c>
      <c r="I4" s="648">
        <v>2030</v>
      </c>
      <c r="J4" s="648">
        <v>2050</v>
      </c>
      <c r="K4" s="1336" t="s">
        <v>290</v>
      </c>
      <c r="L4" s="1339"/>
      <c r="M4" s="1336" t="s">
        <v>289</v>
      </c>
      <c r="N4" s="1339"/>
      <c r="O4" s="648" t="s">
        <v>288</v>
      </c>
      <c r="P4" s="648" t="s">
        <v>287</v>
      </c>
      <c r="R4" s="315" t="s">
        <v>744</v>
      </c>
      <c r="S4" s="69" t="s">
        <v>743</v>
      </c>
      <c r="T4" s="314">
        <v>0.47</v>
      </c>
    </row>
    <row r="5" spans="1:22">
      <c r="A5" s="567"/>
      <c r="F5" s="647" t="s">
        <v>282</v>
      </c>
      <c r="G5" s="594"/>
      <c r="H5" s="594"/>
      <c r="I5" s="594"/>
      <c r="J5" s="594"/>
      <c r="K5" s="594" t="s">
        <v>284</v>
      </c>
      <c r="L5" s="594" t="s">
        <v>283</v>
      </c>
      <c r="M5" s="594" t="s">
        <v>284</v>
      </c>
      <c r="N5" s="594" t="s">
        <v>283</v>
      </c>
      <c r="O5" s="594"/>
      <c r="P5" s="646"/>
      <c r="R5" s="315" t="s">
        <v>742</v>
      </c>
      <c r="S5" s="69" t="s">
        <v>725</v>
      </c>
      <c r="T5" s="314">
        <v>6</v>
      </c>
    </row>
    <row r="6" spans="1:22">
      <c r="A6" s="567"/>
      <c r="F6" s="645" t="s">
        <v>741</v>
      </c>
      <c r="K6" s="644"/>
      <c r="L6" s="644"/>
      <c r="M6" s="644"/>
      <c r="N6" s="644"/>
      <c r="R6" s="315" t="s">
        <v>740</v>
      </c>
      <c r="S6" s="69" t="s">
        <v>725</v>
      </c>
      <c r="T6" s="314">
        <v>1.21</v>
      </c>
    </row>
    <row r="7" spans="1:22">
      <c r="A7" s="567"/>
      <c r="F7" s="613" t="s">
        <v>739</v>
      </c>
      <c r="G7" s="638">
        <v>9.2417432910061201</v>
      </c>
      <c r="H7" s="638">
        <v>8.6829269484640879</v>
      </c>
      <c r="I7" s="638">
        <v>8.6829269484640879</v>
      </c>
      <c r="J7" s="638">
        <v>8.6829269484640879</v>
      </c>
      <c r="K7" s="638">
        <v>8.3175689619055078</v>
      </c>
      <c r="L7" s="638">
        <v>9.5512196433104979</v>
      </c>
      <c r="M7" s="638">
        <v>8.3175689619055078</v>
      </c>
      <c r="N7" s="638">
        <v>9.5512196433104979</v>
      </c>
      <c r="O7" s="588" t="s">
        <v>694</v>
      </c>
      <c r="P7" s="624"/>
      <c r="R7" s="315" t="s">
        <v>671</v>
      </c>
      <c r="S7" s="69" t="s">
        <v>725</v>
      </c>
      <c r="T7" s="314">
        <v>2.83</v>
      </c>
    </row>
    <row r="8" spans="1:22">
      <c r="A8" s="567"/>
      <c r="F8" s="245"/>
      <c r="G8" s="245"/>
      <c r="H8" s="245"/>
      <c r="I8" s="643"/>
      <c r="J8" s="588"/>
      <c r="K8" s="588"/>
      <c r="L8" s="588"/>
      <c r="M8" s="588"/>
      <c r="N8" s="588"/>
      <c r="O8" s="588"/>
      <c r="P8" s="588"/>
      <c r="R8" s="315" t="s">
        <v>738</v>
      </c>
      <c r="S8" s="69" t="s">
        <v>725</v>
      </c>
      <c r="T8" s="314">
        <v>74.8</v>
      </c>
    </row>
    <row r="9" spans="1:22">
      <c r="A9" s="567"/>
      <c r="F9" s="642" t="s">
        <v>737</v>
      </c>
      <c r="G9" s="588"/>
      <c r="H9" s="588"/>
      <c r="I9" s="588"/>
      <c r="J9" s="588"/>
      <c r="K9" s="588"/>
      <c r="L9" s="588"/>
      <c r="M9" s="588"/>
      <c r="N9" s="588"/>
      <c r="O9" s="588"/>
      <c r="P9" s="588"/>
      <c r="R9" s="315" t="s">
        <v>736</v>
      </c>
      <c r="S9" s="69" t="s">
        <v>725</v>
      </c>
      <c r="T9" s="314">
        <v>60.7</v>
      </c>
    </row>
    <row r="10" spans="1:22">
      <c r="A10" s="567"/>
      <c r="F10" s="615" t="s">
        <v>735</v>
      </c>
      <c r="G10" s="641">
        <v>365000</v>
      </c>
      <c r="H10" s="641">
        <v>365000</v>
      </c>
      <c r="I10" s="641">
        <v>365000</v>
      </c>
      <c r="J10" s="641">
        <v>365000</v>
      </c>
      <c r="K10" s="641">
        <v>365000</v>
      </c>
      <c r="L10" s="641">
        <v>365000</v>
      </c>
      <c r="M10" s="641">
        <v>365000</v>
      </c>
      <c r="N10" s="641">
        <v>365000</v>
      </c>
      <c r="O10" s="588" t="s">
        <v>734</v>
      </c>
      <c r="P10" s="624" t="s">
        <v>727</v>
      </c>
      <c r="R10" s="315" t="s">
        <v>272</v>
      </c>
      <c r="S10" s="69" t="s">
        <v>725</v>
      </c>
      <c r="T10" s="314">
        <v>34.5</v>
      </c>
    </row>
    <row r="11" spans="1:22">
      <c r="A11" s="567"/>
      <c r="F11" s="631" t="s">
        <v>733</v>
      </c>
      <c r="G11" s="638">
        <v>3.6969498399920031</v>
      </c>
      <c r="H11" s="638">
        <v>3.8195864970641451</v>
      </c>
      <c r="I11" s="638">
        <v>3.8195864970641451</v>
      </c>
      <c r="J11" s="638">
        <v>3.8195864970641451</v>
      </c>
      <c r="K11" s="638">
        <v>1.9194756290809074</v>
      </c>
      <c r="L11" s="638">
        <v>6.7181647017831763</v>
      </c>
      <c r="M11" s="638">
        <v>1.9194756290809074</v>
      </c>
      <c r="N11" s="638">
        <v>6.7181647017831763</v>
      </c>
      <c r="O11" s="622" t="s">
        <v>694</v>
      </c>
      <c r="P11" s="624" t="s">
        <v>727</v>
      </c>
      <c r="R11" s="315" t="s">
        <v>732</v>
      </c>
      <c r="S11" s="69" t="s">
        <v>729</v>
      </c>
      <c r="T11" s="314">
        <v>31</v>
      </c>
    </row>
    <row r="12" spans="1:22">
      <c r="A12" s="567"/>
      <c r="F12" s="640" t="s">
        <v>731</v>
      </c>
      <c r="G12" s="638">
        <v>8.1999027314237374</v>
      </c>
      <c r="H12" s="638">
        <v>7.9596457265634744</v>
      </c>
      <c r="I12" s="638">
        <v>7.9596457265634744</v>
      </c>
      <c r="J12" s="638">
        <v>7.9596457265634744</v>
      </c>
      <c r="K12" s="638">
        <f>K11*G12/G11</f>
        <v>4.257432244153974</v>
      </c>
      <c r="L12" s="638">
        <f>L11*H12/H11</f>
        <v>14</v>
      </c>
      <c r="M12" s="638">
        <f>M11*I12/I11</f>
        <v>4</v>
      </c>
      <c r="N12" s="638">
        <f>N11*J12/J11</f>
        <v>14</v>
      </c>
      <c r="O12" s="622"/>
      <c r="P12" s="624"/>
      <c r="R12" s="315" t="s">
        <v>730</v>
      </c>
      <c r="S12" s="69" t="s">
        <v>729</v>
      </c>
      <c r="T12" s="314">
        <v>90.8</v>
      </c>
    </row>
    <row r="13" spans="1:22">
      <c r="A13" s="567"/>
      <c r="F13" s="245" t="s">
        <v>728</v>
      </c>
      <c r="G13" s="638">
        <v>8.3858637444973674</v>
      </c>
      <c r="H13" s="638">
        <v>8.9255616752262199</v>
      </c>
      <c r="I13" s="638">
        <v>8.9255616752262199</v>
      </c>
      <c r="J13" s="638">
        <v>8.9255616752262199</v>
      </c>
      <c r="K13" s="638">
        <v>7.1980336090534029</v>
      </c>
      <c r="L13" s="638">
        <v>11.996722681755671</v>
      </c>
      <c r="M13" s="638">
        <v>7.1980336090534029</v>
      </c>
      <c r="N13" s="638">
        <v>11.996722681755671</v>
      </c>
      <c r="O13" s="597" t="s">
        <v>694</v>
      </c>
      <c r="P13" s="624" t="s">
        <v>727</v>
      </c>
      <c r="R13" s="315" t="s">
        <v>726</v>
      </c>
      <c r="S13" s="69" t="s">
        <v>725</v>
      </c>
      <c r="T13" s="314">
        <v>4.2</v>
      </c>
    </row>
    <row r="14" spans="1:22" ht="14.4">
      <c r="A14" s="567"/>
      <c r="F14" s="639" t="s">
        <v>724</v>
      </c>
      <c r="G14" s="638">
        <v>18.600000000000001</v>
      </c>
      <c r="H14" s="638">
        <v>18.600000000000001</v>
      </c>
      <c r="I14" s="638">
        <v>18.600000000000001</v>
      </c>
      <c r="J14" s="638">
        <v>18.600000000000001</v>
      </c>
      <c r="K14" s="638">
        <f>K13*G14/G13</f>
        <v>15.965370915577404</v>
      </c>
      <c r="L14" s="638">
        <f>L13*H14/H13</f>
        <v>25</v>
      </c>
      <c r="M14" s="638">
        <f>M13*I14/I13</f>
        <v>15</v>
      </c>
      <c r="N14" s="638">
        <f>N13*J14/J13</f>
        <v>25</v>
      </c>
      <c r="O14" s="597"/>
      <c r="P14" s="245"/>
      <c r="R14" s="317" t="s">
        <v>723</v>
      </c>
      <c r="S14" s="70" t="s">
        <v>580</v>
      </c>
      <c r="T14" s="637">
        <f>(1002-66)/1002</f>
        <v>0.93413173652694614</v>
      </c>
    </row>
    <row r="15" spans="1:22" ht="14.4">
      <c r="A15" s="567"/>
      <c r="F15" s="615"/>
      <c r="G15" s="636"/>
      <c r="H15" s="636"/>
      <c r="I15" s="636"/>
      <c r="J15" s="636"/>
      <c r="K15" s="635"/>
      <c r="L15" s="635"/>
      <c r="M15" s="622"/>
      <c r="N15" s="622"/>
      <c r="O15" s="622"/>
      <c r="P15" s="622"/>
      <c r="R15" s="634" t="s">
        <v>722</v>
      </c>
      <c r="T15" s="630"/>
    </row>
    <row r="16" spans="1:22" ht="14.4">
      <c r="A16" s="567"/>
      <c r="F16" s="633" t="s">
        <v>721</v>
      </c>
      <c r="G16" s="632"/>
      <c r="H16" s="632"/>
      <c r="I16" s="631"/>
      <c r="J16" s="631"/>
      <c r="K16" s="622"/>
      <c r="L16" s="622"/>
      <c r="M16" s="622"/>
      <c r="N16" s="622"/>
      <c r="O16" s="622"/>
      <c r="P16" s="623"/>
      <c r="T16" s="630"/>
      <c r="V16" s="629"/>
    </row>
    <row r="17" spans="1:19">
      <c r="A17" s="567"/>
      <c r="F17" s="628" t="s">
        <v>720</v>
      </c>
      <c r="G17" s="608">
        <v>100</v>
      </c>
      <c r="H17" s="608">
        <v>100</v>
      </c>
      <c r="I17" s="608">
        <v>100</v>
      </c>
      <c r="J17" s="608">
        <v>100</v>
      </c>
      <c r="K17" s="608">
        <v>95.792225493464429</v>
      </c>
      <c r="L17" s="608">
        <v>110.00000000000001</v>
      </c>
      <c r="M17" s="627">
        <v>95.792225493464429</v>
      </c>
      <c r="N17" s="627">
        <v>110.00000000000001</v>
      </c>
      <c r="O17" s="622" t="s">
        <v>255</v>
      </c>
      <c r="P17" s="626"/>
      <c r="R17" s="69" t="s">
        <v>719</v>
      </c>
      <c r="S17" s="69" t="s">
        <v>718</v>
      </c>
    </row>
    <row r="18" spans="1:19">
      <c r="A18" s="567"/>
      <c r="F18" s="615" t="s">
        <v>717</v>
      </c>
      <c r="G18" s="625">
        <v>0.79848662034292872</v>
      </c>
      <c r="H18" s="625">
        <v>0.75020488834729715</v>
      </c>
      <c r="I18" s="625">
        <v>0.75020488834729715</v>
      </c>
      <c r="J18" s="625">
        <v>0.75020488834729715</v>
      </c>
      <c r="K18" s="625">
        <v>0.71863795830863586</v>
      </c>
      <c r="L18" s="625">
        <v>0.82522537718202693</v>
      </c>
      <c r="M18" s="625">
        <v>0.71863795830863586</v>
      </c>
      <c r="N18" s="625">
        <v>0.82522537718202693</v>
      </c>
      <c r="O18" s="622" t="s">
        <v>389</v>
      </c>
      <c r="P18" s="624" t="s">
        <v>716</v>
      </c>
      <c r="R18" s="245" t="s">
        <v>715</v>
      </c>
      <c r="S18" s="245">
        <v>12.93</v>
      </c>
    </row>
    <row r="19" spans="1:19">
      <c r="A19" s="567"/>
      <c r="F19" s="615" t="s">
        <v>714</v>
      </c>
      <c r="G19" s="245"/>
      <c r="H19" s="245"/>
      <c r="I19" s="245"/>
      <c r="J19" s="245"/>
      <c r="K19" s="245"/>
      <c r="L19" s="245"/>
      <c r="M19" s="245"/>
      <c r="N19" s="245"/>
      <c r="O19" s="622" t="s">
        <v>673</v>
      </c>
      <c r="P19" s="623"/>
    </row>
    <row r="20" spans="1:19">
      <c r="A20" s="567"/>
      <c r="F20" s="615"/>
      <c r="G20" s="245"/>
      <c r="H20" s="245"/>
      <c r="I20" s="245"/>
      <c r="J20" s="245"/>
      <c r="K20" s="245"/>
      <c r="L20" s="245"/>
      <c r="M20" s="245"/>
      <c r="N20" s="245"/>
      <c r="O20" s="622"/>
      <c r="P20" s="623"/>
      <c r="R20" s="245" t="s">
        <v>713</v>
      </c>
      <c r="S20" s="245">
        <f>S18*(1-T14)</f>
        <v>0.85167664670658638</v>
      </c>
    </row>
    <row r="21" spans="1:19">
      <c r="A21" s="567"/>
      <c r="F21" s="615" t="s">
        <v>59</v>
      </c>
      <c r="G21" s="622">
        <v>0</v>
      </c>
      <c r="H21" s="622">
        <v>0</v>
      </c>
      <c r="I21" s="621">
        <v>0</v>
      </c>
      <c r="J21" s="620">
        <v>0</v>
      </c>
      <c r="K21" s="622"/>
      <c r="L21" s="622"/>
      <c r="M21" s="622"/>
      <c r="N21" s="622"/>
      <c r="O21" s="622"/>
      <c r="P21" s="623"/>
    </row>
    <row r="22" spans="1:19">
      <c r="A22" s="567"/>
      <c r="F22" s="615" t="s">
        <v>712</v>
      </c>
      <c r="G22" s="622">
        <v>10</v>
      </c>
      <c r="H22" s="622">
        <v>10</v>
      </c>
      <c r="I22" s="621">
        <v>10</v>
      </c>
      <c r="J22" s="620">
        <v>10</v>
      </c>
      <c r="K22" s="622"/>
      <c r="L22" s="622"/>
      <c r="M22" s="622"/>
      <c r="N22" s="622"/>
      <c r="O22" s="622"/>
      <c r="P22" s="622"/>
    </row>
    <row r="23" spans="1:19">
      <c r="A23" s="567"/>
      <c r="F23" s="613" t="s">
        <v>58</v>
      </c>
      <c r="G23" s="622">
        <v>20</v>
      </c>
      <c r="H23" s="622">
        <v>20</v>
      </c>
      <c r="I23" s="621">
        <v>20</v>
      </c>
      <c r="J23" s="620">
        <v>20</v>
      </c>
      <c r="K23" s="588"/>
      <c r="L23" s="588"/>
      <c r="M23" s="588"/>
      <c r="N23" s="588"/>
      <c r="O23" s="588"/>
      <c r="P23" s="588"/>
    </row>
    <row r="24" spans="1:19">
      <c r="A24" s="567"/>
      <c r="F24" s="613" t="s">
        <v>60</v>
      </c>
      <c r="G24" s="622">
        <v>1</v>
      </c>
      <c r="H24" s="622">
        <v>1</v>
      </c>
      <c r="I24" s="621">
        <v>1</v>
      </c>
      <c r="J24" s="620">
        <v>1</v>
      </c>
      <c r="K24" s="588"/>
      <c r="L24" s="588"/>
      <c r="M24" s="588"/>
      <c r="N24" s="588"/>
      <c r="O24" s="588"/>
      <c r="P24" s="588"/>
    </row>
    <row r="25" spans="1:19">
      <c r="A25" s="567"/>
      <c r="F25" s="613"/>
      <c r="G25" s="588"/>
      <c r="H25" s="588"/>
      <c r="I25" s="588"/>
      <c r="J25" s="588"/>
      <c r="K25" s="588"/>
      <c r="L25" s="588"/>
      <c r="M25" s="588"/>
      <c r="N25" s="588"/>
      <c r="O25" s="588"/>
      <c r="P25" s="588"/>
    </row>
    <row r="26" spans="1:19">
      <c r="A26" s="567"/>
      <c r="F26" s="618" t="s">
        <v>264</v>
      </c>
      <c r="G26" s="618"/>
      <c r="H26" s="618"/>
      <c r="I26" s="618"/>
      <c r="J26" s="618"/>
      <c r="K26" s="618"/>
      <c r="L26" s="618"/>
      <c r="M26" s="618"/>
      <c r="N26" s="618"/>
      <c r="O26" s="619"/>
      <c r="P26" s="618"/>
    </row>
    <row r="27" spans="1:19">
      <c r="A27" s="567"/>
      <c r="F27" s="613" t="s">
        <v>711</v>
      </c>
      <c r="G27" s="617">
        <v>1.8141415733691493</v>
      </c>
      <c r="H27" s="617">
        <v>1.7106920331911744</v>
      </c>
      <c r="I27" s="617">
        <v>1.5396228298720569</v>
      </c>
      <c r="J27" s="617">
        <v>1.3856605468848513</v>
      </c>
      <c r="K27" s="617">
        <v>1.5396228298720569</v>
      </c>
      <c r="L27" s="617">
        <v>1.9007689257679714</v>
      </c>
      <c r="M27" s="617">
        <v>1.2470944921963663</v>
      </c>
      <c r="N27" s="617">
        <v>1.5396228298720569</v>
      </c>
      <c r="O27" s="588" t="s">
        <v>710</v>
      </c>
      <c r="P27" s="616" t="s">
        <v>709</v>
      </c>
    </row>
    <row r="28" spans="1:19">
      <c r="A28" s="567"/>
      <c r="F28" s="615" t="s">
        <v>708</v>
      </c>
      <c r="G28" s="614" t="s">
        <v>706</v>
      </c>
      <c r="H28" s="614" t="s">
        <v>706</v>
      </c>
      <c r="I28" s="588"/>
      <c r="J28" s="588"/>
      <c r="K28" s="588"/>
      <c r="L28" s="588"/>
      <c r="M28" s="588"/>
      <c r="N28" s="588"/>
      <c r="O28" s="588"/>
      <c r="P28" s="588"/>
    </row>
    <row r="29" spans="1:19">
      <c r="A29" s="567"/>
      <c r="F29" s="613" t="s">
        <v>707</v>
      </c>
      <c r="G29" s="614" t="s">
        <v>706</v>
      </c>
      <c r="H29" s="614" t="s">
        <v>706</v>
      </c>
      <c r="I29" s="588"/>
      <c r="J29" s="588"/>
      <c r="K29" s="588"/>
      <c r="L29" s="588"/>
      <c r="M29" s="588"/>
      <c r="N29" s="588"/>
      <c r="O29" s="588"/>
      <c r="P29" s="588"/>
    </row>
    <row r="30" spans="1:19">
      <c r="A30" s="567"/>
      <c r="F30" s="613" t="s">
        <v>705</v>
      </c>
      <c r="G30" s="608">
        <f t="shared" ref="G30:N30" si="0">G31*$G$10/G7</f>
        <v>198785.17939696187</v>
      </c>
      <c r="H30" s="608">
        <f t="shared" si="0"/>
        <v>194715.0214064848</v>
      </c>
      <c r="I30" s="608">
        <f t="shared" si="0"/>
        <v>197702.43921954936</v>
      </c>
      <c r="J30" s="608">
        <f t="shared" si="0"/>
        <v>195722.30695110411</v>
      </c>
      <c r="K30" s="608">
        <f t="shared" si="0"/>
        <v>154397.58718954289</v>
      </c>
      <c r="L30" s="608">
        <f t="shared" si="0"/>
        <v>245575.03674852804</v>
      </c>
      <c r="M30" s="608">
        <f t="shared" si="0"/>
        <v>150000.99028005442</v>
      </c>
      <c r="N30" s="608">
        <f t="shared" si="0"/>
        <v>252438.88699442198</v>
      </c>
      <c r="O30" s="588"/>
      <c r="P30" s="588"/>
    </row>
    <row r="31" spans="1:19">
      <c r="A31" s="567"/>
      <c r="F31" s="609" t="s">
        <v>704</v>
      </c>
      <c r="G31" s="604">
        <f t="shared" ref="G31:N31" si="1">SUM(G32:G34)</f>
        <v>5.0332098576529329</v>
      </c>
      <c r="H31" s="604">
        <f t="shared" si="1"/>
        <v>4.6320446757291194</v>
      </c>
      <c r="I31" s="604">
        <f t="shared" si="1"/>
        <v>4.7031118829493384</v>
      </c>
      <c r="J31" s="604">
        <f t="shared" si="1"/>
        <v>4.6560068313460325</v>
      </c>
      <c r="K31" s="612">
        <f t="shared" si="1"/>
        <v>3.5183906273995653</v>
      </c>
      <c r="L31" s="612">
        <f t="shared" si="1"/>
        <v>6.4261400408198313</v>
      </c>
      <c r="M31" s="612">
        <f t="shared" si="1"/>
        <v>3.4182015918040287</v>
      </c>
      <c r="N31" s="612">
        <f t="shared" si="1"/>
        <v>6.6057513868398958</v>
      </c>
      <c r="O31" s="588" t="s">
        <v>702</v>
      </c>
      <c r="P31" s="611" t="s">
        <v>701</v>
      </c>
    </row>
    <row r="32" spans="1:19">
      <c r="A32" s="567"/>
      <c r="F32" s="610" t="s">
        <v>703</v>
      </c>
      <c r="G32" s="604">
        <v>4.1066159855732369</v>
      </c>
      <c r="H32" s="604">
        <v>3.6728291205962398</v>
      </c>
      <c r="I32" s="604">
        <v>3.4891876645664275</v>
      </c>
      <c r="J32" s="604">
        <v>3.3147282813381058</v>
      </c>
      <c r="K32" s="612">
        <v>2.8146278025529408</v>
      </c>
      <c r="L32" s="612">
        <v>5.0501400408198309</v>
      </c>
      <c r="M32" s="612">
        <v>2.5402015918040286</v>
      </c>
      <c r="N32" s="612">
        <v>4.5577513868398958</v>
      </c>
      <c r="O32" s="588" t="s">
        <v>702</v>
      </c>
      <c r="P32" s="611" t="s">
        <v>701</v>
      </c>
    </row>
    <row r="33" spans="1:16">
      <c r="A33" s="567"/>
      <c r="F33" s="610" t="s">
        <v>700</v>
      </c>
      <c r="G33" s="604">
        <f>G12*0.063</f>
        <v>0.51659387207969543</v>
      </c>
      <c r="H33" s="604">
        <f>H12*0.069</f>
        <v>0.54921555513287978</v>
      </c>
      <c r="I33" s="604">
        <f>I12*0.101</f>
        <v>0.80392421838291095</v>
      </c>
      <c r="J33" s="604">
        <f>J12*0.117</f>
        <v>0.93127855000792659</v>
      </c>
      <c r="K33" s="604">
        <f>K12*0.069</f>
        <v>0.29376282484662425</v>
      </c>
      <c r="L33" s="604">
        <f>L12*0.069</f>
        <v>0.96600000000000008</v>
      </c>
      <c r="M33" s="604">
        <f>M12*0.117</f>
        <v>0.46800000000000003</v>
      </c>
      <c r="N33" s="604">
        <f>N12*0.117</f>
        <v>1.6380000000000001</v>
      </c>
      <c r="O33" s="588" t="s">
        <v>671</v>
      </c>
      <c r="P33" s="607"/>
    </row>
    <row r="34" spans="1:16">
      <c r="A34" s="567"/>
      <c r="F34" s="610" t="s">
        <v>699</v>
      </c>
      <c r="G34" s="604">
        <v>0.41</v>
      </c>
      <c r="H34" s="604">
        <v>0.41</v>
      </c>
      <c r="I34" s="604">
        <v>0.41</v>
      </c>
      <c r="J34" s="604">
        <v>0.41</v>
      </c>
      <c r="K34" s="604">
        <v>0.41</v>
      </c>
      <c r="L34" s="604">
        <v>0.41</v>
      </c>
      <c r="M34" s="604">
        <v>0.41</v>
      </c>
      <c r="N34" s="604">
        <v>0.41</v>
      </c>
      <c r="O34" s="588"/>
      <c r="P34" s="607"/>
    </row>
    <row r="35" spans="1:16">
      <c r="A35" s="567"/>
      <c r="F35" s="609"/>
      <c r="G35" s="608"/>
      <c r="H35" s="608"/>
      <c r="I35" s="608"/>
      <c r="J35" s="608"/>
      <c r="K35" s="608"/>
      <c r="L35" s="608"/>
      <c r="M35" s="608"/>
      <c r="N35" s="608"/>
      <c r="O35" s="588"/>
      <c r="P35" s="607"/>
    </row>
    <row r="36" spans="1:16">
      <c r="A36" s="567"/>
      <c r="F36" s="606" t="s">
        <v>698</v>
      </c>
      <c r="G36" s="605"/>
      <c r="H36" s="605"/>
      <c r="I36" s="605"/>
      <c r="J36" s="605"/>
      <c r="K36" s="601"/>
      <c r="L36" s="601"/>
      <c r="M36" s="245"/>
      <c r="N36" s="245"/>
      <c r="O36" s="597"/>
      <c r="P36" s="596"/>
    </row>
    <row r="37" spans="1:16">
      <c r="A37" s="567"/>
      <c r="F37" s="591" t="s">
        <v>697</v>
      </c>
      <c r="G37" s="604">
        <v>0.44</v>
      </c>
      <c r="H37" s="604">
        <v>0.42</v>
      </c>
      <c r="I37" s="604">
        <v>0.42</v>
      </c>
      <c r="J37" s="604">
        <v>0.42</v>
      </c>
      <c r="K37" s="598">
        <v>0.17</v>
      </c>
      <c r="L37" s="598">
        <v>0.88</v>
      </c>
      <c r="M37" s="598">
        <v>0.17</v>
      </c>
      <c r="N37" s="598">
        <v>0.88</v>
      </c>
      <c r="O37" s="597" t="s">
        <v>673</v>
      </c>
      <c r="P37" s="596" t="s">
        <v>696</v>
      </c>
    </row>
    <row r="38" spans="1:16">
      <c r="A38" s="567"/>
      <c r="B38" s="243"/>
      <c r="C38" s="243"/>
      <c r="D38" s="243"/>
      <c r="E38" s="243"/>
      <c r="F38" s="600"/>
      <c r="G38" s="599"/>
      <c r="H38" s="599"/>
      <c r="I38" s="603"/>
      <c r="J38" s="603"/>
      <c r="K38" s="588"/>
      <c r="L38" s="588"/>
      <c r="M38" s="588"/>
      <c r="N38" s="588"/>
      <c r="O38" s="588"/>
      <c r="P38" s="596"/>
    </row>
    <row r="39" spans="1:16">
      <c r="A39" s="567"/>
      <c r="F39" s="600"/>
      <c r="G39" s="599"/>
      <c r="H39" s="599"/>
      <c r="I39" s="599"/>
      <c r="J39" s="599"/>
      <c r="K39" s="598"/>
      <c r="L39" s="598"/>
      <c r="M39" s="245"/>
      <c r="N39" s="245"/>
      <c r="O39" s="597"/>
      <c r="P39" s="596"/>
    </row>
    <row r="40" spans="1:16">
      <c r="A40" s="567"/>
      <c r="F40" s="602"/>
      <c r="G40" s="599"/>
      <c r="H40" s="599"/>
      <c r="I40" s="599"/>
      <c r="J40" s="599"/>
      <c r="K40" s="601"/>
      <c r="L40" s="601"/>
      <c r="M40" s="245"/>
      <c r="N40" s="245"/>
      <c r="O40" s="597"/>
      <c r="P40" s="596"/>
    </row>
    <row r="41" spans="1:16">
      <c r="A41" s="567"/>
      <c r="F41" s="600"/>
      <c r="G41" s="599"/>
      <c r="H41" s="599"/>
      <c r="I41" s="599"/>
      <c r="J41" s="599"/>
      <c r="K41" s="598"/>
      <c r="L41" s="598"/>
      <c r="M41" s="598"/>
      <c r="N41" s="598"/>
      <c r="O41" s="597"/>
      <c r="P41" s="596"/>
    </row>
    <row r="42" spans="1:16">
      <c r="A42" s="567"/>
      <c r="F42" s="591"/>
      <c r="G42" s="588"/>
      <c r="H42" s="594"/>
      <c r="I42" s="594"/>
      <c r="J42" s="594"/>
      <c r="K42" s="594"/>
      <c r="L42" s="594"/>
      <c r="M42" s="595"/>
      <c r="N42" s="595"/>
      <c r="O42" s="594"/>
      <c r="P42" s="593"/>
    </row>
    <row r="43" spans="1:16">
      <c r="A43" s="567"/>
      <c r="F43" s="591"/>
      <c r="G43" s="588"/>
      <c r="H43" s="588"/>
      <c r="I43" s="588"/>
      <c r="J43" s="588"/>
      <c r="K43" s="588"/>
      <c r="L43" s="588"/>
      <c r="M43" s="589"/>
      <c r="N43" s="589"/>
      <c r="O43" s="588"/>
      <c r="P43" s="593"/>
    </row>
    <row r="44" spans="1:16">
      <c r="A44" s="567"/>
      <c r="F44" s="591"/>
      <c r="G44" s="588"/>
      <c r="H44" s="588"/>
      <c r="I44" s="588"/>
      <c r="J44" s="588"/>
      <c r="K44" s="588"/>
      <c r="L44" s="588"/>
      <c r="M44" s="589"/>
      <c r="N44" s="589"/>
      <c r="O44" s="589"/>
      <c r="P44" s="588"/>
    </row>
    <row r="45" spans="1:16">
      <c r="A45" s="567"/>
      <c r="F45" s="591"/>
      <c r="G45" s="588"/>
      <c r="H45" s="588"/>
      <c r="I45" s="588"/>
      <c r="J45" s="588"/>
      <c r="K45" s="588"/>
      <c r="L45" s="588"/>
      <c r="M45" s="592"/>
      <c r="N45" s="592"/>
      <c r="O45" s="589"/>
      <c r="P45" s="588"/>
    </row>
    <row r="46" spans="1:16">
      <c r="A46" s="567"/>
      <c r="F46" s="591"/>
      <c r="G46" s="588"/>
      <c r="H46" s="588"/>
      <c r="I46" s="588"/>
      <c r="J46" s="588"/>
      <c r="K46" s="588"/>
      <c r="L46" s="588"/>
      <c r="M46" s="590"/>
      <c r="N46" s="590"/>
      <c r="O46" s="589"/>
      <c r="P46" s="588"/>
    </row>
    <row r="47" spans="1:16">
      <c r="A47" s="567"/>
    </row>
    <row r="48" spans="1:16">
      <c r="A48" s="587"/>
      <c r="B48" s="586"/>
      <c r="C48" s="583"/>
      <c r="D48" s="583"/>
      <c r="E48" s="583"/>
      <c r="F48" s="583"/>
      <c r="G48" s="583"/>
      <c r="H48" s="583"/>
      <c r="I48" s="583"/>
      <c r="J48" s="583"/>
      <c r="K48" s="583"/>
      <c r="L48" s="583"/>
    </row>
    <row r="49" spans="1:16">
      <c r="A49" s="584"/>
      <c r="B49" s="583"/>
      <c r="C49" s="583"/>
      <c r="D49" s="583"/>
      <c r="E49" s="583"/>
      <c r="F49" s="1340"/>
      <c r="G49" s="1340"/>
      <c r="H49" s="1340"/>
      <c r="I49" s="1340"/>
      <c r="J49" s="1340"/>
      <c r="K49" s="1340"/>
      <c r="L49" s="1340"/>
      <c r="M49" s="1340"/>
      <c r="N49" s="1340"/>
      <c r="O49" s="1340"/>
      <c r="P49" s="1340"/>
    </row>
    <row r="50" spans="1:16">
      <c r="A50" s="584"/>
      <c r="B50" s="1340"/>
      <c r="C50" s="1342"/>
      <c r="D50" s="1342"/>
      <c r="E50" s="1342"/>
      <c r="F50" s="1342"/>
      <c r="G50" s="1342"/>
      <c r="H50" s="1342"/>
      <c r="I50" s="1342"/>
      <c r="J50" s="1342"/>
      <c r="K50" s="1342"/>
      <c r="L50" s="1342"/>
    </row>
    <row r="51" spans="1:16">
      <c r="A51" s="584"/>
      <c r="B51" s="1340"/>
      <c r="C51" s="1342"/>
      <c r="D51" s="1342"/>
      <c r="E51" s="1342"/>
      <c r="F51" s="1342"/>
      <c r="G51" s="1342"/>
      <c r="H51" s="1342"/>
      <c r="I51" s="1342"/>
      <c r="J51" s="1342"/>
      <c r="K51" s="1342"/>
      <c r="L51" s="1342"/>
    </row>
    <row r="52" spans="1:16">
      <c r="A52" s="585"/>
      <c r="B52" s="1340"/>
      <c r="C52" s="1342"/>
      <c r="D52" s="1342"/>
      <c r="E52" s="1342"/>
      <c r="F52" s="1342"/>
      <c r="G52" s="1342"/>
      <c r="H52" s="1342"/>
      <c r="I52" s="1342"/>
      <c r="J52" s="1342"/>
      <c r="K52" s="1342"/>
      <c r="L52" s="1342"/>
      <c r="M52" s="1343"/>
      <c r="N52" s="1343"/>
      <c r="O52" s="1343"/>
      <c r="P52" s="1343"/>
    </row>
    <row r="53" spans="1:16">
      <c r="A53" s="584"/>
      <c r="B53" s="1340"/>
      <c r="C53" s="1342"/>
      <c r="D53" s="1342"/>
      <c r="E53" s="1342"/>
      <c r="F53" s="1342"/>
      <c r="G53" s="1342"/>
      <c r="H53" s="1342"/>
      <c r="I53" s="1342"/>
      <c r="J53" s="1342"/>
      <c r="K53" s="1342"/>
      <c r="L53" s="1342"/>
      <c r="M53" s="1343"/>
      <c r="N53" s="1343"/>
      <c r="O53" s="1343"/>
      <c r="P53" s="1343"/>
    </row>
    <row r="54" spans="1:16">
      <c r="A54" s="584"/>
      <c r="B54" s="583"/>
      <c r="C54" s="583"/>
      <c r="D54" s="583"/>
      <c r="E54" s="583"/>
      <c r="F54" s="583"/>
      <c r="G54" s="583"/>
      <c r="H54" s="583"/>
      <c r="I54" s="583"/>
      <c r="J54" s="583"/>
      <c r="K54" s="583"/>
      <c r="L54" s="583"/>
    </row>
    <row r="55" spans="1:16">
      <c r="A55" s="571" t="s">
        <v>695</v>
      </c>
      <c r="B55" s="583"/>
      <c r="C55" s="582"/>
      <c r="D55" s="582"/>
      <c r="E55" s="582"/>
      <c r="F55" s="582"/>
      <c r="G55" s="582"/>
      <c r="H55" s="582"/>
      <c r="I55" s="582"/>
      <c r="J55" s="582"/>
      <c r="K55" s="582"/>
      <c r="L55" s="582"/>
    </row>
    <row r="56" spans="1:16">
      <c r="A56" s="574" t="s">
        <v>694</v>
      </c>
      <c r="B56" s="1344" t="s">
        <v>693</v>
      </c>
      <c r="C56" s="1344"/>
      <c r="D56" s="1344"/>
      <c r="E56" s="1344"/>
      <c r="F56" s="1344"/>
      <c r="G56" s="1344"/>
      <c r="H56" s="1344"/>
      <c r="I56" s="1344"/>
      <c r="J56" s="1344"/>
      <c r="K56" s="1344"/>
      <c r="L56" s="1344"/>
      <c r="M56" s="1344"/>
      <c r="N56" s="1344"/>
      <c r="O56" s="1344"/>
      <c r="P56" s="1344"/>
    </row>
    <row r="57" spans="1:16">
      <c r="A57" s="574" t="s">
        <v>692</v>
      </c>
      <c r="B57" s="1341" t="s">
        <v>691</v>
      </c>
      <c r="C57" s="1341"/>
      <c r="D57" s="1341"/>
      <c r="E57" s="1341"/>
      <c r="F57" s="1341"/>
      <c r="G57" s="1341"/>
      <c r="H57" s="1341"/>
      <c r="I57" s="1341"/>
      <c r="J57" s="1341"/>
      <c r="K57" s="1341"/>
      <c r="L57" s="1341"/>
    </row>
    <row r="58" spans="1:16">
      <c r="A58" s="574" t="s">
        <v>272</v>
      </c>
      <c r="B58" s="1341" t="s">
        <v>690</v>
      </c>
      <c r="C58" s="1343"/>
      <c r="D58" s="1343"/>
      <c r="E58" s="1343"/>
      <c r="F58" s="1343"/>
      <c r="G58" s="1343"/>
      <c r="H58" s="1343"/>
      <c r="I58" s="1343"/>
      <c r="J58" s="1343"/>
      <c r="K58" s="1343"/>
      <c r="L58" s="1343"/>
      <c r="M58" s="1343"/>
      <c r="N58" s="1343"/>
      <c r="O58" s="1343"/>
      <c r="P58" s="1343"/>
    </row>
    <row r="59" spans="1:16">
      <c r="A59" s="574" t="s">
        <v>269</v>
      </c>
      <c r="B59" s="1341" t="s">
        <v>689</v>
      </c>
      <c r="C59" s="1341"/>
      <c r="D59" s="1341"/>
      <c r="E59" s="1341"/>
      <c r="F59" s="1341"/>
      <c r="G59" s="1341"/>
      <c r="H59" s="1341"/>
      <c r="I59" s="1341"/>
      <c r="J59" s="1341"/>
      <c r="K59" s="1341"/>
      <c r="L59" s="1341"/>
    </row>
    <row r="60" spans="1:16" ht="52.8">
      <c r="A60" s="567"/>
      <c r="F60" s="245" t="s">
        <v>688</v>
      </c>
      <c r="G60" s="581" t="s">
        <v>687</v>
      </c>
      <c r="H60" s="581" t="s">
        <v>686</v>
      </c>
      <c r="I60" s="580" t="s">
        <v>685</v>
      </c>
    </row>
    <row r="61" spans="1:16" ht="14.4">
      <c r="A61" s="567"/>
      <c r="F61" s="245" t="s">
        <v>684</v>
      </c>
      <c r="G61" s="576">
        <v>0.79800000000000004</v>
      </c>
      <c r="H61" s="576">
        <v>0.83789139679172331</v>
      </c>
      <c r="I61" s="579">
        <v>3.3557046979865772</v>
      </c>
    </row>
    <row r="62" spans="1:16" ht="14.4">
      <c r="A62" s="567"/>
      <c r="F62" s="245" t="s">
        <v>683</v>
      </c>
      <c r="G62" s="576">
        <v>0.08</v>
      </c>
      <c r="H62" s="576">
        <v>8.4638327610316366E-2</v>
      </c>
      <c r="I62" s="579">
        <v>6.7114093959731544</v>
      </c>
    </row>
    <row r="63" spans="1:16" ht="14.4">
      <c r="A63" s="567"/>
      <c r="F63" s="245" t="s">
        <v>436</v>
      </c>
      <c r="G63" s="576">
        <v>6.0999999999999999E-2</v>
      </c>
      <c r="H63" s="576">
        <v>2.4390632528287944E-3</v>
      </c>
      <c r="I63" s="579">
        <v>6.7114093959731544</v>
      </c>
    </row>
    <row r="64" spans="1:16" ht="14.4">
      <c r="A64" s="567"/>
      <c r="F64" s="245" t="s">
        <v>437</v>
      </c>
      <c r="G64" s="576">
        <v>0</v>
      </c>
      <c r="H64" s="576">
        <v>0</v>
      </c>
      <c r="I64" s="575">
        <v>67.382550335570471</v>
      </c>
    </row>
    <row r="65" spans="1:16" ht="14.4">
      <c r="A65" s="567"/>
      <c r="F65" s="245" t="s">
        <v>682</v>
      </c>
      <c r="G65" s="576">
        <v>0.01</v>
      </c>
      <c r="H65" s="576">
        <v>1.2008799662457062E-2</v>
      </c>
      <c r="I65" s="575">
        <v>40.268456375838923</v>
      </c>
    </row>
    <row r="66" spans="1:16" ht="14.4">
      <c r="A66" s="574"/>
      <c r="B66" s="577"/>
      <c r="C66" s="577"/>
      <c r="D66" s="577"/>
      <c r="E66" s="577"/>
      <c r="F66" s="245" t="s">
        <v>681</v>
      </c>
      <c r="G66" s="576">
        <v>1.6E-2</v>
      </c>
      <c r="H66" s="576">
        <v>1.2462465427483218E-2</v>
      </c>
      <c r="I66" s="575">
        <v>18.859060402684563</v>
      </c>
    </row>
    <row r="67" spans="1:16" ht="14.4">
      <c r="A67" s="574"/>
      <c r="B67" s="577"/>
      <c r="C67" s="577"/>
      <c r="D67" s="577"/>
      <c r="E67" s="577"/>
      <c r="F67" s="245" t="s">
        <v>680</v>
      </c>
      <c r="G67" s="576">
        <v>0</v>
      </c>
      <c r="H67" s="578">
        <v>0</v>
      </c>
      <c r="I67" s="575">
        <v>34.899328859060404</v>
      </c>
    </row>
    <row r="68" spans="1:16" ht="14.4">
      <c r="A68" s="574"/>
      <c r="B68" s="577"/>
      <c r="C68" s="577"/>
      <c r="D68" s="577"/>
      <c r="E68" s="577"/>
      <c r="F68" s="245" t="s">
        <v>679</v>
      </c>
      <c r="G68" s="576">
        <v>3.5000000000000003E-2</v>
      </c>
      <c r="H68" s="576">
        <v>5.0559947255191202E-2</v>
      </c>
      <c r="I68" s="575">
        <v>27.919463087248321</v>
      </c>
    </row>
    <row r="69" spans="1:16">
      <c r="A69" s="567"/>
    </row>
    <row r="70" spans="1:16">
      <c r="A70" s="574" t="s">
        <v>255</v>
      </c>
      <c r="B70" s="1341" t="s">
        <v>678</v>
      </c>
      <c r="C70" s="1341"/>
      <c r="D70" s="1341"/>
      <c r="E70" s="1341"/>
      <c r="F70" s="1341"/>
      <c r="G70" s="1341"/>
      <c r="H70" s="1341"/>
      <c r="I70" s="1341"/>
      <c r="J70" s="1341"/>
      <c r="K70" s="1341"/>
      <c r="L70" s="1341"/>
      <c r="M70" s="1341"/>
      <c r="N70" s="1341"/>
      <c r="O70" s="1341"/>
      <c r="P70" s="1341"/>
    </row>
    <row r="71" spans="1:16">
      <c r="A71" s="574" t="s">
        <v>389</v>
      </c>
      <c r="B71" s="1341" t="s">
        <v>677</v>
      </c>
      <c r="C71" s="1341"/>
      <c r="D71" s="1341"/>
      <c r="E71" s="1341"/>
      <c r="F71" s="1341"/>
      <c r="G71" s="1341"/>
      <c r="H71" s="1341"/>
      <c r="I71" s="1341"/>
      <c r="J71" s="1341"/>
      <c r="K71" s="1341"/>
      <c r="L71" s="1341"/>
      <c r="M71" s="1341"/>
      <c r="N71" s="1341"/>
      <c r="O71" s="1341"/>
      <c r="P71" s="1341"/>
    </row>
    <row r="72" spans="1:16" ht="13.8">
      <c r="A72" s="574" t="s">
        <v>393</v>
      </c>
      <c r="B72" s="1341" t="s">
        <v>676</v>
      </c>
      <c r="C72" s="1341"/>
      <c r="D72" s="1341"/>
      <c r="E72" s="1341"/>
      <c r="F72" s="1341"/>
      <c r="G72" s="1341"/>
      <c r="H72" s="1341"/>
      <c r="I72" s="1341"/>
      <c r="J72" s="1341"/>
      <c r="K72" s="1341"/>
      <c r="L72" s="1341"/>
      <c r="M72" s="1341"/>
      <c r="N72" s="1341"/>
      <c r="O72" s="568"/>
      <c r="P72" s="568"/>
    </row>
    <row r="73" spans="1:16" ht="13.8">
      <c r="A73" s="574" t="s">
        <v>675</v>
      </c>
      <c r="B73" s="1341" t="s">
        <v>674</v>
      </c>
      <c r="C73" s="1341"/>
      <c r="D73" s="1341"/>
      <c r="E73" s="1341"/>
      <c r="F73" s="1341"/>
      <c r="G73" s="1341"/>
      <c r="H73" s="1341"/>
      <c r="I73" s="1341"/>
      <c r="J73" s="1341"/>
      <c r="K73" s="1341"/>
      <c r="L73" s="1341"/>
      <c r="M73" s="1341"/>
      <c r="N73" s="1341"/>
      <c r="O73" s="568"/>
      <c r="P73" s="568"/>
    </row>
    <row r="74" spans="1:16" ht="13.8">
      <c r="A74" s="573" t="s">
        <v>673</v>
      </c>
      <c r="B74" s="1348" t="s">
        <v>672</v>
      </c>
      <c r="C74" s="1349"/>
      <c r="D74" s="1349"/>
      <c r="E74" s="1349"/>
      <c r="F74" s="1349"/>
      <c r="G74" s="1349"/>
      <c r="H74" s="1349"/>
      <c r="I74" s="1349"/>
      <c r="J74" s="1349"/>
      <c r="K74" s="1349"/>
      <c r="L74" s="1349"/>
      <c r="M74" s="1349"/>
      <c r="N74" s="1349"/>
      <c r="O74" s="568"/>
      <c r="P74" s="568"/>
    </row>
    <row r="75" spans="1:16" ht="13.8">
      <c r="A75" s="572" t="s">
        <v>671</v>
      </c>
      <c r="B75" s="1346" t="s">
        <v>670</v>
      </c>
      <c r="C75" s="1347"/>
      <c r="D75" s="1347"/>
      <c r="E75" s="1347"/>
      <c r="F75" s="1347"/>
      <c r="G75" s="1347"/>
      <c r="H75" s="1347"/>
      <c r="I75" s="1347"/>
      <c r="J75" s="1347"/>
      <c r="K75" s="1347"/>
      <c r="L75" s="1347"/>
      <c r="M75" s="1347"/>
      <c r="N75" s="1347"/>
      <c r="O75" s="568"/>
      <c r="P75" s="568"/>
    </row>
    <row r="76" spans="1:16" ht="13.8">
      <c r="A76" s="571" t="s">
        <v>669</v>
      </c>
      <c r="B76" s="570"/>
      <c r="C76" s="569"/>
      <c r="D76" s="569"/>
      <c r="E76" s="569"/>
      <c r="F76" s="569"/>
      <c r="G76" s="569"/>
      <c r="H76" s="569"/>
      <c r="I76" s="569"/>
      <c r="J76" s="569"/>
      <c r="K76" s="569"/>
      <c r="L76" s="569"/>
      <c r="M76" s="569"/>
      <c r="N76" s="569"/>
      <c r="O76" s="568"/>
      <c r="P76" s="568"/>
    </row>
    <row r="77" spans="1:16">
      <c r="A77" s="567">
        <v>5</v>
      </c>
      <c r="F77" s="1345" t="s">
        <v>668</v>
      </c>
      <c r="G77" s="1345"/>
      <c r="H77" s="1345"/>
      <c r="I77" s="1345"/>
      <c r="J77" s="1345"/>
      <c r="K77" s="1345"/>
      <c r="L77" s="1345"/>
      <c r="M77" s="1345"/>
      <c r="N77" s="1345"/>
    </row>
    <row r="78" spans="1:16">
      <c r="A78" s="567">
        <v>8</v>
      </c>
      <c r="F78" s="1345" t="s">
        <v>667</v>
      </c>
      <c r="G78" s="1345"/>
      <c r="H78" s="1345"/>
      <c r="I78" s="1345"/>
      <c r="J78" s="1345"/>
      <c r="K78" s="1345"/>
      <c r="L78" s="1345"/>
    </row>
    <row r="79" spans="1:16">
      <c r="A79" s="567">
        <v>9</v>
      </c>
      <c r="F79" s="1345" t="s">
        <v>666</v>
      </c>
      <c r="G79" s="1345"/>
      <c r="H79" s="1345"/>
      <c r="I79" s="1345"/>
      <c r="J79" s="1345"/>
      <c r="K79" s="1345"/>
      <c r="L79" s="1345"/>
      <c r="M79" s="1345"/>
      <c r="N79" s="1345"/>
    </row>
    <row r="80" spans="1:16">
      <c r="A80" s="567">
        <v>12</v>
      </c>
      <c r="F80" s="1345" t="s">
        <v>665</v>
      </c>
      <c r="G80" s="1345"/>
      <c r="H80" s="1345"/>
      <c r="I80" s="1345"/>
      <c r="J80" s="1345"/>
      <c r="K80" s="1345"/>
      <c r="L80" s="1345"/>
      <c r="M80" s="1345"/>
      <c r="N80" s="1345"/>
    </row>
  </sheetData>
  <mergeCells count="23">
    <mergeCell ref="F80:N80"/>
    <mergeCell ref="B72:N72"/>
    <mergeCell ref="B73:N73"/>
    <mergeCell ref="B75:N75"/>
    <mergeCell ref="F77:N77"/>
    <mergeCell ref="F78:L78"/>
    <mergeCell ref="F79:N79"/>
    <mergeCell ref="B74:N74"/>
    <mergeCell ref="B59:L59"/>
    <mergeCell ref="B70:P70"/>
    <mergeCell ref="B71:P71"/>
    <mergeCell ref="B50:L50"/>
    <mergeCell ref="B51:L51"/>
    <mergeCell ref="B52:P52"/>
    <mergeCell ref="B53:P53"/>
    <mergeCell ref="B56:P56"/>
    <mergeCell ref="B57:L57"/>
    <mergeCell ref="B58:P58"/>
    <mergeCell ref="G1:O1"/>
    <mergeCell ref="G3:P3"/>
    <mergeCell ref="K4:L4"/>
    <mergeCell ref="M4:N4"/>
    <mergeCell ref="F49:P49"/>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workbookViewId="0">
      <selection activeCell="X17" sqref="X17"/>
    </sheetView>
  </sheetViews>
  <sheetFormatPr defaultColWidth="9.109375" defaultRowHeight="13.2"/>
  <cols>
    <col min="1" max="1" width="4.44140625" style="69" customWidth="1"/>
    <col min="2" max="2" width="9.109375" style="69" customWidth="1"/>
    <col min="3" max="3" width="41.88671875" style="69" customWidth="1"/>
    <col min="4" max="4" width="9" style="69" customWidth="1"/>
    <col min="5" max="5" width="8.33203125" style="69" customWidth="1"/>
    <col min="6" max="6" width="8.44140625" style="69" customWidth="1"/>
    <col min="7" max="7" width="10.10937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15.109375" style="69" bestFit="1" customWidth="1"/>
    <col min="16" max="16" width="15.33203125" style="69" customWidth="1"/>
    <col min="17" max="18" width="9.5546875" style="69" bestFit="1" customWidth="1"/>
    <col min="19" max="19" width="9.5546875" style="69" customWidth="1"/>
    <col min="20" max="16384" width="9.109375" style="69"/>
  </cols>
  <sheetData>
    <row r="1" spans="1:27" ht="21">
      <c r="A1" s="567"/>
      <c r="C1" s="650" t="s">
        <v>749</v>
      </c>
      <c r="D1" s="1334" t="s">
        <v>783</v>
      </c>
      <c r="E1" s="1335"/>
      <c r="F1" s="1335"/>
      <c r="G1" s="1335"/>
      <c r="H1" s="1335"/>
      <c r="I1" s="1335"/>
      <c r="J1" s="1335"/>
      <c r="K1" s="1335"/>
      <c r="L1" s="1335"/>
      <c r="M1" s="649"/>
    </row>
    <row r="2" spans="1:27">
      <c r="A2" s="567"/>
    </row>
    <row r="3" spans="1:27" ht="12.75" customHeight="1">
      <c r="A3" s="567"/>
      <c r="C3" s="618" t="s">
        <v>296</v>
      </c>
      <c r="D3" s="1352" t="s">
        <v>783</v>
      </c>
      <c r="E3" s="1353"/>
      <c r="F3" s="1353"/>
      <c r="G3" s="1353"/>
      <c r="H3" s="1353"/>
      <c r="I3" s="1353"/>
      <c r="J3" s="1353"/>
      <c r="K3" s="1353"/>
      <c r="L3" s="1353"/>
      <c r="M3" s="1353"/>
    </row>
    <row r="4" spans="1:27" ht="12.75" customHeight="1">
      <c r="A4" s="567"/>
      <c r="C4" s="658"/>
      <c r="D4" s="619">
        <v>2015</v>
      </c>
      <c r="E4" s="619">
        <v>2020</v>
      </c>
      <c r="F4" s="619">
        <v>2030</v>
      </c>
      <c r="G4" s="619">
        <v>2050</v>
      </c>
      <c r="H4" s="1352" t="s">
        <v>290</v>
      </c>
      <c r="I4" s="1352"/>
      <c r="J4" s="1352" t="s">
        <v>289</v>
      </c>
      <c r="K4" s="1352"/>
      <c r="L4" s="619" t="s">
        <v>288</v>
      </c>
      <c r="M4" s="619" t="s">
        <v>287</v>
      </c>
      <c r="P4" s="69" t="s">
        <v>782</v>
      </c>
    </row>
    <row r="5" spans="1:27" ht="13.8" thickBot="1">
      <c r="A5" s="567"/>
      <c r="C5" s="618" t="s">
        <v>282</v>
      </c>
      <c r="D5" s="618"/>
      <c r="E5" s="618"/>
      <c r="F5" s="618"/>
      <c r="G5" s="618"/>
      <c r="H5" s="618" t="s">
        <v>284</v>
      </c>
      <c r="I5" s="618" t="s">
        <v>283</v>
      </c>
      <c r="J5" s="618" t="s">
        <v>284</v>
      </c>
      <c r="K5" s="618" t="s">
        <v>283</v>
      </c>
      <c r="L5" s="618"/>
      <c r="M5" s="618"/>
    </row>
    <row r="6" spans="1:27" ht="12.75" customHeight="1">
      <c r="A6" s="567"/>
      <c r="C6" s="658" t="s">
        <v>781</v>
      </c>
      <c r="D6" s="1354">
        <v>1</v>
      </c>
      <c r="E6" s="1355"/>
      <c r="F6" s="1355"/>
      <c r="G6" s="1355"/>
      <c r="H6" s="588"/>
      <c r="I6" s="588"/>
      <c r="J6" s="588"/>
      <c r="K6" s="588"/>
      <c r="L6" s="588" t="s">
        <v>734</v>
      </c>
      <c r="M6" s="624"/>
      <c r="P6" s="304" t="s">
        <v>437</v>
      </c>
      <c r="Q6" s="305"/>
    </row>
    <row r="7" spans="1:27" ht="14.4">
      <c r="A7" s="567"/>
      <c r="C7" s="658"/>
      <c r="D7" s="1350"/>
      <c r="E7" s="1351"/>
      <c r="F7" s="1351"/>
      <c r="G7" s="1351"/>
      <c r="H7" s="588"/>
      <c r="I7" s="588"/>
      <c r="J7" s="588"/>
      <c r="K7" s="588"/>
      <c r="L7" s="588"/>
      <c r="M7" s="588"/>
      <c r="P7" s="687" t="s">
        <v>780</v>
      </c>
      <c r="Q7" s="700">
        <f>D18*D9</f>
        <v>14.497171554832166</v>
      </c>
    </row>
    <row r="8" spans="1:27" ht="13.8" thickBot="1">
      <c r="A8" s="567"/>
      <c r="C8" s="699" t="s">
        <v>737</v>
      </c>
      <c r="D8" s="588"/>
      <c r="E8" s="588"/>
      <c r="F8" s="588"/>
      <c r="G8" s="588"/>
      <c r="H8" s="588"/>
      <c r="I8" s="588"/>
      <c r="J8" s="588"/>
      <c r="K8" s="588"/>
      <c r="L8" s="588"/>
      <c r="M8" s="588"/>
      <c r="P8" s="698"/>
      <c r="Q8" s="330"/>
    </row>
    <row r="9" spans="1:27">
      <c r="A9" s="567"/>
      <c r="C9" s="631" t="s">
        <v>779</v>
      </c>
      <c r="D9" s="636">
        <v>1.9941088796192801</v>
      </c>
      <c r="E9" s="636">
        <v>1.8192614557560789</v>
      </c>
      <c r="F9" s="636">
        <v>1.8192614557560789</v>
      </c>
      <c r="G9" s="636">
        <v>1.8192614557560789</v>
      </c>
      <c r="H9" s="697"/>
      <c r="I9" s="622"/>
      <c r="J9" s="622"/>
      <c r="K9" s="622"/>
      <c r="L9" s="622" t="s">
        <v>734</v>
      </c>
      <c r="M9" s="624" t="s">
        <v>727</v>
      </c>
    </row>
    <row r="10" spans="1:27">
      <c r="A10" s="567"/>
      <c r="C10" s="640" t="s">
        <v>778</v>
      </c>
      <c r="D10" s="696">
        <v>4336.98052604645</v>
      </c>
      <c r="E10" s="696">
        <v>3956.7054668085311</v>
      </c>
      <c r="F10" s="696">
        <v>3956.7054668085311</v>
      </c>
      <c r="G10" s="696">
        <v>3956.7054668085311</v>
      </c>
      <c r="H10" s="622"/>
      <c r="I10" s="622"/>
      <c r="J10" s="622"/>
      <c r="K10" s="622"/>
      <c r="L10" s="622"/>
      <c r="M10" s="245"/>
    </row>
    <row r="11" spans="1:27">
      <c r="A11" s="567"/>
      <c r="C11" s="631" t="s">
        <v>766</v>
      </c>
      <c r="D11" s="694">
        <v>3.1240122282366525E-2</v>
      </c>
      <c r="E11" s="694">
        <v>2.8500926364796616E-2</v>
      </c>
      <c r="F11" s="694">
        <v>2.8500926364796616E-2</v>
      </c>
      <c r="G11" s="694">
        <v>2.8500926364796616E-2</v>
      </c>
      <c r="H11" s="695"/>
      <c r="I11" s="622"/>
      <c r="J11" s="622"/>
      <c r="K11" s="622"/>
      <c r="L11" s="622"/>
      <c r="M11" s="624" t="s">
        <v>727</v>
      </c>
    </row>
    <row r="12" spans="1:27" ht="13.8" thickBot="1">
      <c r="A12" s="567"/>
      <c r="C12" s="640" t="s">
        <v>777</v>
      </c>
      <c r="D12" s="693">
        <v>63</v>
      </c>
      <c r="E12" s="693">
        <v>63</v>
      </c>
      <c r="F12" s="693">
        <v>63</v>
      </c>
      <c r="G12" s="693">
        <v>63</v>
      </c>
      <c r="H12" s="622"/>
      <c r="I12" s="622"/>
      <c r="J12" s="622"/>
      <c r="K12" s="622"/>
      <c r="L12" s="622" t="s">
        <v>694</v>
      </c>
      <c r="M12" s="245"/>
      <c r="P12" s="69" t="s">
        <v>776</v>
      </c>
    </row>
    <row r="13" spans="1:27">
      <c r="A13" s="567"/>
      <c r="C13" s="631" t="s">
        <v>764</v>
      </c>
      <c r="D13" s="694">
        <v>9.2086572813314966E-3</v>
      </c>
      <c r="E13" s="694">
        <v>8.4012239363742813E-3</v>
      </c>
      <c r="F13" s="694">
        <v>8.4012239363742813E-3</v>
      </c>
      <c r="G13" s="694">
        <v>8.4012239363742813E-3</v>
      </c>
      <c r="H13" s="622"/>
      <c r="I13" s="622"/>
      <c r="J13" s="622"/>
      <c r="K13" s="622"/>
      <c r="L13" s="622"/>
      <c r="M13" s="624" t="s">
        <v>727</v>
      </c>
      <c r="O13" s="304"/>
      <c r="P13" s="1361" t="s">
        <v>775</v>
      </c>
      <c r="Q13" s="1362"/>
      <c r="R13" s="1362"/>
      <c r="S13" s="1363"/>
      <c r="T13" s="1362" t="s">
        <v>774</v>
      </c>
      <c r="U13" s="1362"/>
      <c r="V13" s="1362"/>
      <c r="W13" s="1362"/>
      <c r="X13" s="1361" t="s">
        <v>773</v>
      </c>
      <c r="Y13" s="1362"/>
      <c r="Z13" s="1362"/>
      <c r="AA13" s="1363"/>
    </row>
    <row r="14" spans="1:27">
      <c r="A14" s="567"/>
      <c r="C14" s="640" t="s">
        <v>772</v>
      </c>
      <c r="D14" s="693">
        <v>18.600000000000001</v>
      </c>
      <c r="E14" s="693">
        <v>18.600000000000001</v>
      </c>
      <c r="F14" s="693">
        <v>18.600000000000001</v>
      </c>
      <c r="G14" s="693">
        <v>18.600000000000001</v>
      </c>
      <c r="H14" s="245"/>
      <c r="I14" s="245"/>
      <c r="J14" s="245"/>
      <c r="K14" s="245"/>
      <c r="L14" s="597" t="s">
        <v>694</v>
      </c>
      <c r="M14" s="622"/>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ht="13.8">
      <c r="A15" s="567"/>
      <c r="C15" s="688"/>
      <c r="D15" s="245"/>
      <c r="E15" s="245"/>
      <c r="F15" s="245"/>
      <c r="G15" s="245"/>
      <c r="H15" s="245"/>
      <c r="I15" s="245"/>
      <c r="J15" s="245"/>
      <c r="K15" s="245"/>
      <c r="L15" s="597"/>
      <c r="M15" s="623"/>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ht="26.4">
      <c r="A16" s="567"/>
      <c r="C16" s="683" t="s">
        <v>721</v>
      </c>
      <c r="D16" s="632"/>
      <c r="E16" s="632"/>
      <c r="F16" s="631"/>
      <c r="G16" s="631"/>
      <c r="H16" s="622"/>
      <c r="I16" s="622"/>
      <c r="J16" s="622"/>
      <c r="K16" s="622"/>
      <c r="L16" s="622"/>
      <c r="M16" s="626"/>
      <c r="O16" s="682" t="s">
        <v>770</v>
      </c>
      <c r="P16" s="679">
        <f>D27/1000000</f>
        <v>0.40767616944836599</v>
      </c>
      <c r="Q16" s="579">
        <f>E27/1000000</f>
        <v>0.37193031388000197</v>
      </c>
      <c r="R16" s="579">
        <f>F27/1000000</f>
        <v>0.37193031388000197</v>
      </c>
      <c r="S16" s="678">
        <f>G27/1000000</f>
        <v>0.37193031388000197</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(T16*T15+P16*P15)/X15</f>
        <v>1.6768148152228202</v>
      </c>
      <c r="Y16" s="579">
        <f t="shared" ref="X16:AA17" si="0">(U16*U15+Q16*Q15)/Y15</f>
        <v>1.5724320084655383</v>
      </c>
      <c r="Z16" s="579">
        <f t="shared" si="0"/>
        <v>1.4190299014933836</v>
      </c>
      <c r="AA16" s="678">
        <f t="shared" si="0"/>
        <v>1.2809680052184444</v>
      </c>
    </row>
    <row r="17" spans="1:27" ht="27" thickBot="1">
      <c r="A17" s="567"/>
      <c r="C17" s="677" t="s">
        <v>720</v>
      </c>
      <c r="D17" s="676">
        <v>1</v>
      </c>
      <c r="E17" s="676">
        <v>1</v>
      </c>
      <c r="F17" s="676">
        <v>1</v>
      </c>
      <c r="G17" s="676">
        <v>1</v>
      </c>
      <c r="H17" s="622"/>
      <c r="I17" s="622"/>
      <c r="J17" s="622"/>
      <c r="K17" s="622"/>
      <c r="L17" s="622" t="s">
        <v>767</v>
      </c>
      <c r="M17" s="245"/>
      <c r="O17" s="675" t="s">
        <v>769</v>
      </c>
      <c r="P17" s="673">
        <f>D29/1000000</f>
        <v>4.7386621139570456E-2</v>
      </c>
      <c r="Q17" s="672">
        <f>E29/1000000</f>
        <v>4.4727302826015725E-2</v>
      </c>
      <c r="R17" s="672">
        <f>F29/1000000</f>
        <v>5.2704021047101715E-2</v>
      </c>
      <c r="S17" s="671">
        <f>G29/1000000</f>
        <v>5.6692380157644717E-2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0.22658605521234387</v>
      </c>
      <c r="Y17" s="672">
        <f t="shared" si="0"/>
        <v>0.22241526104718271</v>
      </c>
      <c r="Z17" s="672">
        <f t="shared" si="0"/>
        <v>0.22831753699737548</v>
      </c>
      <c r="AA17" s="671">
        <f t="shared" si="0"/>
        <v>0.22817923042833871</v>
      </c>
    </row>
    <row r="18" spans="1:27" ht="52.8">
      <c r="A18" s="567"/>
      <c r="C18" s="640" t="s">
        <v>768</v>
      </c>
      <c r="D18" s="632">
        <v>7.27</v>
      </c>
      <c r="E18" s="632">
        <v>7.97</v>
      </c>
      <c r="F18" s="632">
        <v>7.97</v>
      </c>
      <c r="G18" s="632">
        <v>7.97</v>
      </c>
      <c r="H18" s="622"/>
      <c r="I18" s="622"/>
      <c r="J18" s="622"/>
      <c r="K18" s="622"/>
      <c r="L18" s="622" t="s">
        <v>767</v>
      </c>
      <c r="M18" s="624" t="s">
        <v>716</v>
      </c>
      <c r="O18" s="670" t="s">
        <v>766</v>
      </c>
      <c r="P18" s="667">
        <f>D11</f>
        <v>3.1240122282366525E-2</v>
      </c>
      <c r="Q18" s="666">
        <f>E11</f>
        <v>2.8500926364796616E-2</v>
      </c>
      <c r="R18" s="666">
        <f>F11</f>
        <v>2.8500926364796616E-2</v>
      </c>
      <c r="S18" s="665">
        <f>G11</f>
        <v>2.8500926364796616E-2</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3.6410084249930072E-2</v>
      </c>
      <c r="Y18" s="666">
        <f>(U18*U15+Q18*Q15)/Y15</f>
        <v>3.7194624472035538E-2</v>
      </c>
      <c r="Z18" s="666">
        <f>(V18*V15+R18*R15)/Z15</f>
        <v>3.7194624472035538E-2</v>
      </c>
      <c r="AA18" s="665">
        <f>(W18*W15+S18*S15)/AA15</f>
        <v>3.7194624472035538E-2</v>
      </c>
    </row>
    <row r="19" spans="1:27" ht="53.4" thickBot="1">
      <c r="A19" s="567"/>
      <c r="C19" s="631" t="s">
        <v>765</v>
      </c>
      <c r="D19" s="632"/>
      <c r="E19" s="632"/>
      <c r="F19" s="632"/>
      <c r="G19" s="632"/>
      <c r="H19" s="622"/>
      <c r="I19" s="622"/>
      <c r="J19" s="622"/>
      <c r="K19" s="622"/>
      <c r="L19" s="622" t="s">
        <v>269</v>
      </c>
      <c r="M19" s="623"/>
      <c r="O19" s="664" t="s">
        <v>764</v>
      </c>
      <c r="P19" s="661">
        <f>D13</f>
        <v>9.2086572813314966E-3</v>
      </c>
      <c r="Q19" s="660">
        <f>E13</f>
        <v>8.4012239363742813E-3</v>
      </c>
      <c r="R19" s="660">
        <f>F13</f>
        <v>8.4012239363742813E-3</v>
      </c>
      <c r="S19" s="659">
        <f>G13</f>
        <v>8.4012239363742813E-3</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7.6569841188071128E-2</v>
      </c>
      <c r="Y19" s="660">
        <f>(U19*U15+Q19*Q15)/Y15</f>
        <v>8.0905415078096621E-2</v>
      </c>
      <c r="Z19" s="660">
        <f>(V19*V15+R19*R15)/Z15</f>
        <v>8.0905415078096621E-2</v>
      </c>
      <c r="AA19" s="659">
        <f>(W19*W15+S19*S15)/AA15</f>
        <v>8.0905415078096621E-2</v>
      </c>
    </row>
    <row r="20" spans="1:27">
      <c r="A20" s="567"/>
      <c r="C20" s="631"/>
      <c r="D20" s="632"/>
      <c r="E20" s="632"/>
      <c r="F20" s="632"/>
      <c r="G20" s="632"/>
      <c r="H20" s="622"/>
      <c r="I20" s="622"/>
      <c r="J20" s="622"/>
      <c r="K20" s="622"/>
      <c r="L20" s="622"/>
      <c r="M20" s="623"/>
    </row>
    <row r="21" spans="1:27">
      <c r="A21" s="567"/>
      <c r="C21" s="631" t="s">
        <v>59</v>
      </c>
      <c r="D21" s="622">
        <v>0</v>
      </c>
      <c r="E21" s="622">
        <v>0</v>
      </c>
      <c r="F21" s="621">
        <v>0</v>
      </c>
      <c r="G21" s="620">
        <v>0</v>
      </c>
      <c r="H21" s="622"/>
      <c r="I21" s="622"/>
      <c r="J21" s="622"/>
      <c r="K21" s="622"/>
      <c r="L21" s="622"/>
      <c r="M21" s="622"/>
    </row>
    <row r="22" spans="1:27">
      <c r="A22" s="567"/>
      <c r="C22" s="631" t="s">
        <v>712</v>
      </c>
      <c r="D22" s="622">
        <v>10</v>
      </c>
      <c r="E22" s="622">
        <v>10</v>
      </c>
      <c r="F22" s="621">
        <v>10</v>
      </c>
      <c r="G22" s="620">
        <v>10</v>
      </c>
      <c r="H22" s="622"/>
      <c r="I22" s="622"/>
      <c r="J22" s="622"/>
      <c r="K22" s="622"/>
      <c r="L22" s="622"/>
      <c r="M22" s="588"/>
    </row>
    <row r="23" spans="1:27">
      <c r="A23" s="567"/>
      <c r="C23" s="658" t="s">
        <v>58</v>
      </c>
      <c r="D23" s="622">
        <v>20</v>
      </c>
      <c r="E23" s="622">
        <v>20</v>
      </c>
      <c r="F23" s="621">
        <v>20</v>
      </c>
      <c r="G23" s="620">
        <v>20</v>
      </c>
      <c r="H23" s="588"/>
      <c r="I23" s="588"/>
      <c r="J23" s="588"/>
      <c r="K23" s="588"/>
      <c r="L23" s="588"/>
      <c r="M23" s="588"/>
    </row>
    <row r="24" spans="1:27">
      <c r="A24" s="567"/>
      <c r="C24" s="658" t="s">
        <v>60</v>
      </c>
      <c r="D24" s="622">
        <v>1</v>
      </c>
      <c r="E24" s="622">
        <v>1</v>
      </c>
      <c r="F24" s="621">
        <v>1</v>
      </c>
      <c r="G24" s="620">
        <v>1</v>
      </c>
      <c r="H24" s="588"/>
      <c r="I24" s="588"/>
      <c r="J24" s="588"/>
      <c r="K24" s="588"/>
      <c r="L24" s="588"/>
      <c r="M24" s="588"/>
    </row>
    <row r="25" spans="1:27">
      <c r="A25" s="567"/>
      <c r="C25" s="658"/>
      <c r="D25" s="588"/>
      <c r="E25" s="588"/>
      <c r="F25" s="588"/>
      <c r="G25" s="588"/>
      <c r="H25" s="588"/>
      <c r="I25" s="588"/>
      <c r="J25" s="588"/>
      <c r="K25" s="588"/>
      <c r="L25" s="588"/>
      <c r="M25" s="618"/>
    </row>
    <row r="26" spans="1:27">
      <c r="A26" s="567"/>
      <c r="C26" s="657" t="s">
        <v>264</v>
      </c>
      <c r="D26" s="657"/>
      <c r="E26" s="657"/>
      <c r="F26" s="657"/>
      <c r="G26" s="657"/>
      <c r="H26" s="618"/>
      <c r="I26" s="618"/>
      <c r="J26" s="618"/>
      <c r="K26" s="618"/>
      <c r="L26" s="619"/>
      <c r="M26" s="245"/>
    </row>
    <row r="27" spans="1:27">
      <c r="A27" s="567"/>
      <c r="C27" s="631" t="s">
        <v>763</v>
      </c>
      <c r="D27" s="608">
        <v>407676.16944836598</v>
      </c>
      <c r="E27" s="608">
        <v>371930.31388000195</v>
      </c>
      <c r="F27" s="656">
        <v>371930.31388000195</v>
      </c>
      <c r="G27" s="656">
        <v>371930.31388000195</v>
      </c>
      <c r="H27" s="612"/>
      <c r="I27" s="612"/>
      <c r="J27" s="612"/>
      <c r="K27" s="612"/>
      <c r="L27" s="588" t="s">
        <v>761</v>
      </c>
      <c r="M27" s="616" t="s">
        <v>709</v>
      </c>
    </row>
    <row r="28" spans="1:27">
      <c r="A28" s="567"/>
      <c r="C28" s="640" t="s">
        <v>762</v>
      </c>
      <c r="D28" s="604">
        <v>94</v>
      </c>
      <c r="E28" s="604">
        <v>94</v>
      </c>
      <c r="F28" s="604">
        <v>94</v>
      </c>
      <c r="G28" s="604">
        <v>94</v>
      </c>
      <c r="H28" s="588"/>
      <c r="I28" s="588"/>
      <c r="J28" s="588"/>
      <c r="K28" s="588"/>
      <c r="L28" s="588" t="s">
        <v>761</v>
      </c>
      <c r="M28" s="588"/>
    </row>
    <row r="29" spans="1:27">
      <c r="A29" s="567"/>
      <c r="C29" s="631" t="s">
        <v>705</v>
      </c>
      <c r="D29" s="608">
        <f>D30*D10</f>
        <v>47386.621139570459</v>
      </c>
      <c r="E29" s="608">
        <f>E30*E10</f>
        <v>44727.302826015723</v>
      </c>
      <c r="F29" s="608">
        <f>F30*F10</f>
        <v>52704.021047101713</v>
      </c>
      <c r="G29" s="608">
        <f>G30*G10</f>
        <v>56692.380157644715</v>
      </c>
      <c r="H29" s="588"/>
      <c r="I29" s="588"/>
      <c r="J29" s="588"/>
      <c r="K29" s="588"/>
      <c r="L29" s="588" t="s">
        <v>759</v>
      </c>
      <c r="M29" s="611" t="s">
        <v>701</v>
      </c>
    </row>
    <row r="30" spans="1:27">
      <c r="A30" s="567"/>
      <c r="C30" s="640" t="s">
        <v>760</v>
      </c>
      <c r="D30" s="605">
        <f>SUM(D31:D33)</f>
        <v>10.926177983733686</v>
      </c>
      <c r="E30" s="605">
        <f>SUM(E31:E33)</f>
        <v>11.304177983733688</v>
      </c>
      <c r="F30" s="605">
        <f>SUM(F31:F33)</f>
        <v>13.320177983733686</v>
      </c>
      <c r="G30" s="605">
        <f>SUM(G31:G33)</f>
        <v>14.328177983733687</v>
      </c>
      <c r="H30" s="655"/>
      <c r="I30" s="655"/>
      <c r="J30" s="655"/>
      <c r="K30" s="655"/>
      <c r="L30" s="588" t="s">
        <v>759</v>
      </c>
      <c r="M30" s="653"/>
    </row>
    <row r="31" spans="1:27">
      <c r="A31" s="567"/>
      <c r="C31" s="610" t="s">
        <v>703</v>
      </c>
      <c r="D31" s="604">
        <v>6.5471779837336861</v>
      </c>
      <c r="E31" s="604">
        <v>6.5471779837336861</v>
      </c>
      <c r="F31" s="604">
        <v>6.5471779837336861</v>
      </c>
      <c r="G31" s="604">
        <v>6.5471779837336861</v>
      </c>
      <c r="H31" s="655"/>
      <c r="I31" s="655"/>
      <c r="J31" s="655"/>
      <c r="K31" s="655"/>
      <c r="L31" s="588"/>
      <c r="M31" s="653"/>
    </row>
    <row r="32" spans="1:27">
      <c r="A32" s="567"/>
      <c r="C32" s="610" t="s">
        <v>700</v>
      </c>
      <c r="D32" s="604">
        <f>63*D12/1000</f>
        <v>3.9689999999999999</v>
      </c>
      <c r="E32" s="604">
        <f>69*E12/1000</f>
        <v>4.3470000000000004</v>
      </c>
      <c r="F32" s="604">
        <f>101*F12/1000</f>
        <v>6.3630000000000004</v>
      </c>
      <c r="G32" s="604">
        <f>117*G12/1000</f>
        <v>7.3710000000000004</v>
      </c>
      <c r="H32" s="655"/>
      <c r="I32" s="655"/>
      <c r="J32" s="655"/>
      <c r="K32" s="655"/>
      <c r="L32" s="588" t="s">
        <v>671</v>
      </c>
      <c r="M32" s="653"/>
    </row>
    <row r="33" spans="1:14">
      <c r="A33" s="567"/>
      <c r="C33" s="610" t="s">
        <v>699</v>
      </c>
      <c r="D33" s="604">
        <f>0.0220430107526882*D14</f>
        <v>0.41000000000000059</v>
      </c>
      <c r="E33" s="604">
        <f>0.0220430107526882*E14</f>
        <v>0.41000000000000059</v>
      </c>
      <c r="F33" s="604">
        <f>0.0220430107526882*F14</f>
        <v>0.41000000000000059</v>
      </c>
      <c r="G33" s="604">
        <f>0.0220430107526882*G14</f>
        <v>0.41000000000000059</v>
      </c>
      <c r="H33" s="655"/>
      <c r="I33" s="655"/>
      <c r="J33" s="655"/>
      <c r="K33" s="655"/>
      <c r="L33" s="588"/>
      <c r="M33" s="653"/>
    </row>
    <row r="34" spans="1:14">
      <c r="A34" s="567"/>
      <c r="C34" s="615"/>
      <c r="D34" s="605"/>
      <c r="E34" s="605"/>
      <c r="F34" s="605"/>
      <c r="G34" s="605"/>
      <c r="H34" s="598"/>
      <c r="I34" s="598"/>
      <c r="J34" s="245"/>
      <c r="K34" s="245"/>
      <c r="L34" s="597"/>
      <c r="M34" s="653"/>
    </row>
    <row r="35" spans="1:14">
      <c r="A35" s="567"/>
      <c r="C35" s="654" t="s">
        <v>698</v>
      </c>
      <c r="D35" s="605"/>
      <c r="E35" s="605"/>
      <c r="F35" s="605"/>
      <c r="G35" s="605"/>
      <c r="H35" s="601"/>
      <c r="I35" s="601"/>
      <c r="J35" s="245"/>
      <c r="K35" s="245"/>
      <c r="L35" s="597"/>
      <c r="M35" s="653"/>
    </row>
    <row r="36" spans="1:14">
      <c r="A36" s="567"/>
      <c r="C36" s="631"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4">
      <c r="A37" s="567"/>
    </row>
    <row r="38" spans="1:14">
      <c r="B38" s="1359" t="s">
        <v>695</v>
      </c>
      <c r="C38" s="1360"/>
      <c r="D38" s="582"/>
      <c r="E38" s="582"/>
      <c r="F38" s="582"/>
      <c r="G38" s="582"/>
      <c r="H38" s="582"/>
      <c r="I38" s="582"/>
      <c r="J38" s="582"/>
      <c r="K38" s="582"/>
      <c r="L38" s="584"/>
      <c r="M38" s="1340"/>
      <c r="N38" s="1340"/>
    </row>
    <row r="39" spans="1:14">
      <c r="B39" s="574" t="s">
        <v>694</v>
      </c>
      <c r="C39" s="1344" t="s">
        <v>757</v>
      </c>
      <c r="D39" s="1356"/>
      <c r="E39" s="1356"/>
      <c r="F39" s="1356"/>
      <c r="G39" s="1356"/>
      <c r="H39" s="1356"/>
      <c r="I39" s="1356"/>
      <c r="J39" s="1356"/>
      <c r="K39" s="1356"/>
      <c r="L39" s="1357"/>
      <c r="M39" s="1357"/>
      <c r="N39" s="1357"/>
    </row>
    <row r="40" spans="1:14" ht="14.4">
      <c r="A40" s="652"/>
      <c r="B40" s="574" t="s">
        <v>692</v>
      </c>
      <c r="C40" s="1344" t="s">
        <v>756</v>
      </c>
      <c r="D40" s="1356"/>
      <c r="E40" s="1356"/>
      <c r="F40" s="1356"/>
      <c r="G40" s="1356"/>
      <c r="H40" s="1356"/>
      <c r="I40" s="1356"/>
      <c r="J40" s="1356"/>
      <c r="K40" s="1356"/>
      <c r="L40" s="1357"/>
      <c r="M40" s="1357"/>
      <c r="N40" s="1357"/>
    </row>
    <row r="41" spans="1:14" ht="34.200000000000003">
      <c r="B41" s="574" t="s">
        <v>272</v>
      </c>
      <c r="C41" s="577" t="s">
        <v>755</v>
      </c>
      <c r="D41" s="1341" t="s">
        <v>755</v>
      </c>
      <c r="E41" s="1357"/>
      <c r="F41" s="1357"/>
      <c r="G41" s="1357"/>
      <c r="H41" s="1357"/>
      <c r="I41" s="1357"/>
      <c r="J41" s="1357"/>
      <c r="K41" s="1357"/>
      <c r="L41" s="1357"/>
      <c r="M41" s="1357"/>
      <c r="N41" s="1357"/>
    </row>
    <row r="42" spans="1:14">
      <c r="B42" s="574" t="s">
        <v>269</v>
      </c>
      <c r="D42" s="1344" t="s">
        <v>754</v>
      </c>
      <c r="E42" s="1356"/>
      <c r="F42" s="1356"/>
      <c r="G42" s="1356"/>
      <c r="H42" s="1356"/>
      <c r="I42" s="1356"/>
      <c r="J42" s="1356"/>
      <c r="K42" s="1356"/>
      <c r="L42" s="1356"/>
      <c r="M42" s="1357"/>
      <c r="N42" s="1357"/>
    </row>
    <row r="43" spans="1:14">
      <c r="B43" s="574" t="s">
        <v>266</v>
      </c>
      <c r="C43" s="1344" t="s">
        <v>753</v>
      </c>
      <c r="D43" s="1356"/>
      <c r="E43" s="1356"/>
      <c r="F43" s="1356"/>
      <c r="G43" s="1356"/>
      <c r="H43" s="1356"/>
      <c r="I43" s="1356"/>
      <c r="J43" s="1356"/>
      <c r="K43" s="1356"/>
      <c r="L43" s="584"/>
      <c r="M43" s="1340"/>
      <c r="N43" s="1340"/>
    </row>
    <row r="44" spans="1:14">
      <c r="B44" s="574" t="s">
        <v>255</v>
      </c>
      <c r="C44" s="1344" t="s">
        <v>752</v>
      </c>
      <c r="D44" s="1356"/>
      <c r="E44" s="1356"/>
      <c r="F44" s="1356"/>
      <c r="G44" s="1356"/>
      <c r="H44" s="1356"/>
      <c r="I44" s="1356"/>
      <c r="J44" s="1356"/>
      <c r="K44" s="1356"/>
      <c r="L44" s="1357"/>
      <c r="M44" s="1357"/>
      <c r="N44" s="1357"/>
    </row>
    <row r="45" spans="1:14">
      <c r="B45" s="574" t="s">
        <v>389</v>
      </c>
      <c r="C45" s="1340" t="s">
        <v>751</v>
      </c>
      <c r="D45" s="1340"/>
      <c r="E45" s="1340"/>
      <c r="F45" s="1340"/>
      <c r="G45" s="1340"/>
      <c r="H45" s="1340"/>
      <c r="I45" s="1340"/>
      <c r="J45" s="1340"/>
      <c r="K45" s="1340"/>
      <c r="L45" s="1358"/>
      <c r="M45" s="1358"/>
      <c r="N45" s="1358"/>
    </row>
    <row r="46" spans="1:14">
      <c r="B46" s="574" t="s">
        <v>393</v>
      </c>
      <c r="C46" s="1340" t="s">
        <v>750</v>
      </c>
      <c r="D46" s="1340"/>
      <c r="E46" s="1340"/>
      <c r="F46" s="1340"/>
      <c r="G46" s="1340"/>
      <c r="H46" s="1340"/>
      <c r="I46" s="1340"/>
      <c r="J46" s="1340"/>
      <c r="K46" s="1340"/>
      <c r="L46" s="1358"/>
    </row>
    <row r="47" spans="1:14">
      <c r="B47" s="574" t="s">
        <v>673</v>
      </c>
      <c r="C47" s="1341" t="s">
        <v>672</v>
      </c>
      <c r="D47" s="1341"/>
      <c r="E47" s="1341"/>
      <c r="F47" s="1341"/>
      <c r="G47" s="1341"/>
      <c r="H47" s="1341"/>
      <c r="I47" s="1341"/>
      <c r="J47" s="1341"/>
      <c r="K47" s="1341"/>
    </row>
    <row r="48" spans="1:14">
      <c r="B48" s="574" t="s">
        <v>671</v>
      </c>
    </row>
    <row r="49" spans="2:14" ht="13.8">
      <c r="B49" s="574"/>
      <c r="C49" s="570"/>
      <c r="D49" s="569"/>
      <c r="E49" s="569"/>
      <c r="F49" s="569"/>
      <c r="G49" s="569"/>
      <c r="H49" s="569"/>
      <c r="I49" s="569"/>
      <c r="J49" s="569"/>
      <c r="K49" s="569"/>
      <c r="L49" s="569"/>
      <c r="M49" s="569"/>
      <c r="N49" s="569"/>
    </row>
    <row r="50" spans="2:14">
      <c r="B50" s="571" t="s">
        <v>669</v>
      </c>
      <c r="C50" s="582"/>
      <c r="D50" s="582"/>
      <c r="E50" s="582"/>
      <c r="F50" s="582"/>
      <c r="G50" s="582"/>
      <c r="H50" s="582"/>
      <c r="I50" s="582"/>
      <c r="J50" s="582"/>
    </row>
    <row r="51" spans="2:14">
      <c r="B51" s="567">
        <v>5</v>
      </c>
      <c r="D51" s="651" t="s">
        <v>668</v>
      </c>
      <c r="E51" s="651"/>
      <c r="F51" s="651"/>
      <c r="G51" s="651"/>
      <c r="H51" s="651"/>
      <c r="I51" s="651"/>
      <c r="J51" s="651"/>
      <c r="K51" s="651"/>
      <c r="L51" s="651"/>
    </row>
    <row r="52" spans="2:14">
      <c r="B52" s="567">
        <v>8</v>
      </c>
      <c r="D52" s="651" t="s">
        <v>667</v>
      </c>
      <c r="E52" s="651"/>
      <c r="F52" s="651"/>
      <c r="G52" s="651"/>
      <c r="H52" s="651"/>
      <c r="I52" s="651"/>
      <c r="J52" s="651"/>
    </row>
    <row r="53" spans="2:14">
      <c r="B53" s="567">
        <v>9</v>
      </c>
      <c r="D53" s="651" t="s">
        <v>666</v>
      </c>
      <c r="E53" s="651"/>
      <c r="F53" s="651"/>
      <c r="G53" s="651"/>
      <c r="H53" s="651"/>
      <c r="I53" s="651"/>
      <c r="J53" s="651"/>
      <c r="K53" s="651"/>
      <c r="L53" s="651"/>
    </row>
    <row r="54" spans="2:14">
      <c r="B54" s="567">
        <v>12</v>
      </c>
      <c r="D54" s="651" t="s">
        <v>665</v>
      </c>
      <c r="E54" s="651"/>
      <c r="F54" s="651"/>
      <c r="G54" s="651"/>
      <c r="H54" s="651"/>
      <c r="I54" s="651"/>
      <c r="J54" s="651"/>
      <c r="K54" s="651"/>
      <c r="L54" s="651"/>
    </row>
    <row r="57" spans="2:14" ht="13.8" thickBot="1"/>
    <row r="58" spans="2:14">
      <c r="D58" s="304"/>
      <c r="E58" s="104" t="s">
        <v>425</v>
      </c>
      <c r="F58" s="104" t="s">
        <v>426</v>
      </c>
      <c r="G58" s="305" t="s">
        <v>427</v>
      </c>
    </row>
    <row r="59" spans="2:14">
      <c r="D59" s="311" t="s">
        <v>432</v>
      </c>
      <c r="E59" s="312">
        <v>0.73499999999999999</v>
      </c>
      <c r="F59" s="69">
        <v>0.44</v>
      </c>
      <c r="G59" s="313">
        <v>0.44</v>
      </c>
    </row>
    <row r="60" spans="2:14">
      <c r="D60" s="311" t="s">
        <v>434</v>
      </c>
      <c r="E60" s="299">
        <v>0.08</v>
      </c>
      <c r="F60" s="69">
        <v>2</v>
      </c>
      <c r="G60" s="313">
        <v>0.2</v>
      </c>
    </row>
    <row r="61" spans="2:14">
      <c r="D61" s="311" t="s">
        <v>436</v>
      </c>
      <c r="E61" s="312">
        <v>6.0999999999999999E-2</v>
      </c>
      <c r="F61" s="69">
        <v>1.57</v>
      </c>
      <c r="G61" s="313">
        <v>0.12</v>
      </c>
    </row>
    <row r="62" spans="2:14">
      <c r="D62" s="311" t="s">
        <v>437</v>
      </c>
      <c r="E62" s="312">
        <v>6.3E-2</v>
      </c>
      <c r="F62" s="69">
        <v>7.27</v>
      </c>
      <c r="G62" s="316"/>
    </row>
    <row r="63" spans="2:14">
      <c r="D63" s="311" t="s">
        <v>438</v>
      </c>
      <c r="E63" s="299">
        <v>0.01</v>
      </c>
      <c r="F63" s="69">
        <v>4.83</v>
      </c>
      <c r="G63" s="313">
        <v>0.06</v>
      </c>
    </row>
    <row r="64" spans="2:14">
      <c r="D64" s="311" t="s">
        <v>439</v>
      </c>
      <c r="E64" s="312">
        <v>1.6E-2</v>
      </c>
      <c r="F64" s="69">
        <v>3.41</v>
      </c>
      <c r="G64" s="313">
        <v>7.0000000000000007E-2</v>
      </c>
    </row>
    <row r="65" spans="4:7">
      <c r="D65" s="311" t="s">
        <v>440</v>
      </c>
      <c r="F65" s="69">
        <f>(1.5+3.5)/2</f>
        <v>2.5</v>
      </c>
      <c r="G65" s="316"/>
    </row>
    <row r="66" spans="4:7">
      <c r="D66" s="311" t="s">
        <v>441</v>
      </c>
      <c r="E66" s="312">
        <v>3.5000000000000003E-2</v>
      </c>
      <c r="F66" s="69">
        <v>3.5</v>
      </c>
      <c r="G66" s="313">
        <v>0.11</v>
      </c>
    </row>
    <row r="67" spans="4:7" ht="13.8" thickBot="1">
      <c r="D67" s="325"/>
      <c r="E67" s="326">
        <f>SUM(E59:E66)</f>
        <v>0.99999999999999989</v>
      </c>
      <c r="F67" s="107"/>
      <c r="G67" s="327">
        <f>SUM(G59:G66)</f>
        <v>1.0000000000000002</v>
      </c>
    </row>
  </sheetData>
  <mergeCells count="21">
    <mergeCell ref="X13:AA13"/>
    <mergeCell ref="T13:W13"/>
    <mergeCell ref="P13:S13"/>
    <mergeCell ref="C43:K43"/>
    <mergeCell ref="M43:N43"/>
    <mergeCell ref="C44:N44"/>
    <mergeCell ref="C45:N45"/>
    <mergeCell ref="C46:L46"/>
    <mergeCell ref="C47:K47"/>
    <mergeCell ref="B38:C38"/>
    <mergeCell ref="M38:N38"/>
    <mergeCell ref="C39:N39"/>
    <mergeCell ref="C40:N40"/>
    <mergeCell ref="D41:N41"/>
    <mergeCell ref="D42:N42"/>
    <mergeCell ref="D7:G7"/>
    <mergeCell ref="D1:L1"/>
    <mergeCell ref="D3:M3"/>
    <mergeCell ref="H4:I4"/>
    <mergeCell ref="J4:K4"/>
    <mergeCell ref="D6:G6"/>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O20" sqref="O20"/>
    </sheetView>
  </sheetViews>
  <sheetFormatPr defaultColWidth="9.109375" defaultRowHeight="13.2"/>
  <cols>
    <col min="1" max="1" width="4.44140625" style="69" customWidth="1"/>
    <col min="2" max="2" width="0" style="69" hidden="1" customWidth="1"/>
    <col min="3" max="3" width="44.88671875" style="69" customWidth="1"/>
    <col min="4" max="4" width="11.6640625" style="69" customWidth="1"/>
    <col min="5" max="5" width="9.88671875" style="69" customWidth="1"/>
    <col min="6" max="6" width="10.44140625" style="69" customWidth="1"/>
    <col min="7" max="7" width="12.4414062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26.44140625" style="69" customWidth="1"/>
    <col min="16" max="16" width="22.88671875" style="69" bestFit="1" customWidth="1"/>
    <col min="17" max="16384" width="9.109375" style="69"/>
  </cols>
  <sheetData>
    <row r="1" spans="1:27" ht="21">
      <c r="A1" s="567"/>
      <c r="C1" s="650" t="s">
        <v>749</v>
      </c>
      <c r="D1" s="1334" t="s">
        <v>809</v>
      </c>
      <c r="E1" s="1334"/>
      <c r="F1" s="1334"/>
      <c r="G1" s="1334"/>
      <c r="H1" s="1334"/>
      <c r="I1" s="1334"/>
      <c r="J1" s="1334"/>
      <c r="K1" s="1334"/>
      <c r="L1" s="1334"/>
      <c r="M1" s="1334"/>
    </row>
    <row r="2" spans="1:27">
      <c r="A2" s="567"/>
    </row>
    <row r="3" spans="1:27">
      <c r="A3" s="567"/>
      <c r="C3" s="618" t="s">
        <v>296</v>
      </c>
      <c r="D3" s="1336" t="s">
        <v>809</v>
      </c>
      <c r="E3" s="1367"/>
      <c r="F3" s="1367"/>
      <c r="G3" s="1367"/>
      <c r="H3" s="1367"/>
      <c r="I3" s="1367"/>
      <c r="J3" s="1367"/>
      <c r="K3" s="1367"/>
      <c r="L3" s="1367"/>
      <c r="M3" s="1339"/>
    </row>
    <row r="4" spans="1:27">
      <c r="A4" s="567"/>
      <c r="C4" s="613"/>
      <c r="D4" s="619">
        <v>2015</v>
      </c>
      <c r="E4" s="619">
        <v>2020</v>
      </c>
      <c r="F4" s="619">
        <v>2030</v>
      </c>
      <c r="G4" s="619">
        <v>2050</v>
      </c>
      <c r="H4" s="1336" t="s">
        <v>290</v>
      </c>
      <c r="I4" s="1339"/>
      <c r="J4" s="1336" t="s">
        <v>289</v>
      </c>
      <c r="K4" s="1339"/>
      <c r="L4" s="619" t="s">
        <v>288</v>
      </c>
      <c r="M4" s="619" t="s">
        <v>287</v>
      </c>
      <c r="P4" s="69" t="s">
        <v>808</v>
      </c>
    </row>
    <row r="5" spans="1:27" ht="13.8" thickBot="1">
      <c r="A5" s="567"/>
      <c r="C5" s="618" t="s">
        <v>282</v>
      </c>
      <c r="D5" s="618"/>
      <c r="E5" s="618"/>
      <c r="F5" s="618"/>
      <c r="G5" s="618"/>
      <c r="H5" s="618" t="s">
        <v>284</v>
      </c>
      <c r="I5" s="618" t="s">
        <v>283</v>
      </c>
      <c r="J5" s="618" t="s">
        <v>284</v>
      </c>
      <c r="K5" s="618" t="s">
        <v>283</v>
      </c>
      <c r="L5" s="618"/>
      <c r="M5" s="618"/>
    </row>
    <row r="6" spans="1:27">
      <c r="A6" s="567"/>
      <c r="C6" s="613" t="s">
        <v>807</v>
      </c>
      <c r="D6" s="1368">
        <v>1</v>
      </c>
      <c r="E6" s="1369"/>
      <c r="F6" s="1369"/>
      <c r="G6" s="1370"/>
      <c r="H6" s="588"/>
      <c r="I6" s="588"/>
      <c r="J6" s="588"/>
      <c r="K6" s="588"/>
      <c r="L6" s="588" t="s">
        <v>734</v>
      </c>
      <c r="M6" s="588"/>
      <c r="P6" s="304" t="s">
        <v>526</v>
      </c>
      <c r="Q6" s="305"/>
    </row>
    <row r="7" spans="1:27">
      <c r="A7" s="567"/>
      <c r="C7" s="613"/>
      <c r="D7" s="1364"/>
      <c r="E7" s="1365"/>
      <c r="F7" s="1365"/>
      <c r="G7" s="1366"/>
      <c r="H7" s="588"/>
      <c r="I7" s="588"/>
      <c r="J7" s="588"/>
      <c r="K7" s="588"/>
      <c r="L7" s="588"/>
      <c r="M7" s="588"/>
      <c r="P7" s="687" t="s">
        <v>780</v>
      </c>
      <c r="Q7" s="315">
        <v>12.16</v>
      </c>
    </row>
    <row r="8" spans="1:27" ht="13.8" thickBot="1">
      <c r="A8" s="567"/>
      <c r="C8" s="642" t="s">
        <v>737</v>
      </c>
      <c r="D8" s="588"/>
      <c r="E8" s="588"/>
      <c r="F8" s="588"/>
      <c r="G8" s="588"/>
      <c r="H8" s="588"/>
      <c r="I8" s="588"/>
      <c r="J8" s="588"/>
      <c r="K8" s="588"/>
      <c r="L8" s="588"/>
      <c r="M8" s="588"/>
      <c r="P8" s="698"/>
      <c r="Q8" s="330"/>
    </row>
    <row r="9" spans="1:27">
      <c r="A9" s="567"/>
      <c r="C9" s="615" t="s">
        <v>806</v>
      </c>
      <c r="D9" s="712" t="s">
        <v>805</v>
      </c>
      <c r="E9" s="712" t="s">
        <v>805</v>
      </c>
      <c r="F9" s="712" t="s">
        <v>805</v>
      </c>
      <c r="G9" s="712" t="s">
        <v>805</v>
      </c>
      <c r="H9" s="622"/>
      <c r="I9" s="622"/>
      <c r="J9" s="622"/>
      <c r="K9" s="622"/>
      <c r="L9" s="622" t="s">
        <v>786</v>
      </c>
      <c r="M9" s="622"/>
    </row>
    <row r="10" spans="1:27">
      <c r="A10" s="567"/>
      <c r="C10" s="708" t="s">
        <v>804</v>
      </c>
      <c r="D10" s="696">
        <v>6529.1925465838513</v>
      </c>
      <c r="E10" s="696">
        <v>6529.1925465838513</v>
      </c>
      <c r="F10" s="696">
        <v>6529.1925465838513</v>
      </c>
      <c r="G10" s="696">
        <v>6529.1925465838513</v>
      </c>
      <c r="H10" s="622"/>
      <c r="I10" s="622"/>
      <c r="J10" s="622"/>
      <c r="K10" s="622"/>
      <c r="L10" s="622"/>
      <c r="M10" s="622">
        <v>5</v>
      </c>
    </row>
    <row r="11" spans="1:27">
      <c r="A11" s="567"/>
      <c r="C11" s="615" t="s">
        <v>803</v>
      </c>
      <c r="D11" s="694">
        <v>7.6770186335403728E-3</v>
      </c>
      <c r="E11" s="694">
        <v>7.6770186335403728E-3</v>
      </c>
      <c r="F11" s="694">
        <v>7.6770186335403728E-3</v>
      </c>
      <c r="G11" s="694">
        <v>7.6770186335403728E-3</v>
      </c>
      <c r="H11" s="245"/>
      <c r="I11" s="245"/>
      <c r="J11" s="245"/>
      <c r="K11" s="245"/>
      <c r="L11" s="622"/>
      <c r="M11" s="653" t="s">
        <v>800</v>
      </c>
    </row>
    <row r="12" spans="1:27" ht="13.8" thickBot="1">
      <c r="A12" s="567"/>
      <c r="C12" s="708" t="s">
        <v>802</v>
      </c>
      <c r="D12" s="693">
        <v>10.3</v>
      </c>
      <c r="E12" s="693">
        <v>10.3</v>
      </c>
      <c r="F12" s="693">
        <v>10.3</v>
      </c>
      <c r="G12" s="693">
        <v>10.3</v>
      </c>
      <c r="H12" s="245"/>
      <c r="I12" s="245"/>
      <c r="J12" s="245"/>
      <c r="K12" s="245"/>
      <c r="L12" s="622" t="s">
        <v>694</v>
      </c>
      <c r="M12" s="653"/>
      <c r="P12" s="69" t="s">
        <v>776</v>
      </c>
    </row>
    <row r="13" spans="1:27">
      <c r="A13" s="567"/>
      <c r="C13" s="711" t="s">
        <v>801</v>
      </c>
      <c r="D13" s="694">
        <v>1.3863354037267081E-2</v>
      </c>
      <c r="E13" s="694">
        <v>1.3863354037267081E-2</v>
      </c>
      <c r="F13" s="694">
        <v>1.3863354037267081E-2</v>
      </c>
      <c r="G13" s="694">
        <v>1.3863354037267081E-2</v>
      </c>
      <c r="H13" s="635"/>
      <c r="I13" s="635"/>
      <c r="J13" s="622"/>
      <c r="K13" s="622"/>
      <c r="L13" s="622"/>
      <c r="M13" s="624" t="s">
        <v>800</v>
      </c>
      <c r="O13" s="304"/>
      <c r="P13" s="1361" t="s">
        <v>775</v>
      </c>
      <c r="Q13" s="1362"/>
      <c r="R13" s="1362"/>
      <c r="S13" s="1363"/>
      <c r="T13" s="1362" t="s">
        <v>774</v>
      </c>
      <c r="U13" s="1362"/>
      <c r="V13" s="1362"/>
      <c r="W13" s="1362"/>
      <c r="X13" s="1361" t="s">
        <v>773</v>
      </c>
      <c r="Y13" s="1362"/>
      <c r="Z13" s="1362"/>
      <c r="AA13" s="1363"/>
    </row>
    <row r="14" spans="1:27">
      <c r="A14" s="567"/>
      <c r="C14" s="710" t="s">
        <v>799</v>
      </c>
      <c r="D14" s="693">
        <v>18.600000000000001</v>
      </c>
      <c r="E14" s="693">
        <v>18.600000000000001</v>
      </c>
      <c r="F14" s="693">
        <v>18.600000000000001</v>
      </c>
      <c r="G14" s="693">
        <v>18.600000000000001</v>
      </c>
      <c r="H14" s="622"/>
      <c r="I14" s="622"/>
      <c r="J14" s="622"/>
      <c r="K14" s="622"/>
      <c r="L14" s="597" t="s">
        <v>694</v>
      </c>
      <c r="M14" s="624"/>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c r="A15" s="567"/>
      <c r="C15" s="245"/>
      <c r="D15" s="245"/>
      <c r="E15" s="245"/>
      <c r="F15" s="245"/>
      <c r="G15" s="245"/>
      <c r="H15" s="622"/>
      <c r="I15" s="622"/>
      <c r="J15" s="622"/>
      <c r="K15" s="622"/>
      <c r="L15" s="597"/>
      <c r="M15" s="245"/>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c r="A16" s="567"/>
      <c r="C16" s="633" t="s">
        <v>721</v>
      </c>
      <c r="D16" s="632"/>
      <c r="E16" s="632"/>
      <c r="F16" s="631"/>
      <c r="G16" s="631"/>
      <c r="H16" s="622"/>
      <c r="I16" s="622"/>
      <c r="J16" s="622"/>
      <c r="K16" s="622"/>
      <c r="L16" s="622"/>
      <c r="M16" s="623"/>
      <c r="O16" s="682" t="s">
        <v>770</v>
      </c>
      <c r="P16" s="679">
        <f>D27/1000000</f>
        <v>0.27605042016806719</v>
      </c>
      <c r="Q16" s="579">
        <f>E27/1000000</f>
        <v>0.27605042016806719</v>
      </c>
      <c r="R16" s="579">
        <f>F27/1000000</f>
        <v>0.27605042016806719</v>
      </c>
      <c r="S16" s="678">
        <f>G27/1000000</f>
        <v>0.27605042016806719</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 t="shared" ref="X16:AA17" si="0">(T16*T15+P16*P15)/X15</f>
        <v>1.6639629260921989</v>
      </c>
      <c r="Y16" s="579">
        <f t="shared" si="0"/>
        <v>1.5625300548287671</v>
      </c>
      <c r="Z16" s="579">
        <f t="shared" si="0"/>
        <v>1.4091279478566123</v>
      </c>
      <c r="AA16" s="678">
        <f t="shared" si="0"/>
        <v>1.2710660515816732</v>
      </c>
    </row>
    <row r="17" spans="1:27" ht="13.8" thickBot="1">
      <c r="A17" s="567"/>
      <c r="C17" s="628" t="s">
        <v>798</v>
      </c>
      <c r="D17" s="676">
        <v>1</v>
      </c>
      <c r="E17" s="676">
        <v>1</v>
      </c>
      <c r="F17" s="676">
        <v>1</v>
      </c>
      <c r="G17" s="676">
        <v>1</v>
      </c>
      <c r="H17" s="622"/>
      <c r="I17" s="622"/>
      <c r="J17" s="622"/>
      <c r="K17" s="622"/>
      <c r="L17" s="622" t="s">
        <v>767</v>
      </c>
      <c r="M17" s="626"/>
      <c r="O17" s="675" t="s">
        <v>769</v>
      </c>
      <c r="P17" s="673">
        <f>D29/1000000</f>
        <v>4.95002802219816E-2</v>
      </c>
      <c r="Q17" s="672">
        <f>E29/1000000</f>
        <v>4.990378432136048E-2</v>
      </c>
      <c r="R17" s="672">
        <f>F29/1000000</f>
        <v>5.2055806184714511E-2</v>
      </c>
      <c r="S17" s="671">
        <f>G29/1000000</f>
        <v>5.3131817116391526E-2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0.2249383236839311</v>
      </c>
      <c r="Y17" s="672">
        <f t="shared" si="0"/>
        <v>0.22199470366707508</v>
      </c>
      <c r="Z17" s="672">
        <f t="shared" si="0"/>
        <v>0.2262088525021039</v>
      </c>
      <c r="AA17" s="671">
        <f t="shared" si="0"/>
        <v>0.22490706833919052</v>
      </c>
    </row>
    <row r="18" spans="1:27" ht="26.4">
      <c r="A18" s="567"/>
      <c r="C18" s="615" t="s">
        <v>797</v>
      </c>
      <c r="D18" s="632">
        <v>4.83</v>
      </c>
      <c r="E18" s="632">
        <v>4.83</v>
      </c>
      <c r="F18" s="632">
        <v>4.83</v>
      </c>
      <c r="G18" s="632">
        <v>4.83</v>
      </c>
      <c r="H18" s="622"/>
      <c r="I18" s="622"/>
      <c r="J18" s="622"/>
      <c r="K18" s="622"/>
      <c r="L18" s="622" t="s">
        <v>796</v>
      </c>
      <c r="M18" s="624" t="s">
        <v>795</v>
      </c>
      <c r="O18" s="670" t="s">
        <v>766</v>
      </c>
      <c r="P18" s="667">
        <f>D11</f>
        <v>7.6770186335403728E-3</v>
      </c>
      <c r="Q18" s="666">
        <f>E11</f>
        <v>7.6770186335403728E-3</v>
      </c>
      <c r="R18" s="666">
        <f>F11</f>
        <v>7.6770186335403728E-3</v>
      </c>
      <c r="S18" s="665">
        <f>G11</f>
        <v>7.6770186335403728E-3</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3.4109391586648982E-2</v>
      </c>
      <c r="Y18" s="666">
        <f>(U18*U15+Q18*Q15)/Y15</f>
        <v>3.5044044606867872E-2</v>
      </c>
      <c r="Z18" s="666">
        <f>(V18*V15+R18*R15)/Z15</f>
        <v>3.5044044606867872E-2</v>
      </c>
      <c r="AA18" s="665">
        <f>(W18*W15+S18*S15)/AA15</f>
        <v>3.5044044606867872E-2</v>
      </c>
    </row>
    <row r="19" spans="1:27" ht="27" thickBot="1">
      <c r="A19" s="567"/>
      <c r="C19" s="615" t="s">
        <v>765</v>
      </c>
      <c r="D19" s="632"/>
      <c r="E19" s="632"/>
      <c r="F19" s="632"/>
      <c r="G19" s="632"/>
      <c r="H19" s="622"/>
      <c r="I19" s="622"/>
      <c r="J19" s="622"/>
      <c r="K19" s="622"/>
      <c r="L19" s="622" t="s">
        <v>269</v>
      </c>
      <c r="M19" s="245"/>
      <c r="O19" s="664" t="s">
        <v>764</v>
      </c>
      <c r="P19" s="661">
        <f>D13</f>
        <v>1.3863354037267081E-2</v>
      </c>
      <c r="Q19" s="660">
        <f>E13</f>
        <v>1.3863354037267081E-2</v>
      </c>
      <c r="R19" s="660">
        <f>F13</f>
        <v>1.3863354037267081E-2</v>
      </c>
      <c r="S19" s="659">
        <f>G13</f>
        <v>1.3863354037267081E-2</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7.7024324045498652E-2</v>
      </c>
      <c r="Y19" s="660">
        <f>(U19*U15+Q19*Q15)/Y15</f>
        <v>8.1469514149582353E-2</v>
      </c>
      <c r="Z19" s="660">
        <f>(V19*V15+R19*R15)/Z15</f>
        <v>8.1469514149582353E-2</v>
      </c>
      <c r="AA19" s="659">
        <f>(W19*W15+S19*S15)/AA15</f>
        <v>8.1469514149582353E-2</v>
      </c>
    </row>
    <row r="20" spans="1:27">
      <c r="A20" s="567"/>
      <c r="C20" s="615"/>
      <c r="D20" s="632"/>
      <c r="E20" s="632"/>
      <c r="F20" s="632"/>
      <c r="G20" s="632"/>
      <c r="H20" s="588"/>
      <c r="I20" s="588"/>
      <c r="J20" s="588"/>
      <c r="K20" s="588"/>
      <c r="L20" s="622"/>
      <c r="M20" s="623"/>
    </row>
    <row r="21" spans="1:27">
      <c r="A21" s="567"/>
      <c r="C21" s="615" t="s">
        <v>59</v>
      </c>
      <c r="D21" s="622">
        <v>0</v>
      </c>
      <c r="E21" s="622">
        <v>0</v>
      </c>
      <c r="F21" s="621">
        <v>0</v>
      </c>
      <c r="G21" s="620">
        <v>0</v>
      </c>
      <c r="H21" s="588"/>
      <c r="I21" s="588"/>
      <c r="J21" s="588"/>
      <c r="K21" s="588"/>
      <c r="L21" s="622"/>
      <c r="M21" s="623"/>
    </row>
    <row r="22" spans="1:27">
      <c r="A22" s="567"/>
      <c r="C22" s="615" t="s">
        <v>712</v>
      </c>
      <c r="D22" s="622">
        <v>10</v>
      </c>
      <c r="E22" s="622">
        <v>10</v>
      </c>
      <c r="F22" s="622">
        <v>10</v>
      </c>
      <c r="G22" s="622">
        <v>10</v>
      </c>
      <c r="H22" s="588"/>
      <c r="I22" s="588"/>
      <c r="J22" s="588"/>
      <c r="K22" s="588"/>
      <c r="L22" s="622"/>
      <c r="M22" s="622"/>
    </row>
    <row r="23" spans="1:27">
      <c r="A23" s="567"/>
      <c r="C23" s="613" t="s">
        <v>58</v>
      </c>
      <c r="D23" s="622">
        <v>20</v>
      </c>
      <c r="E23" s="622">
        <v>20</v>
      </c>
      <c r="F23" s="621">
        <v>20</v>
      </c>
      <c r="G23" s="620">
        <v>20</v>
      </c>
      <c r="H23" s="588"/>
      <c r="I23" s="588"/>
      <c r="J23" s="588"/>
      <c r="K23" s="588"/>
      <c r="L23" s="588"/>
      <c r="M23" s="588"/>
    </row>
    <row r="24" spans="1:27">
      <c r="A24" s="567"/>
      <c r="C24" s="613" t="s">
        <v>60</v>
      </c>
      <c r="D24" s="622">
        <v>1</v>
      </c>
      <c r="E24" s="622">
        <v>1</v>
      </c>
      <c r="F24" s="621">
        <v>1</v>
      </c>
      <c r="G24" s="620">
        <v>1</v>
      </c>
      <c r="H24" s="612"/>
      <c r="I24" s="612"/>
      <c r="J24" s="612"/>
      <c r="K24" s="612"/>
      <c r="L24" s="588"/>
      <c r="M24" s="588"/>
    </row>
    <row r="25" spans="1:27">
      <c r="A25" s="567"/>
      <c r="C25" s="613"/>
      <c r="D25" s="588"/>
      <c r="E25" s="588"/>
      <c r="F25" s="588"/>
      <c r="G25" s="588"/>
      <c r="H25" s="588"/>
      <c r="I25" s="588"/>
      <c r="J25" s="588"/>
      <c r="K25" s="588"/>
      <c r="L25" s="588"/>
      <c r="M25" s="588"/>
    </row>
    <row r="26" spans="1:27">
      <c r="A26" s="567"/>
      <c r="C26" s="657" t="s">
        <v>264</v>
      </c>
      <c r="D26" s="709"/>
      <c r="E26" s="709"/>
      <c r="F26" s="709"/>
      <c r="G26" s="709"/>
      <c r="H26" s="588"/>
      <c r="I26" s="588"/>
      <c r="J26" s="588"/>
      <c r="K26" s="588"/>
      <c r="L26" s="619"/>
      <c r="M26" s="618"/>
    </row>
    <row r="27" spans="1:27">
      <c r="A27" s="567"/>
      <c r="C27" s="615" t="s">
        <v>794</v>
      </c>
      <c r="D27" s="614">
        <v>276050.42016806721</v>
      </c>
      <c r="E27" s="614">
        <v>276050.42016806721</v>
      </c>
      <c r="F27" s="614">
        <v>276050.42016806721</v>
      </c>
      <c r="G27" s="614">
        <v>276050.42016806721</v>
      </c>
      <c r="H27" s="655"/>
      <c r="I27" s="655"/>
      <c r="J27" s="655"/>
      <c r="K27" s="655"/>
      <c r="L27" s="588" t="s">
        <v>792</v>
      </c>
      <c r="M27" s="624" t="s">
        <v>701</v>
      </c>
    </row>
    <row r="28" spans="1:27">
      <c r="A28" s="567"/>
      <c r="C28" s="708" t="s">
        <v>793</v>
      </c>
      <c r="D28" s="604">
        <v>42.279411764705877</v>
      </c>
      <c r="E28" s="604">
        <v>42.279411764705877</v>
      </c>
      <c r="F28" s="604">
        <v>42.279411764705877</v>
      </c>
      <c r="G28" s="604">
        <v>42.279411764705877</v>
      </c>
      <c r="H28" s="588"/>
      <c r="I28" s="588"/>
      <c r="J28" s="588"/>
      <c r="K28" s="588"/>
      <c r="L28" s="588" t="s">
        <v>792</v>
      </c>
      <c r="M28" s="707"/>
    </row>
    <row r="29" spans="1:27">
      <c r="A29" s="567"/>
      <c r="C29" s="615" t="s">
        <v>705</v>
      </c>
      <c r="D29" s="614">
        <f>D30*D10</f>
        <v>49500.2802219816</v>
      </c>
      <c r="E29" s="614">
        <f>E30*E10</f>
        <v>49903.784321360479</v>
      </c>
      <c r="F29" s="614">
        <f>F30*F10</f>
        <v>52055.806184714507</v>
      </c>
      <c r="G29" s="614">
        <f>G30*G10</f>
        <v>53131.817116391525</v>
      </c>
      <c r="H29" s="598"/>
      <c r="I29" s="598"/>
      <c r="J29" s="245"/>
      <c r="K29" s="245"/>
      <c r="L29" s="588" t="s">
        <v>790</v>
      </c>
      <c r="M29" s="624" t="s">
        <v>701</v>
      </c>
    </row>
    <row r="30" spans="1:27">
      <c r="A30" s="567"/>
      <c r="C30" s="708" t="s">
        <v>791</v>
      </c>
      <c r="D30" s="605">
        <f>D31+D32+D33</f>
        <v>7.5813785347593576</v>
      </c>
      <c r="E30" s="605">
        <f>E31+E32+E33</f>
        <v>7.6431785347593575</v>
      </c>
      <c r="F30" s="605">
        <f>F31+F32+F33</f>
        <v>7.9727785347593567</v>
      </c>
      <c r="G30" s="605">
        <f>G31+G32+G33</f>
        <v>8.1375785347593563</v>
      </c>
      <c r="H30" s="601"/>
      <c r="I30" s="601"/>
      <c r="J30" s="245"/>
      <c r="K30" s="245"/>
      <c r="L30" s="588" t="s">
        <v>790</v>
      </c>
      <c r="M30" s="707"/>
    </row>
    <row r="31" spans="1:27">
      <c r="A31" s="567"/>
      <c r="C31" s="610" t="s">
        <v>703</v>
      </c>
      <c r="D31" s="605">
        <v>6.5224785347593564</v>
      </c>
      <c r="E31" s="605">
        <v>6.5224785347593564</v>
      </c>
      <c r="F31" s="605">
        <v>6.5224785347593564</v>
      </c>
      <c r="G31" s="605">
        <v>6.5224785347593564</v>
      </c>
      <c r="H31" s="601"/>
      <c r="I31" s="601"/>
      <c r="J31" s="245"/>
      <c r="K31" s="245"/>
      <c r="L31" s="588"/>
      <c r="M31" s="707"/>
    </row>
    <row r="32" spans="1:27">
      <c r="A32" s="567"/>
      <c r="C32" s="610" t="s">
        <v>700</v>
      </c>
      <c r="D32" s="604">
        <f>63*D12/1000</f>
        <v>0.64890000000000014</v>
      </c>
      <c r="E32" s="604">
        <f>69*E12/1000</f>
        <v>0.7107</v>
      </c>
      <c r="F32" s="604">
        <f>101*F12/1000</f>
        <v>1.0403000000000002</v>
      </c>
      <c r="G32" s="604">
        <f>117*G12/1000</f>
        <v>1.2051000000000001</v>
      </c>
      <c r="H32" s="601"/>
      <c r="I32" s="601"/>
      <c r="J32" s="245"/>
      <c r="K32" s="245"/>
      <c r="L32" s="588" t="s">
        <v>671</v>
      </c>
      <c r="M32" s="707"/>
    </row>
    <row r="33" spans="1:13">
      <c r="A33" s="567"/>
      <c r="C33" s="610" t="s">
        <v>699</v>
      </c>
      <c r="D33" s="604">
        <f>0.0220430107526882*D14</f>
        <v>0.41000000000000059</v>
      </c>
      <c r="E33" s="604">
        <f>0.0220430107526882*E14</f>
        <v>0.41000000000000059</v>
      </c>
      <c r="F33" s="604">
        <f>0.0220430107526882*F14</f>
        <v>0.41000000000000059</v>
      </c>
      <c r="G33" s="604">
        <f>0.0220430107526882*G14</f>
        <v>0.41000000000000059</v>
      </c>
      <c r="H33" s="601"/>
      <c r="I33" s="601"/>
      <c r="J33" s="245"/>
      <c r="K33" s="245"/>
      <c r="L33" s="588"/>
      <c r="M33" s="707"/>
    </row>
    <row r="34" spans="1:13">
      <c r="A34" s="567"/>
      <c r="B34" s="243"/>
      <c r="C34" s="613"/>
      <c r="D34" s="605"/>
      <c r="E34" s="605"/>
      <c r="F34" s="706"/>
      <c r="G34" s="706"/>
      <c r="H34" s="598"/>
      <c r="I34" s="598"/>
      <c r="J34" s="245"/>
      <c r="K34" s="245"/>
      <c r="L34" s="597"/>
      <c r="M34" s="624"/>
    </row>
    <row r="35" spans="1:13">
      <c r="A35" s="567"/>
      <c r="C35" s="654" t="s">
        <v>698</v>
      </c>
      <c r="D35" s="605"/>
      <c r="E35" s="605"/>
      <c r="F35" s="605"/>
      <c r="G35" s="605"/>
      <c r="H35" s="601"/>
      <c r="I35" s="601"/>
      <c r="J35" s="245"/>
      <c r="K35" s="245"/>
      <c r="L35" s="597"/>
      <c r="M35" s="653"/>
    </row>
    <row r="36" spans="1:13">
      <c r="A36" s="567"/>
      <c r="C36" s="615"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3">
      <c r="A37" s="567"/>
      <c r="C37" s="583"/>
      <c r="D37" s="705"/>
      <c r="E37" s="705"/>
      <c r="F37" s="705"/>
      <c r="G37" s="705"/>
      <c r="H37" s="704"/>
      <c r="I37" s="704"/>
      <c r="L37" s="703"/>
      <c r="M37" s="702"/>
    </row>
    <row r="38" spans="1:13">
      <c r="A38" s="1340"/>
      <c r="B38" s="1340"/>
      <c r="C38" s="1340"/>
      <c r="D38" s="1340"/>
      <c r="E38" s="1340"/>
      <c r="F38" s="1340"/>
      <c r="G38" s="1340"/>
      <c r="H38" s="1340"/>
      <c r="I38" s="1340"/>
      <c r="J38" s="583"/>
      <c r="K38" s="584"/>
      <c r="L38" s="1340"/>
      <c r="M38" s="1340"/>
    </row>
    <row r="39" spans="1:13">
      <c r="A39" s="584"/>
      <c r="C39" s="1340"/>
      <c r="D39" s="1340"/>
      <c r="E39" s="1340"/>
      <c r="F39" s="1340"/>
      <c r="G39" s="1340"/>
      <c r="H39" s="1340"/>
      <c r="I39" s="1340"/>
      <c r="J39" s="1340"/>
      <c r="K39" s="1340"/>
      <c r="L39" s="1340"/>
      <c r="M39" s="1340"/>
    </row>
    <row r="40" spans="1:13">
      <c r="A40" s="584"/>
      <c r="B40" s="1340"/>
      <c r="C40" s="1340"/>
      <c r="D40" s="1340"/>
      <c r="E40" s="1340"/>
      <c r="F40" s="1340"/>
      <c r="G40" s="1340"/>
      <c r="H40" s="1340"/>
      <c r="I40" s="1340"/>
      <c r="J40" s="1340"/>
      <c r="K40" s="584"/>
      <c r="L40" s="1340"/>
      <c r="M40" s="1340"/>
    </row>
    <row r="41" spans="1:13">
      <c r="A41" s="585"/>
      <c r="C41" s="1340"/>
      <c r="D41" s="1340"/>
      <c r="E41" s="1340"/>
      <c r="F41" s="1340"/>
      <c r="G41" s="1340"/>
      <c r="H41" s="1340"/>
      <c r="I41" s="1340"/>
      <c r="J41" s="1340"/>
      <c r="K41" s="1340"/>
      <c r="L41" s="1340"/>
      <c r="M41" s="1340"/>
    </row>
    <row r="42" spans="1:13">
      <c r="A42" s="585"/>
      <c r="B42" s="1340"/>
      <c r="C42" s="1340"/>
      <c r="D42" s="1340"/>
      <c r="E42" s="1340"/>
      <c r="F42" s="1340"/>
      <c r="G42" s="1340"/>
      <c r="H42" s="1340"/>
      <c r="I42" s="1340"/>
      <c r="J42" s="1340"/>
      <c r="K42" s="584"/>
      <c r="L42" s="1340"/>
      <c r="M42" s="1340"/>
    </row>
    <row r="43" spans="1:13">
      <c r="A43" s="584"/>
      <c r="B43" s="649"/>
      <c r="C43" s="583"/>
      <c r="D43" s="583"/>
      <c r="E43" s="583"/>
      <c r="F43" s="583"/>
      <c r="G43" s="583"/>
      <c r="H43" s="583"/>
      <c r="I43" s="583"/>
      <c r="J43" s="583"/>
      <c r="K43" s="584"/>
      <c r="L43" s="1340"/>
      <c r="M43" s="1340"/>
    </row>
    <row r="44" spans="1:13">
      <c r="A44" s="584"/>
      <c r="B44" s="583"/>
      <c r="C44" s="583"/>
      <c r="D44" s="583"/>
      <c r="E44" s="583"/>
      <c r="F44" s="583"/>
      <c r="G44" s="583"/>
      <c r="H44" s="583"/>
      <c r="I44" s="583"/>
      <c r="J44" s="583"/>
      <c r="K44" s="584"/>
      <c r="L44" s="1340"/>
      <c r="M44" s="1340"/>
    </row>
    <row r="45" spans="1:13">
      <c r="A45" s="1340"/>
      <c r="B45" s="1340"/>
      <c r="C45" s="582"/>
      <c r="D45" s="582"/>
      <c r="E45" s="582"/>
      <c r="F45" s="582"/>
      <c r="G45" s="582"/>
      <c r="H45" s="582"/>
      <c r="I45" s="582"/>
      <c r="J45" s="582"/>
      <c r="K45" s="584"/>
      <c r="L45" s="1340"/>
      <c r="M45" s="1340"/>
    </row>
    <row r="46" spans="1:13">
      <c r="A46" s="1359" t="s">
        <v>695</v>
      </c>
      <c r="B46" s="1359"/>
      <c r="C46" s="582"/>
      <c r="D46" s="582"/>
      <c r="E46" s="582"/>
      <c r="F46" s="582"/>
      <c r="G46" s="582"/>
      <c r="H46" s="582"/>
      <c r="I46" s="582"/>
      <c r="J46" s="582"/>
      <c r="K46" s="584"/>
      <c r="L46" s="1340"/>
      <c r="M46" s="1340"/>
    </row>
    <row r="47" spans="1:13">
      <c r="A47" s="574" t="s">
        <v>694</v>
      </c>
      <c r="B47" s="1344" t="s">
        <v>789</v>
      </c>
      <c r="C47" s="1344"/>
      <c r="D47" s="1344"/>
      <c r="E47" s="1344"/>
      <c r="F47" s="1344"/>
      <c r="G47" s="1344"/>
      <c r="H47" s="1344"/>
      <c r="I47" s="1344"/>
      <c r="J47" s="1344"/>
      <c r="K47" s="1344"/>
      <c r="L47" s="1344"/>
      <c r="M47" s="1344"/>
    </row>
    <row r="48" spans="1:13">
      <c r="A48" s="574" t="s">
        <v>692</v>
      </c>
      <c r="B48" s="1344" t="s">
        <v>756</v>
      </c>
      <c r="C48" s="1344"/>
      <c r="D48" s="1344"/>
      <c r="E48" s="1344"/>
      <c r="F48" s="1344"/>
      <c r="G48" s="1344"/>
      <c r="H48" s="1344"/>
      <c r="I48" s="1344"/>
      <c r="J48" s="1344"/>
      <c r="K48" s="1344"/>
      <c r="L48" s="1344"/>
      <c r="M48" s="1344"/>
    </row>
    <row r="49" spans="1:13" ht="182.4">
      <c r="A49" s="574" t="s">
        <v>272</v>
      </c>
      <c r="B49" s="577" t="s">
        <v>755</v>
      </c>
      <c r="C49" s="1341" t="s">
        <v>755</v>
      </c>
      <c r="D49" s="1341"/>
      <c r="E49" s="1341"/>
      <c r="F49" s="1341"/>
      <c r="G49" s="1341"/>
      <c r="H49" s="1341"/>
      <c r="I49" s="1341"/>
      <c r="J49" s="1341"/>
      <c r="K49" s="1341"/>
      <c r="L49" s="1341"/>
      <c r="M49" s="1341"/>
    </row>
    <row r="50" spans="1:13">
      <c r="A50" s="574" t="s">
        <v>269</v>
      </c>
      <c r="C50" s="1344" t="s">
        <v>754</v>
      </c>
      <c r="D50" s="1344"/>
      <c r="E50" s="1344"/>
      <c r="F50" s="1344"/>
      <c r="G50" s="1344"/>
      <c r="H50" s="1344"/>
      <c r="I50" s="1344"/>
      <c r="J50" s="1344"/>
      <c r="K50" s="1344"/>
      <c r="L50" s="1344"/>
      <c r="M50" s="1344"/>
    </row>
    <row r="51" spans="1:13">
      <c r="A51" s="574" t="s">
        <v>266</v>
      </c>
      <c r="B51" s="1344" t="s">
        <v>753</v>
      </c>
      <c r="C51" s="1344"/>
      <c r="D51" s="1344"/>
      <c r="E51" s="1344"/>
      <c r="F51" s="1344"/>
      <c r="G51" s="1344"/>
      <c r="H51" s="1344"/>
      <c r="I51" s="1344"/>
      <c r="J51" s="1344"/>
      <c r="K51" s="584"/>
      <c r="L51" s="1340"/>
      <c r="M51" s="1340"/>
    </row>
    <row r="52" spans="1:13">
      <c r="A52" s="574" t="s">
        <v>255</v>
      </c>
      <c r="B52" s="1344" t="s">
        <v>788</v>
      </c>
      <c r="C52" s="1344"/>
      <c r="D52" s="1344"/>
      <c r="E52" s="1344"/>
      <c r="F52" s="1344"/>
      <c r="G52" s="1344"/>
      <c r="H52" s="1344"/>
      <c r="I52" s="1344"/>
      <c r="J52" s="1344"/>
      <c r="K52" s="1344"/>
      <c r="L52" s="1344"/>
      <c r="M52" s="1344"/>
    </row>
    <row r="53" spans="1:13">
      <c r="A53" s="574" t="s">
        <v>389</v>
      </c>
      <c r="B53" s="1340" t="s">
        <v>751</v>
      </c>
      <c r="C53" s="1340"/>
      <c r="D53" s="1340"/>
      <c r="E53" s="1340"/>
      <c r="F53" s="1340"/>
      <c r="G53" s="1340"/>
      <c r="H53" s="1340"/>
      <c r="I53" s="1340"/>
      <c r="J53" s="1340"/>
      <c r="K53" s="1340"/>
      <c r="L53" s="1340"/>
      <c r="M53" s="1340"/>
    </row>
    <row r="54" spans="1:13">
      <c r="A54" s="574" t="s">
        <v>393</v>
      </c>
      <c r="B54" s="1340" t="s">
        <v>750</v>
      </c>
      <c r="C54" s="1340"/>
      <c r="D54" s="1340"/>
      <c r="E54" s="1340"/>
      <c r="F54" s="1340"/>
      <c r="G54" s="1340"/>
      <c r="H54" s="1340"/>
      <c r="I54" s="1340"/>
      <c r="J54" s="1340"/>
      <c r="K54" s="1340"/>
    </row>
    <row r="55" spans="1:13">
      <c r="A55" s="574" t="s">
        <v>673</v>
      </c>
      <c r="B55" s="1341" t="s">
        <v>787</v>
      </c>
      <c r="C55" s="1341"/>
      <c r="D55" s="1341"/>
      <c r="E55" s="1341"/>
      <c r="F55" s="1341"/>
      <c r="G55" s="1341"/>
      <c r="H55" s="1341"/>
      <c r="I55" s="1341"/>
      <c r="J55" s="1341"/>
    </row>
    <row r="56" spans="1:13">
      <c r="A56" s="574" t="s">
        <v>671</v>
      </c>
      <c r="B56" s="570"/>
      <c r="C56" s="1346" t="s">
        <v>670</v>
      </c>
      <c r="D56" s="1346"/>
      <c r="E56" s="1346"/>
      <c r="F56" s="1346"/>
      <c r="G56" s="1346"/>
      <c r="H56" s="1346"/>
      <c r="I56" s="1346"/>
      <c r="J56" s="1346"/>
      <c r="K56" s="1346"/>
      <c r="L56" s="1346"/>
      <c r="M56" s="1346"/>
    </row>
    <row r="57" spans="1:13" ht="13.8">
      <c r="A57" s="574" t="s">
        <v>786</v>
      </c>
      <c r="B57" s="568"/>
      <c r="C57" s="701" t="s">
        <v>785</v>
      </c>
      <c r="D57" s="570"/>
      <c r="E57" s="570"/>
      <c r="F57" s="570"/>
      <c r="G57" s="570"/>
      <c r="H57" s="570"/>
      <c r="I57" s="570"/>
      <c r="J57" s="570"/>
      <c r="K57" s="570"/>
      <c r="L57" s="570"/>
      <c r="M57" s="570"/>
    </row>
    <row r="58" spans="1:13">
      <c r="C58" s="701" t="s">
        <v>784</v>
      </c>
      <c r="D58" s="570"/>
      <c r="E58" s="570"/>
      <c r="F58" s="570"/>
      <c r="G58" s="570"/>
      <c r="H58" s="570"/>
      <c r="I58" s="570"/>
      <c r="J58" s="570"/>
      <c r="K58" s="570"/>
      <c r="L58" s="570"/>
      <c r="M58" s="570"/>
    </row>
    <row r="59" spans="1:13">
      <c r="C59" s="701"/>
      <c r="D59" s="570"/>
      <c r="E59" s="570"/>
      <c r="F59" s="570"/>
      <c r="G59" s="570"/>
      <c r="H59" s="570"/>
      <c r="I59" s="570"/>
      <c r="J59" s="570"/>
      <c r="K59" s="570"/>
      <c r="L59" s="570"/>
      <c r="M59" s="570"/>
    </row>
    <row r="60" spans="1:13">
      <c r="A60" s="571" t="s">
        <v>669</v>
      </c>
    </row>
    <row r="61" spans="1:13">
      <c r="A61" s="567">
        <v>5</v>
      </c>
      <c r="C61" s="651" t="s">
        <v>668</v>
      </c>
      <c r="D61" s="651"/>
      <c r="E61" s="651"/>
      <c r="F61" s="651"/>
      <c r="G61" s="651"/>
      <c r="H61" s="651"/>
      <c r="I61" s="651"/>
      <c r="J61" s="651"/>
      <c r="K61" s="651"/>
    </row>
    <row r="62" spans="1:13">
      <c r="A62" s="567">
        <v>8</v>
      </c>
      <c r="C62" s="651" t="s">
        <v>667</v>
      </c>
      <c r="D62" s="651"/>
      <c r="E62" s="651"/>
      <c r="F62" s="651"/>
      <c r="G62" s="651"/>
      <c r="H62" s="651"/>
      <c r="I62" s="651"/>
    </row>
    <row r="63" spans="1:13">
      <c r="A63" s="567">
        <v>9</v>
      </c>
      <c r="C63" s="651" t="s">
        <v>666</v>
      </c>
      <c r="D63" s="651"/>
      <c r="E63" s="651"/>
      <c r="F63" s="651"/>
      <c r="G63" s="651"/>
      <c r="H63" s="651"/>
      <c r="I63" s="651"/>
      <c r="J63" s="651"/>
      <c r="K63" s="651"/>
    </row>
    <row r="64" spans="1:13">
      <c r="A64" s="567">
        <v>12</v>
      </c>
      <c r="C64" s="651" t="s">
        <v>665</v>
      </c>
      <c r="D64" s="651"/>
      <c r="E64" s="651"/>
      <c r="F64" s="651"/>
      <c r="G64" s="651"/>
      <c r="H64" s="651"/>
      <c r="I64" s="651"/>
      <c r="J64" s="651"/>
      <c r="K64" s="651"/>
    </row>
  </sheetData>
  <mergeCells count="36">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D7:G7"/>
    <mergeCell ref="D1:M1"/>
    <mergeCell ref="D3:M3"/>
    <mergeCell ref="H4:I4"/>
    <mergeCell ref="J4:K4"/>
    <mergeCell ref="D6:G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J41" sqref="J41"/>
    </sheetView>
  </sheetViews>
  <sheetFormatPr defaultColWidth="9.109375" defaultRowHeight="13.2"/>
  <cols>
    <col min="1" max="1" width="9.109375" style="69"/>
    <col min="2" max="2" width="31.33203125" style="69" customWidth="1"/>
    <col min="3" max="14" width="9.109375" style="69"/>
    <col min="15" max="15" width="11.33203125" style="69" bestFit="1" customWidth="1"/>
    <col min="16" max="16" width="10.33203125" style="69" bestFit="1" customWidth="1"/>
    <col min="17" max="16384" width="9.109375" style="69"/>
  </cols>
  <sheetData>
    <row r="1" spans="1:12" ht="14.4">
      <c r="A1" s="721"/>
      <c r="B1" s="713"/>
      <c r="C1" s="713"/>
      <c r="D1" s="713"/>
      <c r="E1" s="713"/>
      <c r="F1" s="713"/>
      <c r="G1" s="713"/>
      <c r="H1" s="713"/>
      <c r="I1" s="713"/>
      <c r="J1" s="713"/>
      <c r="K1" s="713"/>
      <c r="L1" s="721"/>
    </row>
    <row r="2" spans="1:12" ht="21">
      <c r="A2" s="721"/>
      <c r="B2" s="759" t="s">
        <v>749</v>
      </c>
      <c r="C2" s="1372" t="s">
        <v>497</v>
      </c>
      <c r="D2" s="1372"/>
      <c r="E2" s="1372"/>
      <c r="F2" s="1372"/>
      <c r="G2" s="1372"/>
      <c r="H2" s="1372"/>
      <c r="I2" s="1372"/>
      <c r="J2" s="1372"/>
      <c r="K2" s="1372"/>
      <c r="L2" s="713"/>
    </row>
    <row r="3" spans="1:12">
      <c r="A3" s="721"/>
      <c r="B3" s="728" t="s">
        <v>296</v>
      </c>
      <c r="C3" s="1373" t="s">
        <v>497</v>
      </c>
      <c r="D3" s="1374"/>
      <c r="E3" s="1374"/>
      <c r="F3" s="1374"/>
      <c r="G3" s="1374"/>
      <c r="H3" s="1374"/>
      <c r="I3" s="1374"/>
      <c r="J3" s="1374"/>
      <c r="K3" s="1374"/>
      <c r="L3" s="1375"/>
    </row>
    <row r="4" spans="1:12">
      <c r="A4" s="721"/>
      <c r="B4" s="758"/>
      <c r="C4" s="757">
        <v>2015</v>
      </c>
      <c r="D4" s="757">
        <v>2020</v>
      </c>
      <c r="E4" s="757">
        <v>2030</v>
      </c>
      <c r="F4" s="757">
        <v>2050</v>
      </c>
      <c r="G4" s="1373" t="s">
        <v>290</v>
      </c>
      <c r="H4" s="1375"/>
      <c r="I4" s="1373" t="s">
        <v>289</v>
      </c>
      <c r="J4" s="1375"/>
      <c r="K4" s="757" t="s">
        <v>288</v>
      </c>
      <c r="L4" s="757" t="s">
        <v>287</v>
      </c>
    </row>
    <row r="5" spans="1:12">
      <c r="A5" s="721"/>
      <c r="B5" s="756" t="s">
        <v>282</v>
      </c>
      <c r="C5" s="755"/>
      <c r="D5" s="755"/>
      <c r="E5" s="755"/>
      <c r="F5" s="755"/>
      <c r="G5" s="755" t="s">
        <v>284</v>
      </c>
      <c r="H5" s="755" t="s">
        <v>283</v>
      </c>
      <c r="I5" s="755" t="s">
        <v>284</v>
      </c>
      <c r="J5" s="755" t="s">
        <v>283</v>
      </c>
      <c r="K5" s="755"/>
      <c r="L5" s="754"/>
    </row>
    <row r="6" spans="1:12">
      <c r="A6" s="721"/>
      <c r="B6" s="723" t="s">
        <v>849</v>
      </c>
      <c r="C6" s="753">
        <v>5.92218</v>
      </c>
      <c r="D6" s="753">
        <v>5.92218</v>
      </c>
      <c r="E6" s="753">
        <v>5.92218</v>
      </c>
      <c r="F6" s="753">
        <v>5.92218</v>
      </c>
      <c r="G6" s="722"/>
      <c r="H6" s="722"/>
      <c r="I6" s="722"/>
      <c r="J6" s="722"/>
      <c r="K6" s="722" t="s">
        <v>848</v>
      </c>
      <c r="L6" s="722"/>
    </row>
    <row r="7" spans="1:12">
      <c r="A7" s="721"/>
      <c r="B7" s="723" t="s">
        <v>847</v>
      </c>
      <c r="C7" s="752">
        <v>1000</v>
      </c>
      <c r="D7" s="752">
        <v>1000</v>
      </c>
      <c r="E7" s="722">
        <v>1000</v>
      </c>
      <c r="F7" s="722">
        <v>1000</v>
      </c>
      <c r="G7" s="722"/>
      <c r="H7" s="722"/>
      <c r="I7" s="722"/>
      <c r="J7" s="722"/>
      <c r="K7" s="722" t="s">
        <v>734</v>
      </c>
      <c r="L7" s="735" t="s">
        <v>846</v>
      </c>
    </row>
    <row r="8" spans="1:12">
      <c r="A8" s="721"/>
      <c r="B8" s="750" t="s">
        <v>845</v>
      </c>
      <c r="C8" s="752">
        <v>594</v>
      </c>
      <c r="D8" s="752">
        <v>594</v>
      </c>
      <c r="E8" s="752">
        <v>594</v>
      </c>
      <c r="F8" s="752">
        <v>594</v>
      </c>
      <c r="G8" s="722"/>
      <c r="H8" s="722"/>
      <c r="I8" s="722"/>
      <c r="J8" s="722"/>
      <c r="K8" s="722" t="s">
        <v>734</v>
      </c>
      <c r="L8" s="722"/>
    </row>
    <row r="9" spans="1:12" ht="14.4">
      <c r="A9" s="721"/>
      <c r="B9" s="725"/>
      <c r="C9" s="725"/>
      <c r="D9" s="725"/>
      <c r="E9" s="725"/>
      <c r="F9" s="725"/>
      <c r="G9" s="725"/>
      <c r="H9" s="725"/>
      <c r="I9" s="725"/>
      <c r="J9" s="725"/>
      <c r="K9" s="725"/>
      <c r="L9" s="725"/>
    </row>
    <row r="10" spans="1:12">
      <c r="A10" s="721"/>
      <c r="B10" s="749" t="s">
        <v>737</v>
      </c>
      <c r="C10" s="722"/>
      <c r="D10" s="722"/>
      <c r="E10" s="722"/>
      <c r="F10" s="722"/>
      <c r="G10" s="722"/>
      <c r="H10" s="722"/>
      <c r="I10" s="722"/>
      <c r="J10" s="722"/>
      <c r="K10" s="722"/>
      <c r="L10" s="722"/>
    </row>
    <row r="11" spans="1:12">
      <c r="A11" s="721"/>
      <c r="B11" s="723" t="s">
        <v>844</v>
      </c>
      <c r="C11" s="730">
        <v>1</v>
      </c>
      <c r="D11" s="751">
        <v>100</v>
      </c>
      <c r="E11" s="751">
        <v>100</v>
      </c>
      <c r="F11" s="751">
        <v>100</v>
      </c>
      <c r="G11" s="722"/>
      <c r="H11" s="722"/>
      <c r="I11" s="722"/>
      <c r="J11" s="722"/>
      <c r="K11" s="722"/>
      <c r="L11" s="722"/>
    </row>
    <row r="12" spans="1:12" ht="22.8">
      <c r="A12" s="721"/>
      <c r="B12" s="723" t="s">
        <v>843</v>
      </c>
      <c r="C12" s="729">
        <v>4.3129388164493486E-2</v>
      </c>
      <c r="D12" s="729">
        <v>4.3129388164493486E-2</v>
      </c>
      <c r="E12" s="729">
        <v>2.1564694082246743E-2</v>
      </c>
      <c r="F12" s="729">
        <v>2.1564694082246743E-2</v>
      </c>
      <c r="G12" s="730">
        <v>3.2347041123370113E-2</v>
      </c>
      <c r="H12" s="729">
        <v>4.3129388164493486E-2</v>
      </c>
      <c r="I12" s="729">
        <v>1.6173520561685056E-2</v>
      </c>
      <c r="J12" s="729">
        <v>3.2347041123370113E-2</v>
      </c>
      <c r="K12" s="722" t="s">
        <v>842</v>
      </c>
      <c r="L12" s="735" t="s">
        <v>841</v>
      </c>
    </row>
    <row r="13" spans="1:12" ht="14.4">
      <c r="A13" s="721"/>
      <c r="B13" s="750" t="s">
        <v>840</v>
      </c>
      <c r="C13" s="729">
        <v>1.0030090270812439E-2</v>
      </c>
      <c r="D13" s="729">
        <v>1.0030090270812439E-2</v>
      </c>
      <c r="E13" s="729">
        <v>1.0030090270812439E-2</v>
      </c>
      <c r="F13" s="729">
        <v>1.0030090270812439E-2</v>
      </c>
      <c r="G13" s="725"/>
      <c r="H13" s="725"/>
      <c r="I13" s="725"/>
      <c r="J13" s="725"/>
      <c r="K13" s="724" t="s">
        <v>839</v>
      </c>
      <c r="L13" s="735" t="s">
        <v>837</v>
      </c>
    </row>
    <row r="14" spans="1:12" ht="14.4">
      <c r="A14" s="721"/>
      <c r="B14" s="750" t="s">
        <v>838</v>
      </c>
      <c r="C14" s="729">
        <v>0</v>
      </c>
      <c r="D14" s="729">
        <v>0</v>
      </c>
      <c r="E14" s="729">
        <v>0</v>
      </c>
      <c r="F14" s="729">
        <v>0</v>
      </c>
      <c r="G14" s="725"/>
      <c r="H14" s="725"/>
      <c r="I14" s="725"/>
      <c r="J14" s="725"/>
      <c r="K14" s="724"/>
      <c r="L14" s="735" t="s">
        <v>837</v>
      </c>
    </row>
    <row r="15" spans="1:12">
      <c r="A15" s="721"/>
      <c r="B15" s="723"/>
      <c r="C15" s="747"/>
      <c r="D15" s="747"/>
      <c r="E15" s="747"/>
      <c r="F15" s="747"/>
      <c r="G15" s="730"/>
      <c r="H15" s="730"/>
      <c r="I15" s="722"/>
      <c r="J15" s="722"/>
      <c r="K15" s="722"/>
      <c r="L15" s="722"/>
    </row>
    <row r="16" spans="1:12">
      <c r="A16" s="721"/>
      <c r="B16" s="749" t="s">
        <v>721</v>
      </c>
      <c r="C16" s="748"/>
      <c r="D16" s="748"/>
      <c r="E16" s="748"/>
      <c r="F16" s="748"/>
      <c r="G16" s="722"/>
      <c r="H16" s="722"/>
      <c r="I16" s="722"/>
      <c r="J16" s="722"/>
      <c r="K16" s="722"/>
      <c r="L16" s="744"/>
    </row>
    <row r="17" spans="1:16">
      <c r="A17" s="721"/>
      <c r="B17" s="737" t="s">
        <v>836</v>
      </c>
      <c r="C17" s="746">
        <v>0.99</v>
      </c>
      <c r="D17" s="747">
        <v>0.99</v>
      </c>
      <c r="E17" s="747">
        <v>1</v>
      </c>
      <c r="F17" s="747">
        <v>1</v>
      </c>
      <c r="G17" s="722"/>
      <c r="H17" s="722"/>
      <c r="I17" s="722"/>
      <c r="J17" s="722"/>
      <c r="K17" s="722" t="s">
        <v>675</v>
      </c>
      <c r="L17" s="735">
        <v>2</v>
      </c>
    </row>
    <row r="18" spans="1:16">
      <c r="A18" s="721"/>
      <c r="B18" s="723" t="s">
        <v>835</v>
      </c>
      <c r="C18" s="747">
        <v>0.01</v>
      </c>
      <c r="D18" s="747">
        <v>0.01</v>
      </c>
      <c r="E18" s="746">
        <v>1E-3</v>
      </c>
      <c r="F18" s="746">
        <v>1E-3</v>
      </c>
      <c r="G18" s="722"/>
      <c r="H18" s="722"/>
      <c r="I18" s="722"/>
      <c r="J18" s="722"/>
      <c r="K18" s="722" t="s">
        <v>675</v>
      </c>
      <c r="L18" s="735"/>
    </row>
    <row r="19" spans="1:16">
      <c r="A19" s="721"/>
      <c r="B19" s="723" t="s">
        <v>834</v>
      </c>
      <c r="C19" s="746">
        <v>5.2999999999999999E-2</v>
      </c>
      <c r="D19" s="746">
        <v>5.2999999999999999E-2</v>
      </c>
      <c r="E19" s="746">
        <v>3.2000000000000001E-2</v>
      </c>
      <c r="F19" s="746">
        <v>3.2000000000000001E-2</v>
      </c>
      <c r="G19" s="722"/>
      <c r="H19" s="722"/>
      <c r="I19" s="722"/>
      <c r="J19" s="722"/>
      <c r="K19" s="722"/>
      <c r="L19" s="735"/>
    </row>
    <row r="20" spans="1:16" ht="14.4">
      <c r="A20" s="721"/>
      <c r="B20" s="725"/>
      <c r="C20" s="713"/>
      <c r="D20" s="745"/>
      <c r="E20" s="745"/>
      <c r="F20" s="745"/>
      <c r="G20" s="722"/>
      <c r="H20" s="722"/>
      <c r="I20" s="722"/>
      <c r="J20" s="722"/>
      <c r="K20" s="722"/>
      <c r="L20" s="744"/>
    </row>
    <row r="21" spans="1:16">
      <c r="A21" s="721"/>
      <c r="B21" s="723" t="s">
        <v>833</v>
      </c>
      <c r="C21" s="722">
        <v>1</v>
      </c>
      <c r="D21" s="722">
        <v>1</v>
      </c>
      <c r="E21" s="722">
        <v>1</v>
      </c>
      <c r="F21" s="722">
        <v>1</v>
      </c>
      <c r="G21" s="722"/>
      <c r="H21" s="722"/>
      <c r="I21" s="722"/>
      <c r="J21" s="722"/>
      <c r="K21" s="722"/>
      <c r="L21" s="744"/>
    </row>
    <row r="22" spans="1:16">
      <c r="A22" s="721"/>
      <c r="B22" s="723" t="s">
        <v>92</v>
      </c>
      <c r="C22" s="722">
        <v>1</v>
      </c>
      <c r="D22" s="722">
        <v>1</v>
      </c>
      <c r="E22" s="722">
        <v>1</v>
      </c>
      <c r="F22" s="722">
        <v>1</v>
      </c>
      <c r="G22" s="722"/>
      <c r="H22" s="722"/>
      <c r="I22" s="722"/>
      <c r="J22" s="722"/>
      <c r="K22" s="722"/>
      <c r="L22" s="722"/>
    </row>
    <row r="23" spans="1:16">
      <c r="A23" s="721"/>
      <c r="B23" s="723" t="s">
        <v>58</v>
      </c>
      <c r="C23" s="722">
        <v>15</v>
      </c>
      <c r="D23" s="722">
        <v>15</v>
      </c>
      <c r="E23" s="722">
        <v>15</v>
      </c>
      <c r="F23" s="722">
        <v>15</v>
      </c>
      <c r="G23" s="722"/>
      <c r="H23" s="722"/>
      <c r="I23" s="722"/>
      <c r="J23" s="722"/>
      <c r="K23" s="722"/>
      <c r="L23" s="722"/>
    </row>
    <row r="24" spans="1:16">
      <c r="A24" s="721"/>
      <c r="B24" s="723" t="s">
        <v>60</v>
      </c>
      <c r="C24" s="722">
        <v>0.5</v>
      </c>
      <c r="D24" s="722">
        <v>0.5</v>
      </c>
      <c r="E24" s="722">
        <v>0.5</v>
      </c>
      <c r="F24" s="722">
        <v>0.5</v>
      </c>
      <c r="G24" s="722"/>
      <c r="H24" s="722"/>
      <c r="I24" s="722"/>
      <c r="J24" s="722"/>
      <c r="K24" s="722"/>
      <c r="L24" s="722"/>
    </row>
    <row r="25" spans="1:16">
      <c r="A25" s="721"/>
      <c r="B25" s="723"/>
      <c r="C25" s="722"/>
      <c r="D25" s="722"/>
      <c r="E25" s="722"/>
      <c r="F25" s="722"/>
      <c r="G25" s="722"/>
      <c r="H25" s="722"/>
      <c r="I25" s="722"/>
      <c r="J25" s="722"/>
      <c r="K25" s="722"/>
      <c r="L25" s="722"/>
    </row>
    <row r="26" spans="1:16">
      <c r="A26" s="721"/>
      <c r="B26" s="728" t="s">
        <v>264</v>
      </c>
      <c r="C26" s="728"/>
      <c r="D26" s="728"/>
      <c r="E26" s="728"/>
      <c r="F26" s="728"/>
      <c r="G26" s="728"/>
      <c r="H26" s="728"/>
      <c r="I26" s="728"/>
      <c r="J26" s="728"/>
      <c r="K26" s="727"/>
      <c r="L26" s="727"/>
    </row>
    <row r="27" spans="1:16" ht="22.8">
      <c r="A27" s="721"/>
      <c r="B27" s="723" t="s">
        <v>832</v>
      </c>
      <c r="C27" s="741">
        <v>335000</v>
      </c>
      <c r="D27" s="741">
        <v>302000</v>
      </c>
      <c r="E27" s="741">
        <v>272000</v>
      </c>
      <c r="F27" s="741">
        <v>245000</v>
      </c>
      <c r="G27" s="741">
        <v>268000</v>
      </c>
      <c r="H27" s="741">
        <v>318000</v>
      </c>
      <c r="I27" s="741">
        <v>172000</v>
      </c>
      <c r="J27" s="741">
        <v>287000</v>
      </c>
      <c r="K27" s="722" t="s">
        <v>831</v>
      </c>
      <c r="L27" s="734" t="s">
        <v>830</v>
      </c>
      <c r="O27" s="743"/>
      <c r="P27" s="742"/>
    </row>
    <row r="28" spans="1:16" ht="22.8">
      <c r="A28" s="721"/>
      <c r="B28" s="723" t="s">
        <v>829</v>
      </c>
      <c r="C28" s="741">
        <v>134000</v>
      </c>
      <c r="D28" s="741">
        <v>121000</v>
      </c>
      <c r="E28" s="741">
        <v>109000</v>
      </c>
      <c r="F28" s="741">
        <v>98000</v>
      </c>
      <c r="G28" s="741">
        <v>107000</v>
      </c>
      <c r="H28" s="741">
        <v>127000</v>
      </c>
      <c r="I28" s="738">
        <v>69000</v>
      </c>
      <c r="J28" s="738">
        <v>115000</v>
      </c>
      <c r="K28" s="722" t="s">
        <v>255</v>
      </c>
      <c r="L28" s="722">
        <v>5</v>
      </c>
      <c r="P28" s="739"/>
    </row>
    <row r="29" spans="1:16">
      <c r="A29" s="721"/>
      <c r="B29" s="723"/>
      <c r="C29" s="740"/>
      <c r="D29" s="740"/>
      <c r="E29" s="740"/>
      <c r="F29" s="740"/>
      <c r="G29" s="722"/>
      <c r="H29" s="722"/>
      <c r="I29" s="722"/>
      <c r="J29" s="722"/>
      <c r="K29" s="722"/>
      <c r="L29" s="722"/>
      <c r="P29" s="739"/>
    </row>
    <row r="30" spans="1:16" ht="14.4">
      <c r="A30" s="721"/>
      <c r="B30" s="723" t="s">
        <v>828</v>
      </c>
      <c r="C30" s="738">
        <v>11800</v>
      </c>
      <c r="D30" s="738">
        <v>10600</v>
      </c>
      <c r="E30" s="738">
        <v>9500</v>
      </c>
      <c r="F30" s="738">
        <v>8600</v>
      </c>
      <c r="G30" s="738">
        <v>9400</v>
      </c>
      <c r="H30" s="738">
        <v>11200</v>
      </c>
      <c r="I30" s="738">
        <v>6000</v>
      </c>
      <c r="J30" s="738">
        <v>10100</v>
      </c>
      <c r="K30" s="724"/>
      <c r="L30" s="724">
        <v>2</v>
      </c>
    </row>
    <row r="31" spans="1:16" ht="34.200000000000003">
      <c r="A31" s="721"/>
      <c r="B31" s="737" t="s">
        <v>827</v>
      </c>
      <c r="C31" s="738">
        <v>8400</v>
      </c>
      <c r="D31" s="738">
        <v>7600</v>
      </c>
      <c r="E31" s="738">
        <v>6800</v>
      </c>
      <c r="F31" s="738">
        <v>6100</v>
      </c>
      <c r="G31" s="738">
        <v>6700</v>
      </c>
      <c r="H31" s="738">
        <v>8000</v>
      </c>
      <c r="I31" s="738">
        <v>4300</v>
      </c>
      <c r="J31" s="738">
        <v>7200</v>
      </c>
      <c r="K31" s="724"/>
      <c r="L31" s="724">
        <v>2</v>
      </c>
    </row>
    <row r="32" spans="1:16" ht="22.8">
      <c r="A32" s="721"/>
      <c r="B32" s="737" t="s">
        <v>826</v>
      </c>
      <c r="C32" s="738">
        <v>3400</v>
      </c>
      <c r="D32" s="738">
        <v>3000</v>
      </c>
      <c r="E32" s="738">
        <v>2700</v>
      </c>
      <c r="F32" s="738">
        <v>2500</v>
      </c>
      <c r="G32" s="738">
        <v>2700</v>
      </c>
      <c r="H32" s="738">
        <v>3200</v>
      </c>
      <c r="I32" s="738">
        <v>1700</v>
      </c>
      <c r="J32" s="738">
        <v>2900</v>
      </c>
      <c r="K32" s="724" t="s">
        <v>393</v>
      </c>
      <c r="L32" s="724">
        <v>2</v>
      </c>
    </row>
    <row r="33" spans="1:12" ht="14.4">
      <c r="A33" s="721"/>
      <c r="B33" s="723" t="s">
        <v>825</v>
      </c>
      <c r="C33" s="736">
        <v>0.92999554218210201</v>
      </c>
      <c r="D33" s="736">
        <v>1.0252396077120252</v>
      </c>
      <c r="E33" s="736">
        <v>0.88439067201604815</v>
      </c>
      <c r="F33" s="736">
        <v>1.0229689067201606</v>
      </c>
      <c r="G33" s="725"/>
      <c r="H33" s="725"/>
      <c r="I33" s="725"/>
      <c r="J33" s="725"/>
      <c r="K33" s="724" t="s">
        <v>393</v>
      </c>
      <c r="L33" s="724"/>
    </row>
    <row r="34" spans="1:12">
      <c r="A34" s="721"/>
      <c r="B34" s="737" t="s">
        <v>824</v>
      </c>
      <c r="C34" s="736">
        <v>0.92999554218210201</v>
      </c>
      <c r="D34" s="736">
        <v>1.0252396077120252</v>
      </c>
      <c r="E34" s="736">
        <v>0.88439067201604815</v>
      </c>
      <c r="F34" s="736">
        <v>1.0229689067201606</v>
      </c>
      <c r="G34" s="726"/>
      <c r="H34" s="726"/>
      <c r="I34" s="726"/>
      <c r="J34" s="726"/>
      <c r="K34" s="722" t="s">
        <v>266</v>
      </c>
      <c r="L34" s="735" t="s">
        <v>823</v>
      </c>
    </row>
    <row r="35" spans="1:12" ht="14.4">
      <c r="A35" s="721"/>
      <c r="B35" s="723"/>
      <c r="C35" s="732"/>
      <c r="D35" s="732"/>
      <c r="E35" s="732"/>
      <c r="F35" s="732"/>
      <c r="G35" s="731"/>
      <c r="H35" s="731"/>
      <c r="I35" s="725"/>
      <c r="J35" s="725"/>
      <c r="K35" s="724"/>
      <c r="L35" s="734"/>
    </row>
    <row r="36" spans="1:12" ht="14.4">
      <c r="A36" s="721"/>
      <c r="B36" s="733" t="s">
        <v>642</v>
      </c>
      <c r="C36" s="732"/>
      <c r="D36" s="732"/>
      <c r="E36" s="732"/>
      <c r="F36" s="732"/>
      <c r="G36" s="731"/>
      <c r="H36" s="731"/>
      <c r="I36" s="725"/>
      <c r="J36" s="725"/>
      <c r="K36" s="724"/>
      <c r="L36" s="724"/>
    </row>
    <row r="37" spans="1:12">
      <c r="A37" s="721"/>
      <c r="B37" s="723" t="s">
        <v>822</v>
      </c>
      <c r="C37" s="730">
        <v>0.01</v>
      </c>
      <c r="D37" s="730">
        <v>0.01</v>
      </c>
      <c r="E37" s="729">
        <v>1E-3</v>
      </c>
      <c r="F37" s="729">
        <v>1E-3</v>
      </c>
      <c r="G37" s="728"/>
      <c r="H37" s="728"/>
      <c r="I37" s="728"/>
      <c r="J37" s="728"/>
      <c r="K37" s="727" t="s">
        <v>675</v>
      </c>
      <c r="L37" s="726">
        <v>2</v>
      </c>
    </row>
    <row r="38" spans="1:12" ht="14.4">
      <c r="A38" s="721"/>
      <c r="B38" s="723" t="s">
        <v>821</v>
      </c>
      <c r="C38" s="722">
        <v>50</v>
      </c>
      <c r="D38" s="725"/>
      <c r="E38" s="725"/>
      <c r="F38" s="725"/>
      <c r="G38" s="725"/>
      <c r="H38" s="725"/>
      <c r="I38" s="725"/>
      <c r="J38" s="725"/>
      <c r="K38" s="724"/>
      <c r="L38" s="724">
        <v>7</v>
      </c>
    </row>
    <row r="39" spans="1:12">
      <c r="A39" s="721"/>
      <c r="B39" s="723" t="s">
        <v>820</v>
      </c>
      <c r="C39" s="722">
        <v>98.5</v>
      </c>
      <c r="D39" s="722"/>
      <c r="E39" s="722"/>
      <c r="F39" s="722"/>
      <c r="G39" s="722"/>
      <c r="H39" s="722"/>
      <c r="I39" s="722"/>
      <c r="J39" s="722"/>
      <c r="K39" s="722"/>
      <c r="L39" s="722">
        <v>1</v>
      </c>
    </row>
    <row r="40" spans="1:12" ht="14.4">
      <c r="A40" s="721"/>
      <c r="B40" s="713"/>
      <c r="C40" s="713"/>
      <c r="D40" s="713"/>
      <c r="E40" s="713"/>
      <c r="F40" s="713"/>
      <c r="G40" s="713"/>
      <c r="H40" s="713"/>
      <c r="I40" s="713"/>
      <c r="J40" s="713"/>
      <c r="K40" s="713"/>
      <c r="L40" s="713"/>
    </row>
    <row r="41" spans="1:12" ht="14.4">
      <c r="A41" s="720"/>
      <c r="B41" s="719"/>
      <c r="C41" s="719"/>
      <c r="D41" s="719"/>
      <c r="E41" s="719"/>
      <c r="F41" s="719"/>
      <c r="G41" s="719"/>
      <c r="H41" s="719"/>
      <c r="I41" s="713"/>
      <c r="J41" s="713"/>
      <c r="K41" s="713"/>
      <c r="L41" s="713"/>
    </row>
    <row r="42" spans="1:12" ht="14.4">
      <c r="A42" s="714" t="s">
        <v>695</v>
      </c>
      <c r="B42" s="718"/>
      <c r="C42" s="718"/>
      <c r="D42" s="718"/>
      <c r="E42" s="718"/>
      <c r="F42" s="718"/>
      <c r="G42" s="718"/>
      <c r="H42" s="718"/>
      <c r="I42" s="713"/>
      <c r="J42" s="713"/>
      <c r="K42" s="713"/>
      <c r="L42" s="713"/>
    </row>
    <row r="43" spans="1:12">
      <c r="A43" s="717" t="s">
        <v>694</v>
      </c>
      <c r="B43" s="1371"/>
      <c r="C43" s="1371"/>
      <c r="D43" s="1371"/>
      <c r="E43" s="1371"/>
      <c r="F43" s="1371"/>
      <c r="G43" s="1371"/>
      <c r="H43" s="1371"/>
      <c r="I43" s="1371"/>
      <c r="J43" s="1371"/>
      <c r="K43" s="1371"/>
      <c r="L43" s="1371"/>
    </row>
    <row r="44" spans="1:12" ht="14.4">
      <c r="A44" s="717" t="s">
        <v>692</v>
      </c>
      <c r="B44" s="1371"/>
      <c r="C44" s="1371"/>
      <c r="D44" s="1371"/>
      <c r="E44" s="1371"/>
      <c r="F44" s="1371"/>
      <c r="G44" s="1371"/>
      <c r="H44" s="1371"/>
      <c r="I44" s="713"/>
      <c r="J44" s="713"/>
      <c r="K44" s="713"/>
      <c r="L44" s="713"/>
    </row>
    <row r="45" spans="1:12" ht="14.4">
      <c r="A45" s="717" t="s">
        <v>272</v>
      </c>
      <c r="B45" s="1371"/>
      <c r="C45" s="1371"/>
      <c r="D45" s="1371"/>
      <c r="E45" s="1371"/>
      <c r="F45" s="1371"/>
      <c r="G45" s="1371"/>
      <c r="H45" s="1371"/>
      <c r="I45" s="713"/>
      <c r="J45" s="713"/>
      <c r="K45" s="713"/>
      <c r="L45" s="713"/>
    </row>
    <row r="46" spans="1:12">
      <c r="A46" s="717" t="s">
        <v>269</v>
      </c>
      <c r="B46" s="1371"/>
      <c r="C46" s="1371"/>
      <c r="D46" s="1371"/>
      <c r="E46" s="1371"/>
      <c r="F46" s="1371"/>
      <c r="G46" s="1371"/>
      <c r="H46" s="1371"/>
      <c r="I46" s="1371"/>
      <c r="J46" s="1371"/>
      <c r="K46" s="1371"/>
      <c r="L46" s="1371"/>
    </row>
    <row r="47" spans="1:12">
      <c r="A47" s="717" t="s">
        <v>266</v>
      </c>
      <c r="B47" s="1371"/>
      <c r="C47" s="1371"/>
      <c r="D47" s="1371"/>
      <c r="E47" s="1371"/>
      <c r="F47" s="1371"/>
      <c r="G47" s="1371"/>
      <c r="H47" s="1371"/>
      <c r="I47" s="1371"/>
      <c r="J47" s="1371"/>
      <c r="K47" s="1371"/>
      <c r="L47" s="1371"/>
    </row>
    <row r="48" spans="1:12">
      <c r="A48" s="717" t="s">
        <v>255</v>
      </c>
      <c r="B48" s="1371"/>
      <c r="C48" s="1371"/>
      <c r="D48" s="1371"/>
      <c r="E48" s="1371"/>
      <c r="F48" s="1371"/>
      <c r="G48" s="1371"/>
      <c r="H48" s="1371"/>
      <c r="I48" s="1371"/>
      <c r="J48" s="1371"/>
      <c r="K48" s="1371"/>
      <c r="L48" s="1371"/>
    </row>
    <row r="49" spans="1:12">
      <c r="A49" s="717" t="s">
        <v>389</v>
      </c>
      <c r="B49" s="1371"/>
      <c r="C49" s="1371"/>
      <c r="D49" s="1371"/>
      <c r="E49" s="1371"/>
      <c r="F49" s="1371"/>
      <c r="G49" s="1371"/>
      <c r="H49" s="1371"/>
      <c r="I49" s="1371"/>
      <c r="J49" s="1371"/>
      <c r="K49" s="1371"/>
      <c r="L49" s="1371"/>
    </row>
    <row r="50" spans="1:12">
      <c r="A50" s="717" t="s">
        <v>393</v>
      </c>
      <c r="B50" s="1377" t="s">
        <v>819</v>
      </c>
      <c r="C50" s="1377"/>
      <c r="D50" s="1377"/>
      <c r="E50" s="1377"/>
      <c r="F50" s="1377"/>
      <c r="G50" s="1377"/>
      <c r="H50" s="1377"/>
      <c r="I50" s="1377"/>
      <c r="J50" s="1377"/>
      <c r="K50" s="1377"/>
      <c r="L50" s="1377"/>
    </row>
    <row r="51" spans="1:12">
      <c r="A51" s="717" t="s">
        <v>818</v>
      </c>
      <c r="B51" s="1377" t="s">
        <v>817</v>
      </c>
      <c r="C51" s="1377"/>
      <c r="D51" s="1377"/>
      <c r="E51" s="1377"/>
      <c r="F51" s="1377"/>
      <c r="G51" s="1377"/>
      <c r="H51" s="1377"/>
      <c r="I51" s="1377"/>
      <c r="J51" s="1377"/>
      <c r="K51" s="1377"/>
      <c r="L51" s="1377"/>
    </row>
    <row r="52" spans="1:12">
      <c r="A52" s="717" t="s">
        <v>673</v>
      </c>
      <c r="B52" s="1378" t="s">
        <v>816</v>
      </c>
      <c r="C52" s="1378"/>
      <c r="D52" s="1378"/>
      <c r="E52" s="1378"/>
      <c r="F52" s="1378"/>
      <c r="G52" s="1378"/>
      <c r="H52" s="1378"/>
      <c r="I52" s="1378"/>
      <c r="J52" s="1378"/>
      <c r="K52" s="1378"/>
      <c r="L52" s="1378"/>
    </row>
    <row r="53" spans="1:12" ht="14.4">
      <c r="A53" s="713"/>
      <c r="B53" s="716" t="s">
        <v>815</v>
      </c>
      <c r="C53" s="713"/>
      <c r="D53" s="713"/>
      <c r="E53" s="713"/>
      <c r="F53" s="713"/>
      <c r="G53" s="713"/>
      <c r="H53" s="713"/>
      <c r="I53" s="713"/>
      <c r="J53" s="713"/>
      <c r="K53" s="713"/>
      <c r="L53" s="713"/>
    </row>
    <row r="54" spans="1:12" ht="15.6">
      <c r="A54" s="713"/>
      <c r="B54" s="715"/>
      <c r="C54" s="713"/>
      <c r="D54" s="713"/>
      <c r="E54" s="713"/>
      <c r="F54" s="713"/>
      <c r="G54" s="713"/>
      <c r="H54" s="713"/>
      <c r="I54" s="713"/>
      <c r="J54" s="713"/>
      <c r="K54" s="713"/>
      <c r="L54" s="713"/>
    </row>
    <row r="55" spans="1:12" ht="14.4">
      <c r="A55" s="714" t="s">
        <v>669</v>
      </c>
      <c r="B55" s="713"/>
      <c r="C55" s="713"/>
      <c r="D55" s="713"/>
      <c r="E55" s="713"/>
      <c r="F55" s="713"/>
      <c r="G55" s="713"/>
      <c r="H55" s="713"/>
      <c r="I55" s="713"/>
      <c r="J55" s="713"/>
      <c r="K55" s="713"/>
      <c r="L55" s="713"/>
    </row>
    <row r="56" spans="1:12" ht="14.4">
      <c r="A56" s="713">
        <v>1</v>
      </c>
      <c r="B56" s="1376" t="s">
        <v>814</v>
      </c>
      <c r="C56" s="1376"/>
      <c r="D56" s="1376"/>
      <c r="E56" s="1376"/>
      <c r="F56" s="1376"/>
      <c r="G56" s="1376"/>
      <c r="H56" s="1376"/>
      <c r="I56" s="1376"/>
      <c r="J56" s="1376"/>
      <c r="K56" s="1376"/>
      <c r="L56" s="1376"/>
    </row>
    <row r="57" spans="1:12" ht="14.4">
      <c r="A57" s="713">
        <v>2</v>
      </c>
      <c r="B57" s="1376" t="s">
        <v>813</v>
      </c>
      <c r="C57" s="1376"/>
      <c r="D57" s="1376"/>
      <c r="E57" s="1376"/>
      <c r="F57" s="1376"/>
      <c r="G57" s="1376"/>
      <c r="H57" s="1376"/>
      <c r="I57" s="1376"/>
      <c r="J57" s="1376"/>
      <c r="K57" s="1376"/>
      <c r="L57" s="1376"/>
    </row>
    <row r="58" spans="1:12" ht="14.4">
      <c r="A58" s="713">
        <v>4</v>
      </c>
      <c r="B58" s="1376" t="s">
        <v>812</v>
      </c>
      <c r="C58" s="1376"/>
      <c r="D58" s="1376"/>
      <c r="E58" s="1376"/>
      <c r="F58" s="1376"/>
      <c r="G58" s="1376"/>
      <c r="H58" s="1376"/>
      <c r="I58" s="1376"/>
      <c r="J58" s="1376"/>
      <c r="K58" s="1376"/>
      <c r="L58" s="1376"/>
    </row>
    <row r="59" spans="1:12" ht="14.4">
      <c r="A59" s="713">
        <v>5</v>
      </c>
      <c r="B59" s="1376" t="s">
        <v>811</v>
      </c>
      <c r="C59" s="1376"/>
      <c r="D59" s="1376"/>
      <c r="E59" s="1376"/>
      <c r="F59" s="1376"/>
      <c r="G59" s="1376"/>
      <c r="H59" s="1376"/>
      <c r="I59" s="1376"/>
      <c r="J59" s="1376"/>
      <c r="K59" s="1376"/>
      <c r="L59" s="1376"/>
    </row>
    <row r="60" spans="1:12" ht="14.4">
      <c r="A60" s="713">
        <v>7</v>
      </c>
      <c r="B60" s="1376" t="s">
        <v>810</v>
      </c>
      <c r="C60" s="1376"/>
      <c r="D60" s="1376"/>
      <c r="E60" s="1376"/>
      <c r="F60" s="1376"/>
      <c r="G60" s="1376"/>
      <c r="H60" s="1376"/>
      <c r="I60" s="1376"/>
      <c r="J60" s="1376"/>
      <c r="K60" s="1376"/>
      <c r="L60" s="1376"/>
    </row>
  </sheetData>
  <mergeCells count="19">
    <mergeCell ref="B48:L48"/>
    <mergeCell ref="B49:L49"/>
    <mergeCell ref="B60:L60"/>
    <mergeCell ref="B51:L51"/>
    <mergeCell ref="B52:L52"/>
    <mergeCell ref="B56:L56"/>
    <mergeCell ref="B57:L57"/>
    <mergeCell ref="B58:L58"/>
    <mergeCell ref="B59:L59"/>
    <mergeCell ref="B50:L50"/>
    <mergeCell ref="B44:H44"/>
    <mergeCell ref="B45:H45"/>
    <mergeCell ref="B46:L46"/>
    <mergeCell ref="B47:L47"/>
    <mergeCell ref="C2:K2"/>
    <mergeCell ref="C3:L3"/>
    <mergeCell ref="G4:H4"/>
    <mergeCell ref="I4:J4"/>
    <mergeCell ref="B43:L4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B13" sqref="B13"/>
    </sheetView>
  </sheetViews>
  <sheetFormatPr defaultColWidth="9.109375" defaultRowHeight="13.2"/>
  <cols>
    <col min="1" max="1" width="9.109375" style="69"/>
    <col min="2" max="2" width="25" style="69" customWidth="1"/>
    <col min="3" max="14" width="9.109375" style="69"/>
    <col min="15" max="15" width="11.33203125" style="69" bestFit="1" customWidth="1"/>
    <col min="16" max="16" width="10.33203125" style="69" bestFit="1" customWidth="1"/>
    <col min="17" max="16384" width="9.109375" style="69"/>
  </cols>
  <sheetData>
    <row r="1" spans="1:12" ht="21">
      <c r="A1" s="567"/>
      <c r="B1" s="759" t="s">
        <v>749</v>
      </c>
      <c r="C1" s="1372" t="s">
        <v>875</v>
      </c>
      <c r="D1" s="1372"/>
      <c r="E1" s="1372"/>
      <c r="F1" s="1372"/>
      <c r="G1" s="1372"/>
      <c r="H1" s="1372"/>
      <c r="I1" s="1372"/>
      <c r="J1" s="1372"/>
      <c r="K1" s="1372"/>
      <c r="L1" s="1372"/>
    </row>
    <row r="2" spans="1:12">
      <c r="A2" s="567"/>
      <c r="B2" s="721"/>
      <c r="C2" s="721"/>
      <c r="D2" s="721"/>
      <c r="E2" s="721"/>
      <c r="F2" s="721"/>
      <c r="G2" s="721"/>
      <c r="H2" s="721"/>
      <c r="I2" s="721"/>
      <c r="J2" s="721"/>
      <c r="K2" s="721"/>
      <c r="L2" s="567"/>
    </row>
    <row r="3" spans="1:12">
      <c r="A3" s="567"/>
      <c r="B3" s="728" t="s">
        <v>296</v>
      </c>
      <c r="C3" s="1373" t="s">
        <v>875</v>
      </c>
      <c r="D3" s="1374"/>
      <c r="E3" s="1374"/>
      <c r="F3" s="1374"/>
      <c r="G3" s="1374"/>
      <c r="H3" s="1374"/>
      <c r="I3" s="1374"/>
      <c r="J3" s="1374"/>
      <c r="K3" s="1374"/>
      <c r="L3" s="1375"/>
    </row>
    <row r="4" spans="1:12">
      <c r="A4" s="567"/>
      <c r="B4" s="758"/>
      <c r="C4" s="784">
        <v>2015</v>
      </c>
      <c r="D4" s="784">
        <v>2020</v>
      </c>
      <c r="E4" s="784">
        <v>2030</v>
      </c>
      <c r="F4" s="784">
        <v>2050</v>
      </c>
      <c r="G4" s="1380" t="s">
        <v>290</v>
      </c>
      <c r="H4" s="1381"/>
      <c r="I4" s="1380" t="s">
        <v>289</v>
      </c>
      <c r="J4" s="1381"/>
      <c r="K4" s="784" t="s">
        <v>288</v>
      </c>
      <c r="L4" s="784" t="s">
        <v>874</v>
      </c>
    </row>
    <row r="5" spans="1:12">
      <c r="A5" s="567"/>
      <c r="B5" s="783" t="s">
        <v>282</v>
      </c>
      <c r="C5" s="654"/>
      <c r="D5" s="654"/>
      <c r="E5" s="654"/>
      <c r="F5" s="654"/>
      <c r="G5" s="782" t="s">
        <v>284</v>
      </c>
      <c r="H5" s="782" t="s">
        <v>283</v>
      </c>
      <c r="I5" s="782" t="s">
        <v>284</v>
      </c>
      <c r="J5" s="782" t="s">
        <v>283</v>
      </c>
      <c r="K5" s="654"/>
      <c r="L5" s="654"/>
    </row>
    <row r="6" spans="1:12" ht="26.4">
      <c r="A6" s="567"/>
      <c r="B6" s="781" t="s">
        <v>873</v>
      </c>
      <c r="C6" s="622">
        <v>20</v>
      </c>
      <c r="D6" s="622">
        <v>20</v>
      </c>
      <c r="E6" s="622">
        <v>20</v>
      </c>
      <c r="F6" s="622">
        <v>20</v>
      </c>
      <c r="G6" s="622"/>
      <c r="H6" s="622"/>
      <c r="I6" s="622"/>
      <c r="J6" s="622"/>
      <c r="K6" s="622" t="s">
        <v>694</v>
      </c>
      <c r="L6" s="622" t="s">
        <v>863</v>
      </c>
    </row>
    <row r="7" spans="1:12">
      <c r="A7" s="567"/>
      <c r="B7" s="780"/>
      <c r="C7" s="766"/>
      <c r="D7" s="622"/>
      <c r="E7" s="622"/>
      <c r="F7" s="622"/>
      <c r="G7" s="622"/>
      <c r="H7" s="622"/>
      <c r="I7" s="622"/>
      <c r="J7" s="622"/>
      <c r="K7" s="622"/>
      <c r="L7" s="622"/>
    </row>
    <row r="8" spans="1:12">
      <c r="A8" s="567"/>
      <c r="B8" s="779" t="s">
        <v>872</v>
      </c>
      <c r="C8" s="622"/>
      <c r="D8" s="622"/>
      <c r="E8" s="622"/>
      <c r="F8" s="622"/>
      <c r="G8" s="622"/>
      <c r="H8" s="622"/>
      <c r="I8" s="622"/>
      <c r="J8" s="622"/>
      <c r="K8" s="622"/>
      <c r="L8" s="622"/>
    </row>
    <row r="9" spans="1:12">
      <c r="A9" s="567"/>
      <c r="B9" s="778" t="s">
        <v>871</v>
      </c>
      <c r="C9" s="622">
        <v>98</v>
      </c>
      <c r="D9" s="622">
        <v>98</v>
      </c>
      <c r="E9" s="622">
        <v>98</v>
      </c>
      <c r="F9" s="622">
        <v>98</v>
      </c>
      <c r="G9" s="622"/>
      <c r="H9" s="622"/>
      <c r="I9" s="622"/>
      <c r="J9" s="622"/>
      <c r="K9" s="622"/>
      <c r="L9" s="622"/>
    </row>
    <row r="10" spans="1:12" ht="26.4">
      <c r="A10" s="567"/>
      <c r="B10" s="777" t="s">
        <v>870</v>
      </c>
      <c r="C10" s="622">
        <v>2</v>
      </c>
      <c r="D10" s="622">
        <v>2</v>
      </c>
      <c r="E10" s="622">
        <v>2</v>
      </c>
      <c r="F10" s="622">
        <v>2</v>
      </c>
      <c r="G10" s="622"/>
      <c r="H10" s="622"/>
      <c r="I10" s="622"/>
      <c r="J10" s="622"/>
      <c r="K10" s="622"/>
      <c r="L10" s="622"/>
    </row>
    <row r="11" spans="1:12">
      <c r="A11" s="567"/>
      <c r="B11" s="777"/>
      <c r="C11" s="622"/>
      <c r="D11" s="622"/>
      <c r="E11" s="622"/>
      <c r="F11" s="622"/>
      <c r="G11" s="622"/>
      <c r="H11" s="622"/>
      <c r="I11" s="622"/>
      <c r="J11" s="622"/>
      <c r="K11" s="622"/>
      <c r="L11" s="622"/>
    </row>
    <row r="12" spans="1:12">
      <c r="A12" s="567"/>
      <c r="B12" s="776" t="s">
        <v>869</v>
      </c>
      <c r="C12" s="622"/>
      <c r="D12" s="622"/>
      <c r="E12" s="622"/>
      <c r="F12" s="622"/>
      <c r="G12" s="622"/>
      <c r="H12" s="622"/>
      <c r="I12" s="622"/>
      <c r="J12" s="622"/>
      <c r="K12" s="622"/>
      <c r="L12" s="622"/>
    </row>
    <row r="13" spans="1:12">
      <c r="A13" s="567"/>
      <c r="B13" s="615" t="s">
        <v>868</v>
      </c>
      <c r="C13" s="622">
        <v>74</v>
      </c>
      <c r="D13" s="622">
        <v>75</v>
      </c>
      <c r="E13" s="622">
        <v>77</v>
      </c>
      <c r="F13" s="622">
        <v>83</v>
      </c>
      <c r="G13" s="622">
        <v>60</v>
      </c>
      <c r="H13" s="622">
        <v>80</v>
      </c>
      <c r="I13" s="622">
        <v>80</v>
      </c>
      <c r="J13" s="622">
        <v>90</v>
      </c>
      <c r="K13" s="622" t="s">
        <v>272</v>
      </c>
      <c r="L13" s="622" t="s">
        <v>866</v>
      </c>
    </row>
    <row r="14" spans="1:12">
      <c r="A14" s="567"/>
      <c r="B14" s="615" t="s">
        <v>867</v>
      </c>
      <c r="C14" s="622">
        <v>10</v>
      </c>
      <c r="D14" s="622">
        <v>10</v>
      </c>
      <c r="E14" s="622">
        <v>9</v>
      </c>
      <c r="F14" s="622">
        <v>5</v>
      </c>
      <c r="G14" s="622"/>
      <c r="H14" s="622"/>
      <c r="I14" s="622"/>
      <c r="J14" s="622"/>
      <c r="K14" s="622" t="s">
        <v>692</v>
      </c>
      <c r="L14" s="622" t="s">
        <v>866</v>
      </c>
    </row>
    <row r="15" spans="1:12">
      <c r="A15" s="567"/>
      <c r="B15" s="615"/>
      <c r="C15" s="622"/>
      <c r="D15" s="766"/>
      <c r="E15" s="622"/>
      <c r="F15" s="622"/>
      <c r="G15" s="622"/>
      <c r="H15" s="622"/>
      <c r="I15" s="622"/>
      <c r="J15" s="622"/>
      <c r="K15" s="622"/>
      <c r="L15" s="622"/>
    </row>
    <row r="16" spans="1:12">
      <c r="A16" s="567"/>
      <c r="B16" s="775" t="s">
        <v>865</v>
      </c>
      <c r="C16" s="622">
        <v>5</v>
      </c>
      <c r="D16" s="766">
        <v>5</v>
      </c>
      <c r="E16" s="622">
        <v>5</v>
      </c>
      <c r="F16" s="622">
        <v>5</v>
      </c>
      <c r="G16" s="622"/>
      <c r="H16" s="622"/>
      <c r="I16" s="622"/>
      <c r="J16" s="622"/>
      <c r="K16" s="622"/>
      <c r="L16" s="622" t="s">
        <v>863</v>
      </c>
    </row>
    <row r="17" spans="1:16">
      <c r="A17" s="567"/>
      <c r="B17" s="775" t="s">
        <v>92</v>
      </c>
      <c r="C17" s="622">
        <v>3</v>
      </c>
      <c r="D17" s="766">
        <v>3</v>
      </c>
      <c r="E17" s="622">
        <v>3</v>
      </c>
      <c r="F17" s="622">
        <v>3</v>
      </c>
      <c r="G17" s="622"/>
      <c r="H17" s="622"/>
      <c r="I17" s="622"/>
      <c r="J17" s="622"/>
      <c r="K17" s="622"/>
      <c r="L17" s="622" t="s">
        <v>863</v>
      </c>
    </row>
    <row r="18" spans="1:16">
      <c r="A18" s="567"/>
      <c r="B18" s="775" t="s">
        <v>58</v>
      </c>
      <c r="C18" s="622">
        <v>20</v>
      </c>
      <c r="D18" s="766">
        <v>20</v>
      </c>
      <c r="E18" s="622">
        <v>20</v>
      </c>
      <c r="F18" s="622">
        <v>20</v>
      </c>
      <c r="G18" s="622"/>
      <c r="H18" s="622"/>
      <c r="I18" s="622"/>
      <c r="J18" s="622"/>
      <c r="K18" s="622"/>
      <c r="L18" s="622" t="s">
        <v>863</v>
      </c>
    </row>
    <row r="19" spans="1:16">
      <c r="A19" s="567"/>
      <c r="B19" s="775" t="s">
        <v>60</v>
      </c>
      <c r="C19" s="622" t="s">
        <v>864</v>
      </c>
      <c r="D19" s="766" t="s">
        <v>864</v>
      </c>
      <c r="E19" s="766" t="s">
        <v>864</v>
      </c>
      <c r="F19" s="766" t="s">
        <v>864</v>
      </c>
      <c r="G19" s="622"/>
      <c r="H19" s="622"/>
      <c r="I19" s="622"/>
      <c r="J19" s="622"/>
      <c r="K19" s="622"/>
      <c r="L19" s="622" t="s">
        <v>863</v>
      </c>
    </row>
    <row r="20" spans="1:16">
      <c r="A20" s="567"/>
      <c r="B20" s="615"/>
      <c r="C20" s="622"/>
      <c r="D20" s="766"/>
      <c r="E20" s="622"/>
      <c r="F20" s="622"/>
      <c r="G20" s="622"/>
      <c r="H20" s="622"/>
      <c r="I20" s="622"/>
      <c r="J20" s="622"/>
      <c r="K20" s="622"/>
      <c r="L20" s="622"/>
    </row>
    <row r="21" spans="1:16">
      <c r="A21" s="567"/>
      <c r="B21" s="657" t="s">
        <v>264</v>
      </c>
      <c r="C21" s="774"/>
      <c r="D21" s="773"/>
      <c r="E21" s="773"/>
      <c r="F21" s="773"/>
      <c r="G21" s="773"/>
      <c r="H21" s="773"/>
      <c r="I21" s="773"/>
      <c r="J21" s="773"/>
      <c r="K21" s="772"/>
      <c r="L21" s="771"/>
    </row>
    <row r="22" spans="1:16" ht="15">
      <c r="A22" s="567"/>
      <c r="B22" s="761" t="s">
        <v>862</v>
      </c>
      <c r="C22" s="767">
        <v>1.4</v>
      </c>
      <c r="D22" s="767">
        <v>1.3</v>
      </c>
      <c r="E22" s="767">
        <v>1.2</v>
      </c>
      <c r="F22" s="767">
        <v>1.1000000000000001</v>
      </c>
      <c r="G22" s="767">
        <v>0.9</v>
      </c>
      <c r="H22" s="767">
        <v>1.8</v>
      </c>
      <c r="I22" s="767">
        <v>0.7</v>
      </c>
      <c r="J22" s="767">
        <v>1.4</v>
      </c>
      <c r="K22" s="766" t="s">
        <v>269</v>
      </c>
      <c r="L22" s="622" t="s">
        <v>857</v>
      </c>
    </row>
    <row r="23" spans="1:16">
      <c r="A23" s="567"/>
      <c r="B23" s="761" t="s">
        <v>708</v>
      </c>
      <c r="C23" s="770" t="s">
        <v>706</v>
      </c>
      <c r="D23" s="770"/>
      <c r="E23" s="770"/>
      <c r="F23" s="770"/>
      <c r="G23" s="770"/>
      <c r="H23" s="770"/>
      <c r="I23" s="770"/>
      <c r="J23" s="770"/>
      <c r="K23" s="766"/>
      <c r="L23" s="622"/>
    </row>
    <row r="24" spans="1:16">
      <c r="A24" s="567"/>
      <c r="B24" s="761" t="s">
        <v>707</v>
      </c>
      <c r="C24" s="769" t="s">
        <v>706</v>
      </c>
      <c r="D24" s="769"/>
      <c r="E24" s="769"/>
      <c r="F24" s="769"/>
      <c r="G24" s="769"/>
      <c r="H24" s="769"/>
      <c r="I24" s="769"/>
      <c r="J24" s="769"/>
      <c r="K24" s="766"/>
      <c r="L24" s="622"/>
      <c r="O24" s="69" t="s">
        <v>861</v>
      </c>
      <c r="P24" s="69" t="s">
        <v>860</v>
      </c>
    </row>
    <row r="25" spans="1:16" ht="15">
      <c r="A25" s="567"/>
      <c r="B25" s="761" t="s">
        <v>859</v>
      </c>
      <c r="C25" s="768">
        <v>21000</v>
      </c>
      <c r="D25" s="768">
        <v>20000</v>
      </c>
      <c r="E25" s="768">
        <v>18000</v>
      </c>
      <c r="F25" s="768">
        <v>16200</v>
      </c>
      <c r="G25" s="768">
        <v>15000</v>
      </c>
      <c r="H25" s="768">
        <v>24900</v>
      </c>
      <c r="I25" s="768">
        <v>12100</v>
      </c>
      <c r="J25" s="768">
        <v>20200</v>
      </c>
      <c r="K25" s="766" t="s">
        <v>269</v>
      </c>
      <c r="L25" s="622" t="s">
        <v>857</v>
      </c>
      <c r="N25" s="743">
        <f>C25</f>
        <v>21000</v>
      </c>
      <c r="O25" s="739">
        <f>N25*7.45</f>
        <v>156450</v>
      </c>
      <c r="P25" s="739">
        <f>O25/3.6</f>
        <v>43458.333333333336</v>
      </c>
    </row>
    <row r="26" spans="1:16" ht="15">
      <c r="A26" s="567"/>
      <c r="B26" s="761" t="s">
        <v>858</v>
      </c>
      <c r="C26" s="767">
        <v>2.6</v>
      </c>
      <c r="D26" s="767">
        <v>2.5</v>
      </c>
      <c r="E26" s="767">
        <v>2.2000000000000002</v>
      </c>
      <c r="F26" s="767">
        <v>2</v>
      </c>
      <c r="G26" s="767">
        <v>1.7</v>
      </c>
      <c r="H26" s="767">
        <v>3.3</v>
      </c>
      <c r="I26" s="767">
        <v>1.4</v>
      </c>
      <c r="J26" s="767">
        <v>2.7</v>
      </c>
      <c r="K26" s="766" t="s">
        <v>269</v>
      </c>
      <c r="L26" s="622" t="s">
        <v>857</v>
      </c>
    </row>
    <row r="27" spans="1:16">
      <c r="A27" s="567"/>
      <c r="B27" s="761"/>
      <c r="C27" s="765"/>
      <c r="D27" s="764"/>
      <c r="E27" s="764"/>
      <c r="F27" s="764"/>
      <c r="G27" s="763"/>
      <c r="H27" s="763"/>
      <c r="I27" s="763"/>
      <c r="J27" s="763"/>
      <c r="K27" s="763"/>
      <c r="L27" s="763"/>
    </row>
    <row r="28" spans="1:16">
      <c r="A28" s="567"/>
      <c r="B28" s="762" t="s">
        <v>642</v>
      </c>
      <c r="C28" s="638"/>
      <c r="D28" s="638"/>
      <c r="E28" s="638"/>
      <c r="F28" s="638"/>
      <c r="G28" s="622"/>
      <c r="H28" s="622"/>
      <c r="I28" s="622"/>
      <c r="J28" s="622"/>
      <c r="K28" s="622"/>
      <c r="L28" s="622"/>
    </row>
    <row r="29" spans="1:16">
      <c r="A29" s="567"/>
      <c r="B29" s="761" t="s">
        <v>821</v>
      </c>
      <c r="C29" s="622">
        <v>20</v>
      </c>
      <c r="D29" s="622">
        <v>20</v>
      </c>
      <c r="E29" s="622">
        <v>20</v>
      </c>
      <c r="F29" s="622">
        <v>20</v>
      </c>
      <c r="G29" s="622"/>
      <c r="H29" s="622"/>
      <c r="I29" s="622"/>
      <c r="J29" s="622"/>
      <c r="K29" s="622"/>
      <c r="L29" s="622">
        <v>8</v>
      </c>
    </row>
    <row r="30" spans="1:16">
      <c r="A30" s="567"/>
      <c r="B30" s="1379"/>
      <c r="C30" s="1379"/>
      <c r="D30" s="1379"/>
      <c r="E30" s="1379"/>
      <c r="F30" s="1379"/>
      <c r="G30" s="1379"/>
      <c r="H30" s="1379"/>
      <c r="I30" s="1379"/>
      <c r="J30" s="1379"/>
      <c r="K30" s="1379"/>
      <c r="L30" s="1379"/>
    </row>
    <row r="31" spans="1:16">
      <c r="A31" s="714" t="s">
        <v>695</v>
      </c>
      <c r="B31" s="719"/>
      <c r="C31" s="718"/>
      <c r="D31" s="718"/>
      <c r="E31" s="718"/>
      <c r="F31" s="718"/>
      <c r="G31" s="718"/>
      <c r="H31" s="718"/>
      <c r="I31" s="718"/>
      <c r="J31" s="718"/>
      <c r="K31" s="718"/>
      <c r="L31" s="718"/>
    </row>
    <row r="32" spans="1:16">
      <c r="A32" s="717" t="s">
        <v>694</v>
      </c>
      <c r="B32" s="1379" t="s">
        <v>856</v>
      </c>
      <c r="C32" s="1379"/>
      <c r="D32" s="1379"/>
      <c r="E32" s="1379"/>
      <c r="F32" s="1379"/>
      <c r="G32" s="1379"/>
      <c r="H32" s="1379"/>
      <c r="I32" s="1379"/>
      <c r="J32" s="1379"/>
      <c r="K32" s="1379"/>
      <c r="L32" s="1379"/>
    </row>
    <row r="33" spans="1:12">
      <c r="A33" s="717" t="s">
        <v>692</v>
      </c>
      <c r="B33" s="1379" t="s">
        <v>855</v>
      </c>
      <c r="C33" s="1379"/>
      <c r="D33" s="1379"/>
      <c r="E33" s="1379"/>
      <c r="F33" s="1379"/>
      <c r="G33" s="1379"/>
      <c r="H33" s="1379"/>
      <c r="I33" s="1379"/>
      <c r="J33" s="1379"/>
      <c r="K33" s="1379"/>
      <c r="L33" s="1379"/>
    </row>
    <row r="34" spans="1:12">
      <c r="A34" s="717" t="s">
        <v>272</v>
      </c>
      <c r="B34" s="1377" t="s">
        <v>854</v>
      </c>
      <c r="C34" s="1377"/>
      <c r="D34" s="1377"/>
      <c r="E34" s="1377"/>
      <c r="F34" s="1377"/>
      <c r="G34" s="1377"/>
      <c r="H34" s="1377"/>
      <c r="I34" s="1377"/>
      <c r="J34" s="1377"/>
      <c r="K34" s="1377"/>
      <c r="L34" s="1377"/>
    </row>
    <row r="35" spans="1:12">
      <c r="A35" s="760" t="s">
        <v>269</v>
      </c>
      <c r="B35" s="1377" t="s">
        <v>853</v>
      </c>
      <c r="C35" s="1377"/>
      <c r="D35" s="1377"/>
      <c r="E35" s="1377"/>
      <c r="F35" s="1377"/>
      <c r="G35" s="1377"/>
      <c r="H35" s="1377"/>
      <c r="I35" s="1377"/>
      <c r="J35" s="1377"/>
      <c r="K35" s="1377"/>
      <c r="L35" s="1377"/>
    </row>
    <row r="36" spans="1:12">
      <c r="A36" s="717" t="s">
        <v>266</v>
      </c>
      <c r="B36" s="1379" t="s">
        <v>852</v>
      </c>
      <c r="C36" s="1379"/>
      <c r="D36" s="1379"/>
      <c r="E36" s="1379"/>
      <c r="F36" s="1379"/>
      <c r="G36" s="1379"/>
      <c r="H36" s="1379"/>
      <c r="I36" s="1379"/>
      <c r="J36" s="1379"/>
      <c r="K36" s="1379"/>
      <c r="L36" s="1379"/>
    </row>
    <row r="37" spans="1:12">
      <c r="A37" s="717" t="s">
        <v>255</v>
      </c>
      <c r="B37" s="1379" t="s">
        <v>851</v>
      </c>
      <c r="C37" s="1379"/>
      <c r="D37" s="1379"/>
      <c r="E37" s="1379"/>
      <c r="F37" s="1379"/>
      <c r="G37" s="1379"/>
      <c r="H37" s="1379"/>
      <c r="I37" s="1379"/>
      <c r="J37" s="1379"/>
      <c r="K37" s="1379"/>
      <c r="L37" s="1379"/>
    </row>
    <row r="38" spans="1:12">
      <c r="A38" s="717" t="s">
        <v>389</v>
      </c>
      <c r="B38" s="1382" t="s">
        <v>850</v>
      </c>
      <c r="C38" s="1382"/>
      <c r="D38" s="1382"/>
      <c r="E38" s="1382"/>
      <c r="F38" s="1382"/>
      <c r="G38" s="1382"/>
      <c r="H38" s="1382"/>
      <c r="I38" s="1382"/>
      <c r="J38" s="1382"/>
      <c r="K38" s="1382"/>
      <c r="L38" s="1382"/>
    </row>
  </sheetData>
  <mergeCells count="12">
    <mergeCell ref="B34:L34"/>
    <mergeCell ref="B35:L35"/>
    <mergeCell ref="B36:L36"/>
    <mergeCell ref="B37:L37"/>
    <mergeCell ref="B38:L38"/>
    <mergeCell ref="B32:L32"/>
    <mergeCell ref="B33:L33"/>
    <mergeCell ref="C1:L1"/>
    <mergeCell ref="C3:L3"/>
    <mergeCell ref="G4:H4"/>
    <mergeCell ref="I4:J4"/>
    <mergeCell ref="B30:L3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B13" sqref="B13"/>
    </sheetView>
  </sheetViews>
  <sheetFormatPr defaultColWidth="9.109375" defaultRowHeight="13.2"/>
  <cols>
    <col min="1" max="1" width="3.109375" style="69" customWidth="1"/>
    <col min="2" max="2" width="25.44140625" style="69" customWidth="1"/>
    <col min="3" max="17" width="9.109375" style="69"/>
    <col min="18" max="18" width="20.5546875" style="69" bestFit="1" customWidth="1"/>
    <col min="19" max="16384" width="9.109375" style="69"/>
  </cols>
  <sheetData>
    <row r="1" spans="1:20" ht="21">
      <c r="A1" s="721"/>
      <c r="B1" s="759" t="s">
        <v>749</v>
      </c>
      <c r="C1" s="1372" t="s">
        <v>898</v>
      </c>
      <c r="D1" s="1372"/>
      <c r="E1" s="1372"/>
      <c r="F1" s="1372"/>
      <c r="G1" s="1372"/>
      <c r="H1" s="1372"/>
      <c r="I1" s="1372"/>
      <c r="J1" s="1372"/>
      <c r="K1" s="1372"/>
      <c r="L1" s="1372"/>
    </row>
    <row r="2" spans="1:20">
      <c r="A2" s="721"/>
      <c r="B2" s="721"/>
      <c r="C2" s="721"/>
      <c r="D2" s="721"/>
      <c r="E2" s="721"/>
      <c r="F2" s="721"/>
      <c r="G2" s="721"/>
      <c r="H2" s="721"/>
      <c r="I2" s="721"/>
      <c r="J2" s="721"/>
      <c r="K2" s="721"/>
      <c r="L2" s="810"/>
    </row>
    <row r="3" spans="1:20">
      <c r="A3" s="721"/>
      <c r="B3" s="809" t="s">
        <v>296</v>
      </c>
      <c r="C3" s="1383" t="s">
        <v>897</v>
      </c>
      <c r="D3" s="1384"/>
      <c r="E3" s="1384"/>
      <c r="F3" s="1384"/>
      <c r="G3" s="1384"/>
      <c r="H3" s="1384"/>
      <c r="I3" s="1384"/>
      <c r="J3" s="1384"/>
      <c r="K3" s="1384"/>
      <c r="L3" s="1385"/>
    </row>
    <row r="4" spans="1:20">
      <c r="A4" s="721"/>
      <c r="B4" s="808"/>
      <c r="C4" s="807">
        <v>2015</v>
      </c>
      <c r="D4" s="807">
        <v>2020</v>
      </c>
      <c r="E4" s="807">
        <v>2030</v>
      </c>
      <c r="F4" s="807">
        <v>2050</v>
      </c>
      <c r="G4" s="1383" t="s">
        <v>290</v>
      </c>
      <c r="H4" s="1385"/>
      <c r="I4" s="1383" t="s">
        <v>289</v>
      </c>
      <c r="J4" s="1385"/>
      <c r="K4" s="807" t="s">
        <v>288</v>
      </c>
      <c r="L4" s="807" t="s">
        <v>287</v>
      </c>
    </row>
    <row r="5" spans="1:20">
      <c r="A5" s="721"/>
      <c r="B5" s="794" t="s">
        <v>282</v>
      </c>
      <c r="C5" s="794"/>
      <c r="D5" s="794"/>
      <c r="E5" s="794"/>
      <c r="F5" s="794"/>
      <c r="G5" s="806" t="s">
        <v>284</v>
      </c>
      <c r="H5" s="806" t="s">
        <v>283</v>
      </c>
      <c r="I5" s="806" t="s">
        <v>284</v>
      </c>
      <c r="J5" s="806" t="s">
        <v>283</v>
      </c>
      <c r="K5" s="794"/>
      <c r="L5" s="805"/>
    </row>
    <row r="6" spans="1:20" ht="15">
      <c r="A6" s="721"/>
      <c r="B6" s="799" t="s">
        <v>873</v>
      </c>
      <c r="C6" s="790">
        <v>32</v>
      </c>
      <c r="D6" s="790">
        <v>154</v>
      </c>
      <c r="E6" s="790">
        <v>400</v>
      </c>
      <c r="F6" s="790">
        <v>400</v>
      </c>
      <c r="G6" s="790"/>
      <c r="H6" s="790"/>
      <c r="I6" s="790"/>
      <c r="J6" s="790"/>
      <c r="K6" s="790"/>
      <c r="L6" s="789" t="s">
        <v>896</v>
      </c>
    </row>
    <row r="7" spans="1:20">
      <c r="A7" s="721"/>
      <c r="B7" s="804"/>
      <c r="C7" s="790"/>
      <c r="D7" s="790"/>
      <c r="E7" s="790"/>
      <c r="F7" s="790"/>
      <c r="G7" s="790"/>
      <c r="H7" s="790"/>
      <c r="I7" s="790"/>
      <c r="J7" s="790"/>
      <c r="K7" s="790"/>
      <c r="L7" s="789"/>
    </row>
    <row r="8" spans="1:20">
      <c r="A8" s="721"/>
      <c r="B8" s="800" t="s">
        <v>872</v>
      </c>
      <c r="C8" s="790"/>
      <c r="D8" s="790"/>
      <c r="E8" s="790"/>
      <c r="F8" s="790"/>
      <c r="G8" s="790"/>
      <c r="H8" s="790"/>
      <c r="I8" s="790"/>
      <c r="J8" s="790"/>
      <c r="K8" s="790" t="s">
        <v>692</v>
      </c>
      <c r="L8" s="789"/>
    </row>
    <row r="9" spans="1:20">
      <c r="A9" s="721"/>
      <c r="B9" s="792" t="s">
        <v>871</v>
      </c>
      <c r="C9" s="790">
        <v>91</v>
      </c>
      <c r="D9" s="790">
        <v>100</v>
      </c>
      <c r="E9" s="790">
        <v>100</v>
      </c>
      <c r="F9" s="790">
        <v>100</v>
      </c>
      <c r="G9" s="790"/>
      <c r="H9" s="790"/>
      <c r="I9" s="790"/>
      <c r="J9" s="790"/>
      <c r="K9" s="790"/>
      <c r="L9" s="789"/>
      <c r="O9" s="299">
        <v>0.91</v>
      </c>
      <c r="R9" s="803">
        <f>O9/P12</f>
        <v>1.625</v>
      </c>
      <c r="T9" s="578">
        <f>R10/SUM(R9:R10)</f>
        <v>0.09</v>
      </c>
    </row>
    <row r="10" spans="1:20">
      <c r="A10" s="721"/>
      <c r="B10" s="792" t="s">
        <v>870</v>
      </c>
      <c r="C10" s="790">
        <v>9</v>
      </c>
      <c r="D10" s="790">
        <v>0</v>
      </c>
      <c r="E10" s="790">
        <v>0</v>
      </c>
      <c r="F10" s="790">
        <v>0</v>
      </c>
      <c r="G10" s="790"/>
      <c r="H10" s="790"/>
      <c r="I10" s="790"/>
      <c r="J10" s="790"/>
      <c r="K10" s="790" t="s">
        <v>692</v>
      </c>
      <c r="L10" s="789"/>
      <c r="O10" s="299">
        <v>0.09</v>
      </c>
      <c r="P10" s="69">
        <v>1</v>
      </c>
      <c r="R10" s="802">
        <f>O10/P12</f>
        <v>0.1607142857142857</v>
      </c>
    </row>
    <row r="11" spans="1:20">
      <c r="A11" s="721"/>
      <c r="B11" s="801"/>
      <c r="C11" s="790"/>
      <c r="D11" s="790"/>
      <c r="E11" s="790"/>
      <c r="F11" s="790"/>
      <c r="G11" s="790"/>
      <c r="H11" s="790"/>
      <c r="I11" s="790"/>
      <c r="J11" s="790"/>
      <c r="K11" s="790"/>
      <c r="L11" s="789"/>
    </row>
    <row r="12" spans="1:20">
      <c r="A12" s="721"/>
      <c r="B12" s="800" t="s">
        <v>869</v>
      </c>
      <c r="C12" s="790"/>
      <c r="D12" s="790"/>
      <c r="E12" s="790"/>
      <c r="F12" s="790"/>
      <c r="G12" s="790"/>
      <c r="H12" s="790"/>
      <c r="I12" s="790"/>
      <c r="J12" s="790"/>
      <c r="K12" s="790" t="s">
        <v>692</v>
      </c>
      <c r="L12" s="789"/>
      <c r="P12" s="299">
        <v>0.56000000000000005</v>
      </c>
    </row>
    <row r="13" spans="1:20" ht="20.399999999999999">
      <c r="A13" s="721"/>
      <c r="B13" s="792" t="s">
        <v>895</v>
      </c>
      <c r="C13" s="790">
        <v>56</v>
      </c>
      <c r="D13" s="790">
        <v>60</v>
      </c>
      <c r="E13" s="790">
        <v>63</v>
      </c>
      <c r="F13" s="790">
        <v>70</v>
      </c>
      <c r="G13" s="790">
        <v>58</v>
      </c>
      <c r="H13" s="790">
        <v>65</v>
      </c>
      <c r="I13" s="790">
        <v>65</v>
      </c>
      <c r="J13" s="790">
        <v>75</v>
      </c>
      <c r="K13" s="790" t="s">
        <v>389</v>
      </c>
      <c r="L13" s="789" t="s">
        <v>894</v>
      </c>
    </row>
    <row r="14" spans="1:20" ht="20.399999999999999">
      <c r="A14" s="721"/>
      <c r="B14" s="792" t="s">
        <v>867</v>
      </c>
      <c r="C14" s="790">
        <v>15</v>
      </c>
      <c r="D14" s="790">
        <v>20</v>
      </c>
      <c r="E14" s="790">
        <v>22</v>
      </c>
      <c r="F14" s="790">
        <v>20</v>
      </c>
      <c r="G14" s="790"/>
      <c r="H14" s="790"/>
      <c r="I14" s="790"/>
      <c r="J14" s="790"/>
      <c r="K14" s="790" t="s">
        <v>393</v>
      </c>
      <c r="L14" s="789" t="s">
        <v>894</v>
      </c>
    </row>
    <row r="15" spans="1:20">
      <c r="A15" s="721"/>
      <c r="B15" s="792"/>
      <c r="C15" s="790"/>
      <c r="D15" s="790"/>
      <c r="E15" s="790"/>
      <c r="F15" s="790"/>
      <c r="G15" s="790"/>
      <c r="H15" s="790"/>
      <c r="I15" s="790"/>
      <c r="J15" s="790"/>
      <c r="K15" s="790"/>
      <c r="L15" s="789"/>
    </row>
    <row r="16" spans="1:20">
      <c r="A16" s="721"/>
      <c r="B16" s="792" t="s">
        <v>865</v>
      </c>
      <c r="C16" s="790">
        <v>3</v>
      </c>
      <c r="D16" s="790">
        <v>3</v>
      </c>
      <c r="E16" s="790">
        <v>3</v>
      </c>
      <c r="F16" s="790">
        <v>3</v>
      </c>
      <c r="G16" s="790"/>
      <c r="H16" s="790"/>
      <c r="I16" s="790"/>
      <c r="J16" s="790"/>
      <c r="K16" s="790"/>
      <c r="L16" s="789"/>
    </row>
    <row r="17" spans="1:12">
      <c r="A17" s="721"/>
      <c r="B17" s="792" t="s">
        <v>92</v>
      </c>
      <c r="C17" s="790">
        <v>3</v>
      </c>
      <c r="D17" s="790">
        <v>3</v>
      </c>
      <c r="E17" s="790">
        <v>3</v>
      </c>
      <c r="F17" s="790">
        <v>3</v>
      </c>
      <c r="G17" s="790"/>
      <c r="H17" s="790"/>
      <c r="I17" s="790"/>
      <c r="J17" s="790"/>
      <c r="K17" s="790"/>
      <c r="L17" s="789"/>
    </row>
    <row r="18" spans="1:12">
      <c r="A18" s="721"/>
      <c r="B18" s="792" t="s">
        <v>58</v>
      </c>
      <c r="C18" s="790">
        <v>15</v>
      </c>
      <c r="D18" s="790">
        <v>20</v>
      </c>
      <c r="E18" s="790">
        <v>20</v>
      </c>
      <c r="F18" s="790">
        <v>20</v>
      </c>
      <c r="G18" s="790"/>
      <c r="H18" s="790"/>
      <c r="I18" s="790"/>
      <c r="J18" s="790"/>
      <c r="K18" s="790"/>
      <c r="L18" s="789"/>
    </row>
    <row r="19" spans="1:12">
      <c r="A19" s="721"/>
      <c r="B19" s="792" t="s">
        <v>60</v>
      </c>
      <c r="C19" s="790">
        <v>2.5</v>
      </c>
      <c r="D19" s="790">
        <v>2.5</v>
      </c>
      <c r="E19" s="790">
        <v>2.5</v>
      </c>
      <c r="F19" s="790">
        <v>2.5</v>
      </c>
      <c r="G19" s="790"/>
      <c r="H19" s="790"/>
      <c r="I19" s="790"/>
      <c r="J19" s="790"/>
      <c r="K19" s="790"/>
      <c r="L19" s="789"/>
    </row>
    <row r="20" spans="1:12">
      <c r="A20" s="721"/>
      <c r="B20" s="792"/>
      <c r="C20" s="790"/>
      <c r="D20" s="790"/>
      <c r="E20" s="790"/>
      <c r="F20" s="790"/>
      <c r="G20" s="790"/>
      <c r="H20" s="790"/>
      <c r="I20" s="790"/>
      <c r="J20" s="790"/>
      <c r="K20" s="790"/>
      <c r="L20" s="789"/>
    </row>
    <row r="21" spans="1:12">
      <c r="A21" s="721"/>
      <c r="B21" s="794" t="s">
        <v>264</v>
      </c>
      <c r="C21" s="794"/>
      <c r="D21" s="794"/>
      <c r="E21" s="794"/>
      <c r="F21" s="794"/>
      <c r="G21" s="794"/>
      <c r="H21" s="794"/>
      <c r="I21" s="794"/>
      <c r="J21" s="794"/>
      <c r="K21" s="794"/>
      <c r="L21" s="793"/>
    </row>
    <row r="22" spans="1:12" ht="20.399999999999999">
      <c r="A22" s="721"/>
      <c r="B22" s="799" t="s">
        <v>862</v>
      </c>
      <c r="C22" s="790">
        <v>4</v>
      </c>
      <c r="D22" s="790">
        <v>2.5</v>
      </c>
      <c r="E22" s="790">
        <v>1.6</v>
      </c>
      <c r="F22" s="790">
        <v>1.5</v>
      </c>
      <c r="G22" s="790">
        <v>1.8</v>
      </c>
      <c r="H22" s="790">
        <v>3</v>
      </c>
      <c r="I22" s="790">
        <v>1.4</v>
      </c>
      <c r="J22" s="790">
        <v>2.6</v>
      </c>
      <c r="K22" s="790" t="s">
        <v>266</v>
      </c>
      <c r="L22" s="798" t="s">
        <v>893</v>
      </c>
    </row>
    <row r="23" spans="1:12">
      <c r="A23" s="721"/>
      <c r="B23" s="792" t="s">
        <v>708</v>
      </c>
      <c r="C23" s="790" t="s">
        <v>706</v>
      </c>
      <c r="D23" s="790"/>
      <c r="E23" s="790"/>
      <c r="F23" s="790"/>
      <c r="G23" s="790"/>
      <c r="H23" s="790"/>
      <c r="I23" s="790"/>
      <c r="J23" s="790"/>
      <c r="K23" s="790"/>
      <c r="L23" s="789"/>
    </row>
    <row r="24" spans="1:12">
      <c r="A24" s="721"/>
      <c r="B24" s="792" t="s">
        <v>707</v>
      </c>
      <c r="C24" s="790" t="s">
        <v>706</v>
      </c>
      <c r="D24" s="790"/>
      <c r="E24" s="790"/>
      <c r="F24" s="790"/>
      <c r="G24" s="790"/>
      <c r="H24" s="790"/>
      <c r="I24" s="790"/>
      <c r="J24" s="790"/>
      <c r="K24" s="790"/>
      <c r="L24" s="789"/>
    </row>
    <row r="25" spans="1:12" ht="20.399999999999999">
      <c r="A25" s="721"/>
      <c r="B25" s="792" t="s">
        <v>892</v>
      </c>
      <c r="C25" s="790">
        <v>80500</v>
      </c>
      <c r="D25" s="790">
        <v>40200</v>
      </c>
      <c r="E25" s="790">
        <v>26200</v>
      </c>
      <c r="F25" s="790">
        <v>24100</v>
      </c>
      <c r="G25" s="790">
        <v>30200</v>
      </c>
      <c r="H25" s="790">
        <v>50300</v>
      </c>
      <c r="I25" s="790">
        <v>18100</v>
      </c>
      <c r="J25" s="790">
        <v>30200</v>
      </c>
      <c r="K25" s="790" t="s">
        <v>255</v>
      </c>
      <c r="L25" s="789" t="s">
        <v>891</v>
      </c>
    </row>
    <row r="26" spans="1:12" ht="20.399999999999999">
      <c r="A26" s="721"/>
      <c r="B26" s="792" t="s">
        <v>858</v>
      </c>
      <c r="C26" s="790">
        <v>5.3</v>
      </c>
      <c r="D26" s="790">
        <v>2.7</v>
      </c>
      <c r="E26" s="790">
        <v>1.7</v>
      </c>
      <c r="F26" s="790">
        <v>1.6</v>
      </c>
      <c r="G26" s="790">
        <v>1.8</v>
      </c>
      <c r="H26" s="790">
        <v>3.5</v>
      </c>
      <c r="I26" s="790">
        <v>1.1000000000000001</v>
      </c>
      <c r="J26" s="790">
        <v>2.1</v>
      </c>
      <c r="K26" s="790" t="s">
        <v>255</v>
      </c>
      <c r="L26" s="789" t="s">
        <v>891</v>
      </c>
    </row>
    <row r="27" spans="1:12">
      <c r="A27" s="721"/>
      <c r="B27" s="792"/>
      <c r="C27" s="797"/>
      <c r="D27" s="796"/>
      <c r="E27" s="796"/>
      <c r="F27" s="796"/>
      <c r="G27" s="790"/>
      <c r="H27" s="790"/>
      <c r="I27" s="790"/>
      <c r="J27" s="790"/>
      <c r="K27" s="790"/>
      <c r="L27" s="789"/>
    </row>
    <row r="28" spans="1:12">
      <c r="A28" s="721"/>
      <c r="B28" s="795" t="s">
        <v>642</v>
      </c>
      <c r="C28" s="791"/>
      <c r="D28" s="791"/>
      <c r="E28" s="791"/>
      <c r="F28" s="791"/>
      <c r="G28" s="790"/>
      <c r="H28" s="790"/>
      <c r="I28" s="790"/>
      <c r="J28" s="790"/>
      <c r="K28" s="790"/>
      <c r="L28" s="789"/>
    </row>
    <row r="29" spans="1:12">
      <c r="A29" s="721"/>
      <c r="B29" s="792" t="s">
        <v>890</v>
      </c>
      <c r="C29" s="790">
        <v>6</v>
      </c>
      <c r="D29" s="790">
        <v>6</v>
      </c>
      <c r="E29" s="790">
        <v>6</v>
      </c>
      <c r="F29" s="790">
        <v>6</v>
      </c>
      <c r="G29" s="790"/>
      <c r="H29" s="790"/>
      <c r="I29" s="790"/>
      <c r="J29" s="790"/>
      <c r="K29" s="790" t="s">
        <v>272</v>
      </c>
      <c r="L29" s="789"/>
    </row>
    <row r="30" spans="1:12">
      <c r="A30" s="721"/>
      <c r="B30" s="792" t="s">
        <v>889</v>
      </c>
      <c r="C30" s="790">
        <v>12</v>
      </c>
      <c r="D30" s="790">
        <v>12</v>
      </c>
      <c r="E30" s="790">
        <v>12</v>
      </c>
      <c r="F30" s="790">
        <v>12</v>
      </c>
      <c r="G30" s="790"/>
      <c r="H30" s="790"/>
      <c r="I30" s="790"/>
      <c r="J30" s="790"/>
      <c r="K30" s="790" t="s">
        <v>272</v>
      </c>
      <c r="L30" s="789"/>
    </row>
    <row r="31" spans="1:12">
      <c r="A31" s="721"/>
      <c r="B31" s="792"/>
      <c r="C31" s="790"/>
      <c r="D31" s="790"/>
      <c r="E31" s="790"/>
      <c r="F31" s="790"/>
      <c r="G31" s="790"/>
      <c r="H31" s="790"/>
      <c r="I31" s="790"/>
      <c r="J31" s="790"/>
      <c r="K31" s="790"/>
      <c r="L31" s="789"/>
    </row>
    <row r="32" spans="1:12">
      <c r="A32" s="721"/>
      <c r="B32" s="794" t="s">
        <v>888</v>
      </c>
      <c r="C32" s="794"/>
      <c r="D32" s="794"/>
      <c r="E32" s="794"/>
      <c r="F32" s="794"/>
      <c r="G32" s="794"/>
      <c r="H32" s="794"/>
      <c r="I32" s="794"/>
      <c r="J32" s="794"/>
      <c r="K32" s="794"/>
      <c r="L32" s="793"/>
    </row>
    <row r="33" spans="1:12" ht="15">
      <c r="A33" s="721"/>
      <c r="B33" s="792" t="s">
        <v>887</v>
      </c>
      <c r="C33" s="790">
        <v>16</v>
      </c>
      <c r="D33" s="790">
        <v>20</v>
      </c>
      <c r="E33" s="790">
        <v>20</v>
      </c>
      <c r="F33" s="790">
        <v>20</v>
      </c>
      <c r="G33" s="790"/>
      <c r="H33" s="790"/>
      <c r="I33" s="790"/>
      <c r="J33" s="790"/>
      <c r="K33" s="790" t="s">
        <v>269</v>
      </c>
      <c r="L33" s="789" t="s">
        <v>884</v>
      </c>
    </row>
    <row r="34" spans="1:12" ht="15">
      <c r="A34" s="721"/>
      <c r="B34" s="792" t="s">
        <v>886</v>
      </c>
      <c r="C34" s="790">
        <v>0</v>
      </c>
      <c r="D34" s="790">
        <v>0</v>
      </c>
      <c r="E34" s="790">
        <v>0</v>
      </c>
      <c r="F34" s="790">
        <v>0</v>
      </c>
      <c r="G34" s="790"/>
      <c r="H34" s="790"/>
      <c r="I34" s="790"/>
      <c r="J34" s="790"/>
      <c r="K34" s="790" t="s">
        <v>269</v>
      </c>
      <c r="L34" s="789">
        <v>29</v>
      </c>
    </row>
    <row r="35" spans="1:12" ht="15">
      <c r="A35" s="721"/>
      <c r="B35" s="792" t="s">
        <v>885</v>
      </c>
      <c r="C35" s="790">
        <v>0.3</v>
      </c>
      <c r="D35" s="790">
        <v>1</v>
      </c>
      <c r="E35" s="790">
        <v>1</v>
      </c>
      <c r="F35" s="790">
        <v>0</v>
      </c>
      <c r="G35" s="790"/>
      <c r="H35" s="790"/>
      <c r="I35" s="791"/>
      <c r="J35" s="791"/>
      <c r="K35" s="790" t="s">
        <v>269</v>
      </c>
      <c r="L35" s="789" t="s">
        <v>884</v>
      </c>
    </row>
    <row r="36" spans="1:12">
      <c r="A36" s="788" t="s">
        <v>695</v>
      </c>
      <c r="B36" s="719"/>
      <c r="C36" s="718"/>
      <c r="D36" s="718"/>
      <c r="E36" s="718"/>
      <c r="F36" s="718"/>
      <c r="G36" s="718"/>
      <c r="H36" s="718"/>
      <c r="I36" s="718"/>
      <c r="J36" s="718"/>
      <c r="K36" s="718"/>
      <c r="L36" s="787"/>
    </row>
    <row r="37" spans="1:12">
      <c r="A37" s="717" t="s">
        <v>694</v>
      </c>
      <c r="B37" s="786" t="s">
        <v>883</v>
      </c>
      <c r="C37" s="719"/>
      <c r="D37" s="719"/>
      <c r="E37" s="719"/>
      <c r="F37" s="719"/>
      <c r="G37" s="719"/>
      <c r="H37" s="719"/>
      <c r="I37" s="719"/>
      <c r="J37" s="719"/>
      <c r="K37" s="719"/>
      <c r="L37" s="785"/>
    </row>
    <row r="38" spans="1:12">
      <c r="A38" s="717" t="s">
        <v>692</v>
      </c>
      <c r="B38" s="1382" t="s">
        <v>882</v>
      </c>
      <c r="C38" s="1382"/>
      <c r="D38" s="1382"/>
      <c r="E38" s="1382"/>
      <c r="F38" s="1382"/>
      <c r="G38" s="1382"/>
      <c r="H38" s="1382"/>
      <c r="I38" s="1382"/>
      <c r="J38" s="1382"/>
      <c r="K38" s="1382"/>
      <c r="L38" s="1382"/>
    </row>
    <row r="39" spans="1:12">
      <c r="A39" s="717" t="s">
        <v>272</v>
      </c>
      <c r="B39" s="1382" t="s">
        <v>881</v>
      </c>
      <c r="C39" s="1382"/>
      <c r="D39" s="1382"/>
      <c r="E39" s="1382"/>
      <c r="F39" s="1382"/>
      <c r="G39" s="1382"/>
      <c r="H39" s="1382"/>
      <c r="I39" s="1382"/>
      <c r="J39" s="1382"/>
      <c r="K39" s="1382"/>
      <c r="L39" s="1382"/>
    </row>
    <row r="40" spans="1:12">
      <c r="A40" s="717" t="s">
        <v>269</v>
      </c>
      <c r="B40" s="1382" t="s">
        <v>880</v>
      </c>
      <c r="C40" s="1382"/>
      <c r="D40" s="1382"/>
      <c r="E40" s="1382"/>
      <c r="F40" s="1382"/>
      <c r="G40" s="1382"/>
      <c r="H40" s="1382"/>
      <c r="I40" s="1382"/>
      <c r="J40" s="1382"/>
      <c r="K40" s="1382"/>
      <c r="L40" s="1382"/>
    </row>
    <row r="41" spans="1:12">
      <c r="A41" s="717" t="s">
        <v>266</v>
      </c>
      <c r="B41" s="1382" t="s">
        <v>879</v>
      </c>
      <c r="C41" s="1382"/>
      <c r="D41" s="1382"/>
      <c r="E41" s="1382"/>
      <c r="F41" s="1382"/>
      <c r="G41" s="1382"/>
      <c r="H41" s="1382"/>
      <c r="I41" s="1382"/>
      <c r="J41" s="1382"/>
      <c r="K41" s="1382"/>
      <c r="L41" s="1382"/>
    </row>
    <row r="42" spans="1:12">
      <c r="A42" s="717" t="s">
        <v>255</v>
      </c>
      <c r="B42" s="1382" t="s">
        <v>878</v>
      </c>
      <c r="C42" s="1382"/>
      <c r="D42" s="1382"/>
      <c r="E42" s="1382"/>
      <c r="F42" s="1382"/>
      <c r="G42" s="1382"/>
      <c r="H42" s="1382"/>
      <c r="I42" s="1382"/>
      <c r="J42" s="1382"/>
      <c r="K42" s="1382"/>
      <c r="L42" s="1382"/>
    </row>
    <row r="43" spans="1:12">
      <c r="A43" s="717" t="s">
        <v>389</v>
      </c>
      <c r="B43" s="1382" t="s">
        <v>877</v>
      </c>
      <c r="C43" s="1382"/>
      <c r="D43" s="1382"/>
      <c r="E43" s="1382"/>
      <c r="F43" s="1382"/>
      <c r="G43" s="1382"/>
      <c r="H43" s="1382"/>
      <c r="I43" s="1382"/>
      <c r="J43" s="1382"/>
      <c r="K43" s="1382"/>
      <c r="L43" s="1382"/>
    </row>
    <row r="44" spans="1:12">
      <c r="A44" s="717" t="s">
        <v>393</v>
      </c>
      <c r="B44" s="1382" t="s">
        <v>876</v>
      </c>
      <c r="C44" s="1382"/>
      <c r="D44" s="1382"/>
      <c r="E44" s="1382"/>
      <c r="F44" s="1382"/>
      <c r="G44" s="1382"/>
      <c r="H44" s="1382"/>
      <c r="I44" s="1382"/>
      <c r="J44" s="1382"/>
      <c r="K44" s="1382"/>
      <c r="L44" s="1382"/>
    </row>
  </sheetData>
  <mergeCells count="11">
    <mergeCell ref="B40:L40"/>
    <mergeCell ref="B41:L41"/>
    <mergeCell ref="B42:L42"/>
    <mergeCell ref="B43:L43"/>
    <mergeCell ref="B44:L44"/>
    <mergeCell ref="B39:L39"/>
    <mergeCell ref="C1:L1"/>
    <mergeCell ref="C3:L3"/>
    <mergeCell ref="G4:H4"/>
    <mergeCell ref="I4:J4"/>
    <mergeCell ref="B38:L3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57B3-6918-4D39-90E4-202D14978EC8}">
  <sheetPr>
    <tabColor theme="4" tint="0.39997558519241921"/>
    <pageSetUpPr fitToPage="1"/>
  </sheetPr>
  <dimension ref="B2:N65"/>
  <sheetViews>
    <sheetView showGridLines="0" zoomScaleNormal="100" workbookViewId="0">
      <selection activeCell="C26" sqref="C26"/>
    </sheetView>
  </sheetViews>
  <sheetFormatPr defaultRowHeight="14.4"/>
  <cols>
    <col min="1" max="1" width="2.109375" customWidth="1"/>
    <col min="2" max="2" width="44.6640625" bestFit="1" customWidth="1"/>
    <col min="3" max="3" width="39.88671875" customWidth="1"/>
    <col min="4" max="13" width="8.33203125" customWidth="1"/>
  </cols>
  <sheetData>
    <row r="2" spans="2:14">
      <c r="I2" s="884"/>
    </row>
    <row r="3" spans="2:14" ht="15" customHeight="1">
      <c r="C3" s="1131" t="s">
        <v>296</v>
      </c>
      <c r="D3" s="1386" t="s">
        <v>1501</v>
      </c>
      <c r="E3" s="1387"/>
      <c r="F3" s="1387"/>
      <c r="G3" s="1387"/>
      <c r="H3" s="1387"/>
      <c r="I3" s="1387"/>
      <c r="J3" s="1387"/>
      <c r="K3" s="1387"/>
      <c r="L3" s="1387"/>
      <c r="M3" s="1387"/>
      <c r="N3" s="1387"/>
    </row>
    <row r="4" spans="2:14" ht="15" customHeight="1">
      <c r="C4" s="1132"/>
      <c r="D4" s="1132">
        <v>2015</v>
      </c>
      <c r="E4" s="1132">
        <v>2020</v>
      </c>
      <c r="F4" s="1132">
        <v>2030</v>
      </c>
      <c r="G4" s="1132">
        <v>2040</v>
      </c>
      <c r="H4" s="1132">
        <v>2050</v>
      </c>
      <c r="I4" s="1388" t="s">
        <v>290</v>
      </c>
      <c r="J4" s="1388"/>
      <c r="K4" s="1388" t="s">
        <v>289</v>
      </c>
      <c r="L4" s="1388"/>
      <c r="M4" s="1133" t="s">
        <v>288</v>
      </c>
      <c r="N4" s="1133" t="s">
        <v>287</v>
      </c>
    </row>
    <row r="5" spans="2:14">
      <c r="C5" s="1134"/>
      <c r="D5" s="1134"/>
      <c r="E5" s="1134"/>
      <c r="F5" s="1134"/>
      <c r="G5" s="1134"/>
      <c r="H5" s="1134"/>
      <c r="I5" s="1135" t="s">
        <v>284</v>
      </c>
      <c r="J5" s="1135" t="s">
        <v>283</v>
      </c>
      <c r="K5" s="1135" t="s">
        <v>284</v>
      </c>
      <c r="L5" s="1135" t="s">
        <v>283</v>
      </c>
      <c r="M5" s="1135"/>
      <c r="N5" s="1135"/>
    </row>
    <row r="6" spans="2:14">
      <c r="B6" t="str">
        <f>IF(IF(OR(LEFT(C6,27)=SUP_Biofuels!$N$8,LEFT(C6,20)=SUP_Biofuels!$O$8,LEFT(C6,20)=SUP_Biofuels!$P$8),LEFT(C6,20),C6)="Specific investment ","Specific investment (M€ /MW",IF(OR(LEFT(C6,27)=SUP_Biofuels!$N$8,LEFT(C6,20)=SUP_Biofuels!$O$8,LEFT(C6,20)=SUP_Biofuels!$P$8),LEFT(C6,20),C6))</f>
        <v>Energy/technical data</v>
      </c>
      <c r="C6" s="1136" t="s">
        <v>282</v>
      </c>
      <c r="D6" s="1137"/>
      <c r="E6" s="1137"/>
      <c r="F6" s="1137"/>
      <c r="G6" s="1137"/>
      <c r="H6" s="1137"/>
      <c r="I6" s="1137"/>
      <c r="J6" s="1137"/>
      <c r="K6" s="1137"/>
      <c r="L6" s="1137"/>
      <c r="M6" s="1138"/>
      <c r="N6" s="1139"/>
    </row>
    <row r="7" spans="2:14">
      <c r="B7" t="str">
        <f>IF(IF(OR(LEFT(C7,27)=SUP_Biofuels!$N$8,LEFT(C7,20)=SUP_Biofuels!$O$8,LEFT(C7,20)=SUP_Biofuels!$P$8),LEFT(C7,20),C7)="Specific investment ","Specific investment (M€ /MW",IF(OR(LEFT(C7,27)=SUP_Biofuels!$N$8,LEFT(C7,20)=SUP_Biofuels!$O$8,LEFT(C7,20)=SUP_Biofuels!$P$8),LEFT(C7,20),C7))</f>
        <v>Typical total plant size 1,000 t FT Liquids/year</v>
      </c>
      <c r="C7" s="1140" t="s">
        <v>1357</v>
      </c>
      <c r="D7" s="1140">
        <v>50</v>
      </c>
      <c r="E7" s="1140">
        <v>50</v>
      </c>
      <c r="F7" s="1140">
        <v>100</v>
      </c>
      <c r="G7" s="1140">
        <v>125</v>
      </c>
      <c r="H7" s="1140">
        <v>150</v>
      </c>
      <c r="I7" s="1141">
        <v>1</v>
      </c>
      <c r="J7" s="1141">
        <v>1.5</v>
      </c>
      <c r="K7" s="1141">
        <v>0.5</v>
      </c>
      <c r="L7" s="1141">
        <v>1.5</v>
      </c>
      <c r="M7" s="1142" t="s">
        <v>280</v>
      </c>
      <c r="N7" s="1142" t="s">
        <v>1150</v>
      </c>
    </row>
    <row r="8" spans="2:14">
      <c r="B8" t="str">
        <f>IF(IF(OR(LEFT(C8,27)=SUP_Biofuels!$N$8,LEFT(C8,20)=SUP_Biofuels!$O$8,LEFT(C8,20)=SUP_Biofuels!$P$8),LEFT(C8,20),C8)="Specific investment ","Specific investment (M€ /MW",IF(OR(LEFT(C8,27)=SUP_Biofuels!$N$8,LEFT(C8,20)=SUP_Biofuels!$O$8,LEFT(C8,20)=SUP_Biofuels!$P$8),LEFT(C8,20),C8))</f>
        <v>Typical total plant size, MW</v>
      </c>
      <c r="C8" s="1134" t="s">
        <v>278</v>
      </c>
      <c r="D8" s="1134">
        <v>75</v>
      </c>
      <c r="E8" s="1134">
        <v>75</v>
      </c>
      <c r="F8" s="1134">
        <v>150</v>
      </c>
      <c r="G8" s="1134">
        <v>190</v>
      </c>
      <c r="H8" s="1134">
        <v>225</v>
      </c>
      <c r="I8" s="1143">
        <v>1</v>
      </c>
      <c r="J8" s="1143">
        <v>1.5</v>
      </c>
      <c r="K8" s="1143">
        <v>0.5</v>
      </c>
      <c r="L8" s="1143">
        <v>1.5</v>
      </c>
      <c r="M8" s="1135" t="s">
        <v>277</v>
      </c>
      <c r="N8" s="1135" t="s">
        <v>1150</v>
      </c>
    </row>
    <row r="9" spans="2:14">
      <c r="B9" t="str">
        <f>IF(IF(OR(LEFT(C9,27)=SUP_Biofuels!$N$8,LEFT(C9,20)=SUP_Biofuels!$O$8,LEFT(C9,20)=SUP_Biofuels!$P$8),LEFT(C9,20),C9)="Specific investment ","Specific investment (M€ /MW",IF(OR(LEFT(C9,27)=SUP_Biofuels!$N$8,LEFT(C9,20)=SUP_Biofuels!$O$8,LEFT(C9,20)=SUP_Biofuels!$P$8),LEFT(C9,20),C9))</f>
        <v>Inputs</v>
      </c>
      <c r="C9" s="1136" t="s">
        <v>275</v>
      </c>
      <c r="D9" s="1137"/>
      <c r="E9" s="1137"/>
      <c r="F9" s="1137"/>
      <c r="G9" s="1137"/>
      <c r="H9" s="1137"/>
      <c r="I9" s="1137"/>
      <c r="J9" s="1137"/>
      <c r="K9" s="1137"/>
      <c r="L9" s="1137"/>
      <c r="M9" s="1138"/>
      <c r="N9" s="1139"/>
    </row>
    <row r="10" spans="2:14">
      <c r="B10" t="str">
        <f>IF(IF(OR(LEFT(C10,27)=SUP_Biofuels!$N$8,LEFT(C10,20)=SUP_Biofuels!$O$8,LEFT(C10,20)=SUP_Biofuels!$P$8),LEFT(C10,20),C10)="Specific investment ","Specific investment (M€ /MW",IF(OR(LEFT(C10,27)=SUP_Biofuels!$N$8,LEFT(C10,20)=SUP_Biofuels!$O$8,LEFT(C10,20)=SUP_Biofuels!$P$8),LEFT(C10,20),C10))</f>
        <v>Feedstock Consumption, MWh/MWh Total Input</v>
      </c>
      <c r="C10" s="1144" t="s">
        <v>112</v>
      </c>
      <c r="D10" s="1145">
        <v>1</v>
      </c>
      <c r="E10" s="1145">
        <v>1</v>
      </c>
      <c r="F10" s="1145">
        <v>1</v>
      </c>
      <c r="G10" s="1145">
        <v>1</v>
      </c>
      <c r="H10" s="1145">
        <v>1</v>
      </c>
      <c r="I10" s="1146">
        <v>0.8</v>
      </c>
      <c r="J10" s="1146">
        <v>1</v>
      </c>
      <c r="K10" s="1146">
        <v>0.8</v>
      </c>
      <c r="L10" s="1146">
        <v>1</v>
      </c>
      <c r="M10" s="1147" t="s">
        <v>272</v>
      </c>
      <c r="N10" s="1147">
        <v>1</v>
      </c>
    </row>
    <row r="11" spans="2:14">
      <c r="B11" t="str">
        <f>IF(IF(OR(LEFT(C11,27)=SUP_Biofuels!$N$8,LEFT(C11,20)=SUP_Biofuels!$O$8,LEFT(C11,20)=SUP_Biofuels!$P$8),LEFT(C11,20),C11)="Specific investment ","Specific investment (M€ /MW",IF(OR(LEFT(C11,27)=SUP_Biofuels!$N$8,LEFT(C11,20)=SUP_Biofuels!$O$8,LEFT(C11,20)=SUP_Biofuels!$P$8),LEFT(C11,20),C11))</f>
        <v>Outputs</v>
      </c>
      <c r="C11" s="1136" t="s">
        <v>271</v>
      </c>
      <c r="D11" s="1137"/>
      <c r="E11" s="1137"/>
      <c r="F11" s="1137"/>
      <c r="G11" s="1137"/>
      <c r="H11" s="1137"/>
      <c r="I11" s="1148"/>
      <c r="J11" s="1148"/>
      <c r="K11" s="1148"/>
      <c r="L11" s="1148"/>
      <c r="M11" s="1138"/>
      <c r="N11" s="1139"/>
    </row>
    <row r="12" spans="2:14">
      <c r="B12" t="str">
        <f>IF(IF(OR(LEFT(C12,27)=SUP_Biofuels!$N$8,LEFT(C12,20)=SUP_Biofuels!$O$8,LEFT(C12,20)=SUP_Biofuels!$P$8),LEFT(C12,20),C12)="Specific investment ","Specific investment (M€ /MW",IF(OR(LEFT(C12,27)=SUP_Biofuels!$N$8,LEFT(C12,20)=SUP_Biofuels!$O$8,LEFT(C12,20)=SUP_Biofuels!$P$8),LEFT(C12,20),C12))</f>
        <v>Naphta Output, MWh/MWh Total Input</v>
      </c>
      <c r="C12" s="1140" t="s">
        <v>106</v>
      </c>
      <c r="D12" s="1149">
        <v>0.1376</v>
      </c>
      <c r="E12" s="1149">
        <v>0.1376</v>
      </c>
      <c r="F12" s="1149">
        <f>E12*0.4/0.38</f>
        <v>0.14484210526315791</v>
      </c>
      <c r="G12" s="1149">
        <f>(F12+H12)/2</f>
        <v>0.15389473684210528</v>
      </c>
      <c r="H12" s="1149">
        <f>E12*0.45/0.38</f>
        <v>0.16294736842105265</v>
      </c>
      <c r="I12" s="1150">
        <v>0.8</v>
      </c>
      <c r="J12" s="1150">
        <v>1.1000000000000001</v>
      </c>
      <c r="K12" s="1150">
        <v>0.8</v>
      </c>
      <c r="L12" s="1150">
        <v>1.1000000000000001</v>
      </c>
      <c r="M12" s="1142" t="s">
        <v>269</v>
      </c>
      <c r="N12" s="1142">
        <v>1</v>
      </c>
    </row>
    <row r="13" spans="2:14">
      <c r="B13" t="str">
        <f>IF(IF(OR(LEFT(C13,27)=SUP_Biofuels!$N$8,LEFT(C13,20)=SUP_Biofuels!$O$8,LEFT(C13,20)=SUP_Biofuels!$P$8),LEFT(C13,20),C13)="Specific investment ","Specific investment (M€ /MW",IF(OR(LEFT(C13,27)=SUP_Biofuels!$N$8,LEFT(C13,20)=SUP_Biofuels!$O$8,LEFT(C13,20)=SUP_Biofuels!$P$8),LEFT(C13,20),C13))</f>
        <v>Jet Fuel Output, MWh/MWh Total Input</v>
      </c>
      <c r="C13" s="1132" t="s">
        <v>1502</v>
      </c>
      <c r="D13" s="1151">
        <v>1.47E-2</v>
      </c>
      <c r="E13" s="1151">
        <v>1.47E-2</v>
      </c>
      <c r="F13" s="1151">
        <f t="shared" ref="F13:F14" si="0">E13*0.4/0.38</f>
        <v>1.5473684210526315E-2</v>
      </c>
      <c r="G13" s="1151">
        <f t="shared" ref="G13:G15" si="1">(F13+H13)/2</f>
        <v>1.6440789473684211E-2</v>
      </c>
      <c r="H13" s="1151">
        <f t="shared" ref="H13:H14" si="2">E13*0.45/0.38</f>
        <v>1.7407894736842105E-2</v>
      </c>
      <c r="I13" s="1152">
        <v>0.8</v>
      </c>
      <c r="J13" s="1152">
        <v>1.1000000000000001</v>
      </c>
      <c r="K13" s="1152">
        <v>0.8</v>
      </c>
      <c r="L13" s="1152">
        <v>1.1000000000000001</v>
      </c>
      <c r="M13" s="1133" t="s">
        <v>269</v>
      </c>
      <c r="N13" s="1133">
        <v>1</v>
      </c>
    </row>
    <row r="14" spans="2:14">
      <c r="B14" t="str">
        <f>IF(IF(OR(LEFT(C14,27)=SUP_Biofuels!$N$8,LEFT(C14,20)=SUP_Biofuels!$O$8,LEFT(C14,20)=SUP_Biofuels!$P$8),LEFT(C14,20),C14)="Specific investment ","Specific investment (M€ /MW",IF(OR(LEFT(C14,27)=SUP_Biofuels!$N$8,LEFT(C14,20)=SUP_Biofuels!$O$8,LEFT(C14,20)=SUP_Biofuels!$P$8),LEFT(C14,20),C14))</f>
        <v>Diesel Output,  MWh/MWh Total Input</v>
      </c>
      <c r="C14" s="1132" t="s">
        <v>1503</v>
      </c>
      <c r="D14" s="1151">
        <v>9.98E-2</v>
      </c>
      <c r="E14" s="1151">
        <v>9.98E-2</v>
      </c>
      <c r="F14" s="1151">
        <f t="shared" si="0"/>
        <v>0.10505263157894738</v>
      </c>
      <c r="G14" s="1151">
        <f t="shared" si="1"/>
        <v>0.11161842105263159</v>
      </c>
      <c r="H14" s="1151">
        <f t="shared" si="2"/>
        <v>0.11818421052631578</v>
      </c>
      <c r="I14" s="1152">
        <v>0.8</v>
      </c>
      <c r="J14" s="1152">
        <v>1.1000000000000001</v>
      </c>
      <c r="K14" s="1152">
        <v>0.8</v>
      </c>
      <c r="L14" s="1152">
        <v>1.1000000000000001</v>
      </c>
      <c r="M14" s="1133" t="s">
        <v>269</v>
      </c>
      <c r="N14" s="1133">
        <v>1</v>
      </c>
    </row>
    <row r="15" spans="2:14">
      <c r="B15" t="str">
        <f>IF(IF(OR(LEFT(C15,27)=SUP_Biofuels!$N$8,LEFT(C15,20)=SUP_Biofuels!$O$8,LEFT(C15,20)=SUP_Biofuels!$P$8),LEFT(C15,20),C15)="Specific investment ","Specific investment (M€ /MW",IF(OR(LEFT(C15,27)=SUP_Biofuels!$N$8,LEFT(C15,20)=SUP_Biofuels!$O$8,LEFT(C15,20)=SUP_Biofuels!$P$8),LEFT(C15,20),C15))</f>
        <v>Electricity Output, MWh/MWh Total Input</v>
      </c>
      <c r="C15" s="1134" t="s">
        <v>1199</v>
      </c>
      <c r="D15" s="1153">
        <v>1.17E-2</v>
      </c>
      <c r="E15" s="1153">
        <v>1.17E-2</v>
      </c>
      <c r="F15" s="1153">
        <v>1.6E-2</v>
      </c>
      <c r="G15" s="1153">
        <f t="shared" si="1"/>
        <v>1.8000000000000002E-2</v>
      </c>
      <c r="H15" s="1153">
        <v>0.02</v>
      </c>
      <c r="I15" s="1154">
        <v>0.8</v>
      </c>
      <c r="J15" s="1154">
        <v>1.1000000000000001</v>
      </c>
      <c r="K15" s="1154">
        <v>0.8</v>
      </c>
      <c r="L15" s="1154">
        <v>1.1000000000000001</v>
      </c>
      <c r="M15" s="1135" t="s">
        <v>269</v>
      </c>
      <c r="N15" s="1135">
        <v>1</v>
      </c>
    </row>
    <row r="16" spans="2:14">
      <c r="B16">
        <f>IF(IF(OR(LEFT(C16,27)=SUP_Biofuels!$N$8,LEFT(C16,20)=SUP_Biofuels!$O$8,LEFT(C16,20)=SUP_Biofuels!$P$8),LEFT(C16,20),C16)="Specific investment ","Specific investment (M€ /MW",IF(OR(LEFT(C16,27)=SUP_Biofuels!$N$8,LEFT(C16,20)=SUP_Biofuels!$O$8,LEFT(C16,20)=SUP_Biofuels!$P$8),LEFT(C16,20),C16))</f>
        <v>0</v>
      </c>
      <c r="C16" s="1155"/>
      <c r="D16" s="1137"/>
      <c r="E16" s="1137"/>
      <c r="F16" s="1137"/>
      <c r="G16" s="1137"/>
      <c r="H16" s="1137"/>
      <c r="I16" s="1137"/>
      <c r="J16" s="1137"/>
      <c r="K16" s="1137"/>
      <c r="L16" s="1137"/>
      <c r="M16" s="1137"/>
      <c r="N16" s="115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1140" t="s">
        <v>59</v>
      </c>
      <c r="D17" s="1140">
        <v>4</v>
      </c>
      <c r="E17" s="1140">
        <v>4</v>
      </c>
      <c r="F17" s="1140">
        <v>0</v>
      </c>
      <c r="G17" s="1140">
        <v>0</v>
      </c>
      <c r="H17" s="1140">
        <v>0</v>
      </c>
      <c r="I17" s="1150"/>
      <c r="J17" s="1150"/>
      <c r="K17" s="1150"/>
      <c r="L17" s="1150"/>
      <c r="M17" s="1142"/>
      <c r="N17" s="1142"/>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1132" t="s">
        <v>92</v>
      </c>
      <c r="D18" s="1132">
        <v>2</v>
      </c>
      <c r="E18" s="1132">
        <v>2</v>
      </c>
      <c r="F18" s="1132">
        <v>2</v>
      </c>
      <c r="G18" s="1132">
        <v>2</v>
      </c>
      <c r="H18" s="1132">
        <v>2</v>
      </c>
      <c r="I18" s="1152"/>
      <c r="J18" s="1152"/>
      <c r="K18" s="1152"/>
      <c r="L18" s="1152"/>
      <c r="M18" s="1133"/>
      <c r="N18" s="1133"/>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1132" t="s">
        <v>58</v>
      </c>
      <c r="D19" s="1157">
        <v>20</v>
      </c>
      <c r="E19" s="1132">
        <v>25</v>
      </c>
      <c r="F19" s="1132">
        <v>25</v>
      </c>
      <c r="G19" s="1132">
        <v>25</v>
      </c>
      <c r="H19" s="1132">
        <v>25</v>
      </c>
      <c r="I19" s="1132"/>
      <c r="J19" s="1132"/>
      <c r="K19" s="1132"/>
      <c r="L19" s="1132"/>
      <c r="M19" s="1133"/>
      <c r="N19" s="1133"/>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1134" t="s">
        <v>60</v>
      </c>
      <c r="D20" s="1134">
        <v>2</v>
      </c>
      <c r="E20" s="1134">
        <v>2</v>
      </c>
      <c r="F20" s="1134">
        <v>2</v>
      </c>
      <c r="G20" s="1134">
        <v>2</v>
      </c>
      <c r="H20" s="1134">
        <v>2</v>
      </c>
      <c r="I20" s="1134"/>
      <c r="J20" s="1134"/>
      <c r="K20" s="1134"/>
      <c r="L20" s="1134"/>
      <c r="M20" s="1135"/>
      <c r="N20" s="1135"/>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1136" t="s">
        <v>264</v>
      </c>
      <c r="D21" s="1137"/>
      <c r="E21" s="1137"/>
      <c r="F21" s="1137"/>
      <c r="G21" s="1137"/>
      <c r="H21" s="1137"/>
      <c r="I21" s="1137"/>
      <c r="J21" s="1137"/>
      <c r="K21" s="1137"/>
      <c r="L21" s="1137"/>
      <c r="M21" s="1138"/>
      <c r="N21" s="1139"/>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1140" t="s">
        <v>1331</v>
      </c>
      <c r="D22" s="1158">
        <v>4.329004329004329</v>
      </c>
      <c r="E22" s="1158">
        <v>4.329004329004329</v>
      </c>
      <c r="F22" s="1158">
        <v>3.8961038961038956</v>
      </c>
      <c r="G22" s="1158">
        <v>3.6184210526315788</v>
      </c>
      <c r="H22" s="1158">
        <v>3.4632034632034632</v>
      </c>
      <c r="I22" s="1141">
        <v>0.75</v>
      </c>
      <c r="J22" s="1141">
        <v>1.2</v>
      </c>
      <c r="K22" s="1141">
        <v>0.75</v>
      </c>
      <c r="L22" s="1141">
        <v>1.2</v>
      </c>
      <c r="M22" s="1142" t="s">
        <v>1504</v>
      </c>
      <c r="N22" s="1142" t="s">
        <v>1505</v>
      </c>
    </row>
    <row r="23" spans="2:14">
      <c r="B23" t="str">
        <f>IF(IF(OR(LEFT(C23,27)=SUP_Biofuels!$N$8,LEFT(C23,20)=SUP_Biofuels!$O$8,LEFT(C23,20)=SUP_Biofuels!$P$8),LEFT(C23,20),C23)="Specific investment ","Specific investment (M€ /MW",IF(OR(LEFT(C23,27)=SUP_Biofuels!$N$8,LEFT(C23,20)=SUP_Biofuels!$O$8,LEFT(C23,20)=SUP_Biofuels!$P$8),LEFT(C23,20),C23))</f>
        <v xml:space="preserve"> - equipment (%)</v>
      </c>
      <c r="C23" s="1132" t="s">
        <v>394</v>
      </c>
      <c r="D23" s="1157">
        <v>75</v>
      </c>
      <c r="E23" s="1157">
        <v>75</v>
      </c>
      <c r="F23" s="1157">
        <v>75</v>
      </c>
      <c r="G23" s="1157">
        <v>75</v>
      </c>
      <c r="H23" s="1157">
        <v>75</v>
      </c>
      <c r="I23" s="1132"/>
      <c r="J23" s="1132"/>
      <c r="K23" s="1132"/>
      <c r="L23" s="1132"/>
      <c r="M23" s="1133"/>
      <c r="N23" s="1133"/>
    </row>
    <row r="24" spans="2:14">
      <c r="B24" t="str">
        <f>IF(IF(OR(LEFT(C24,27)=SUP_Biofuels!$N$8,LEFT(C24,20)=SUP_Biofuels!$O$8,LEFT(C24,20)=SUP_Biofuels!$P$8),LEFT(C24,20),C24)="Specific investment ","Specific investment (M€ /MW",IF(OR(LEFT(C24,27)=SUP_Biofuels!$N$8,LEFT(C24,20)=SUP_Biofuels!$O$8,LEFT(C24,20)=SUP_Biofuels!$P$8),LEFT(C24,20),C24))</f>
        <v xml:space="preserve"> -installation (%)</v>
      </c>
      <c r="C24" s="1132" t="s">
        <v>251</v>
      </c>
      <c r="D24" s="1132">
        <v>25</v>
      </c>
      <c r="E24" s="1132">
        <v>25</v>
      </c>
      <c r="F24" s="1132">
        <v>25</v>
      </c>
      <c r="G24" s="1132">
        <v>25</v>
      </c>
      <c r="H24" s="1132">
        <v>25</v>
      </c>
      <c r="I24" s="1132"/>
      <c r="J24" s="1132"/>
      <c r="K24" s="1132"/>
      <c r="L24" s="1132"/>
      <c r="M24" s="1133"/>
      <c r="N24" s="1133"/>
    </row>
    <row r="25" spans="2:14">
      <c r="B25" t="str">
        <f>LEFT(C25,17)</f>
        <v>Fixed O&amp;M (M€ /MW</v>
      </c>
      <c r="C25" s="1132" t="s">
        <v>1506</v>
      </c>
      <c r="D25" s="1151">
        <v>0.10389610389610389</v>
      </c>
      <c r="E25" s="1151">
        <v>0.10389610389610389</v>
      </c>
      <c r="F25" s="1151">
        <v>0.10389610389610389</v>
      </c>
      <c r="G25" s="1151">
        <v>0.10263157894736842</v>
      </c>
      <c r="H25" s="1151">
        <v>0.10389610389610389</v>
      </c>
      <c r="I25" s="1159">
        <v>0.75</v>
      </c>
      <c r="J25" s="1159">
        <v>1.2</v>
      </c>
      <c r="K25" s="1159">
        <v>0.75</v>
      </c>
      <c r="L25" s="1159">
        <v>1.2</v>
      </c>
      <c r="M25" s="1133" t="s">
        <v>786</v>
      </c>
      <c r="N25" s="1133">
        <v>1</v>
      </c>
    </row>
    <row r="26" spans="2:14">
      <c r="B26" t="str">
        <f>LEFT(C26,19)</f>
        <v>Variable O&amp;M (€ /MW</v>
      </c>
      <c r="C26" s="1132" t="s">
        <v>1507</v>
      </c>
      <c r="D26" s="1151">
        <v>1.0625737898465171</v>
      </c>
      <c r="E26" s="1151">
        <v>1.0625737898465171</v>
      </c>
      <c r="F26" s="1151">
        <v>1.0625737898465171</v>
      </c>
      <c r="G26" s="1151">
        <v>1.0636363636363637</v>
      </c>
      <c r="H26" s="1151">
        <v>1.0625737898465171</v>
      </c>
      <c r="I26" s="1159">
        <v>0.75</v>
      </c>
      <c r="J26" s="1159">
        <v>1.2</v>
      </c>
      <c r="K26" s="1159">
        <v>0.75</v>
      </c>
      <c r="L26" s="1159">
        <v>1.2</v>
      </c>
      <c r="M26" s="1133" t="s">
        <v>786</v>
      </c>
      <c r="N26" s="1133">
        <v>1</v>
      </c>
    </row>
    <row r="27" spans="2:14">
      <c r="B27" t="str">
        <f>IF(IF(OR(LEFT(C27,27)=SUP_Biofuels!$N$8,LEFT(C27,20)=SUP_Biofuels!$O$8,LEFT(C27,20)=SUP_Biofuels!$P$8),LEFT(C27,20),C27)="Specific investment ","Specific investment (M€ /MW",IF(OR(LEFT(C27,27)=SUP_Biofuels!$N$8,LEFT(C27,20)=SUP_Biofuels!$O$8,LEFT(C27,20)=SUP_Biofuels!$P$8),LEFT(C27,20),C27))</f>
        <v>Start up (M€ /1,000 t FT Liquids/year)</v>
      </c>
      <c r="C27" s="1134" t="s">
        <v>1508</v>
      </c>
      <c r="D27" s="1160">
        <v>0</v>
      </c>
      <c r="E27" s="1134">
        <v>0</v>
      </c>
      <c r="F27" s="1134">
        <v>0</v>
      </c>
      <c r="G27" s="1134">
        <v>0</v>
      </c>
      <c r="H27" s="1134">
        <v>0</v>
      </c>
      <c r="I27" s="1134"/>
      <c r="J27" s="1134"/>
      <c r="K27" s="1134"/>
      <c r="L27" s="1134"/>
      <c r="M27" s="1135" t="s">
        <v>255</v>
      </c>
      <c r="N27" s="1135"/>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1136" t="s">
        <v>260</v>
      </c>
      <c r="D28" s="1137"/>
      <c r="E28" s="1137"/>
      <c r="F28" s="1137"/>
      <c r="G28" s="1137"/>
      <c r="H28" s="1137"/>
      <c r="I28" s="1148"/>
      <c r="J28" s="1148"/>
      <c r="K28" s="1148"/>
      <c r="L28" s="1148"/>
      <c r="M28" s="1138"/>
      <c r="N28" s="1139"/>
    </row>
    <row r="29" spans="2:14">
      <c r="B29" t="str">
        <f>IF(IF(OR(LEFT(C29,27)=SUP_Biofuels!$N$8,LEFT(C29,20)=SUP_Biofuels!$O$8,LEFT(C29,20)=SUP_Biofuels!$P$8),LEFT(C29,20),C29)="Specific investment ","Specific investment (M€ /MW",IF(OR(LEFT(C29,27)=SUP_Biofuels!$N$8,LEFT(C29,20)=SUP_Biofuels!$O$8,LEFT(C29,20)=SUP_Biofuels!$P$8),LEFT(C29,20),C29))</f>
        <v>Specific energy content (GJ/ton) FT Diesel)</v>
      </c>
      <c r="C29" s="1140" t="s">
        <v>1509</v>
      </c>
      <c r="D29" s="1140">
        <v>44</v>
      </c>
      <c r="E29" s="1140">
        <v>44</v>
      </c>
      <c r="F29" s="1140">
        <v>44</v>
      </c>
      <c r="G29" s="1140">
        <v>44</v>
      </c>
      <c r="H29" s="1140">
        <v>44</v>
      </c>
      <c r="I29" s="1150"/>
      <c r="J29" s="1150"/>
      <c r="K29" s="1150"/>
      <c r="L29" s="1150"/>
      <c r="M29" s="1142"/>
      <c r="N29" s="1142"/>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1132" t="s">
        <v>257</v>
      </c>
      <c r="D30" s="1132">
        <v>0.77</v>
      </c>
      <c r="E30" s="1132">
        <v>0.77</v>
      </c>
      <c r="F30" s="1132">
        <v>0.77</v>
      </c>
      <c r="G30" s="1132">
        <v>0.77</v>
      </c>
      <c r="H30" s="1132">
        <v>0.77</v>
      </c>
      <c r="I30" s="1152"/>
      <c r="J30" s="1152"/>
      <c r="K30" s="1152"/>
      <c r="L30" s="1152"/>
      <c r="M30" s="1133"/>
      <c r="N30" s="1133"/>
    </row>
    <row r="31" spans="2:14">
      <c r="B31" t="str">
        <f>IF(IF(OR(LEFT(C31,27)=SUP_Biofuels!$N$8,LEFT(C31,20)=SUP_Biofuels!$O$8,LEFT(C31,20)=SUP_Biofuels!$P$8),LEFT(C31,20),C31)="Specific investment ","Specific investment (M€ /MW",IF(OR(LEFT(C31,27)=SUP_Biofuels!$N$8,LEFT(C31,20)=SUP_Biofuels!$O$8,LEFT(C31,20)=SUP_Biofuels!$P$8),LEFT(C31,20),C31))</f>
        <v>Specific investment (M€ /1,000 t FT Liquids/year)</v>
      </c>
      <c r="C31" s="1132" t="s">
        <v>1510</v>
      </c>
      <c r="D31" s="1161">
        <v>6.4935064935064934</v>
      </c>
      <c r="E31" s="1161">
        <v>6.4935064935064934</v>
      </c>
      <c r="F31" s="1161">
        <v>5.8441558441558437</v>
      </c>
      <c r="G31" s="1161">
        <v>5.5</v>
      </c>
      <c r="H31" s="1161">
        <v>5.1948051948051948</v>
      </c>
      <c r="I31" s="1159">
        <v>0.75</v>
      </c>
      <c r="J31" s="1159">
        <v>1.2</v>
      </c>
      <c r="K31" s="1159">
        <v>0.75</v>
      </c>
      <c r="L31" s="1159">
        <v>1.2</v>
      </c>
      <c r="M31" s="1133" t="s">
        <v>1504</v>
      </c>
      <c r="N31" s="1133" t="s">
        <v>1505</v>
      </c>
    </row>
    <row r="32" spans="2:14">
      <c r="B32" t="str">
        <f>IF(IF(OR(LEFT(C32,27)=SUP_Biofuels!$N$8,LEFT(C32,20)=SUP_Biofuels!$O$8,LEFT(C32,20)=SUP_Biofuels!$P$8),LEFT(C32,20),C32)="Specific investment ","Specific investment (M€ /MW",IF(OR(LEFT(C32,27)=SUP_Biofuels!$N$8,LEFT(C32,20)=SUP_Biofuels!$O$8,LEFT(C32,20)=SUP_Biofuels!$P$8),LEFT(C32,20),C32))</f>
        <v xml:space="preserve"> - equipment (%)</v>
      </c>
      <c r="C32" s="1132" t="s">
        <v>394</v>
      </c>
      <c r="D32" s="1157">
        <v>75</v>
      </c>
      <c r="E32" s="1157">
        <v>75</v>
      </c>
      <c r="F32" s="1157">
        <v>75</v>
      </c>
      <c r="G32" s="1157">
        <v>75</v>
      </c>
      <c r="H32" s="1157">
        <v>75</v>
      </c>
      <c r="I32" s="1132"/>
      <c r="J32" s="1132"/>
      <c r="K32" s="1132"/>
      <c r="L32" s="1132"/>
      <c r="M32" s="1133"/>
      <c r="N32" s="1133"/>
    </row>
    <row r="33" spans="2:14">
      <c r="B33" t="str">
        <f>IF(IF(OR(LEFT(C33,27)=SUP_Biofuels!$N$8,LEFT(C33,20)=SUP_Biofuels!$O$8,LEFT(C33,20)=SUP_Biofuels!$P$8),LEFT(C33,20),C33)="Specific investment ","Specific investment (M€ /MW",IF(OR(LEFT(C33,27)=SUP_Biofuels!$N$8,LEFT(C33,20)=SUP_Biofuels!$O$8,LEFT(C33,20)=SUP_Biofuels!$P$8),LEFT(C33,20),C33))</f>
        <v xml:space="preserve"> -installation (%)</v>
      </c>
      <c r="C33" s="1132" t="s">
        <v>251</v>
      </c>
      <c r="D33" s="1132">
        <v>25</v>
      </c>
      <c r="E33" s="1132">
        <v>25</v>
      </c>
      <c r="F33" s="1132">
        <v>25</v>
      </c>
      <c r="G33" s="1132">
        <v>25</v>
      </c>
      <c r="H33" s="1132">
        <v>25</v>
      </c>
      <c r="I33" s="1132"/>
      <c r="J33" s="1132"/>
      <c r="K33" s="1132"/>
      <c r="L33" s="1132"/>
      <c r="M33" s="1133"/>
      <c r="N33" s="1133"/>
    </row>
    <row r="34" spans="2:14">
      <c r="B34" t="str">
        <f>IF(IF(OR(LEFT(C34,27)=SUP_Biofuels!$N$8,LEFT(C34,20)=SUP_Biofuels!$O$8,LEFT(C34,20)=SUP_Biofuels!$P$8),LEFT(C34,20),C34)="Specific investment ","Specific investment (M€ /MW",IF(OR(LEFT(C34,27)=SUP_Biofuels!$N$8,LEFT(C34,20)=SUP_Biofuels!$O$8,LEFT(C34,20)=SUP_Biofuels!$P$8),LEFT(C34,20),C34))</f>
        <v>Fixed O&amp;M (M€ /1,000 t FT Liquids/year)</v>
      </c>
      <c r="C34" s="1132" t="s">
        <v>1511</v>
      </c>
      <c r="D34" s="1151">
        <v>0.15584415584415584</v>
      </c>
      <c r="E34" s="1151">
        <v>0.15584415584415584</v>
      </c>
      <c r="F34" s="1151">
        <v>0.15584415584415584</v>
      </c>
      <c r="G34" s="1151">
        <v>0.156</v>
      </c>
      <c r="H34" s="1151">
        <v>0.15584415584415584</v>
      </c>
      <c r="I34" s="1159">
        <v>0.75</v>
      </c>
      <c r="J34" s="1159">
        <v>1.2</v>
      </c>
      <c r="K34" s="1159">
        <v>0.75</v>
      </c>
      <c r="L34" s="1159">
        <v>1.2</v>
      </c>
      <c r="M34" s="1133" t="s">
        <v>786</v>
      </c>
      <c r="N34" s="1133">
        <v>1</v>
      </c>
    </row>
    <row r="35" spans="2:14">
      <c r="B35" t="str">
        <f>IF(IF(OR(LEFT(C35,27)=SUP_Biofuels!$N$8,LEFT(C35,20)=SUP_Biofuels!$O$8,LEFT(C35,20)=SUP_Biofuels!$P$8),LEFT(C35,20),C35)="Specific investment ","Specific investment (M€ /MW",IF(OR(LEFT(C35,27)=SUP_Biofuels!$N$8,LEFT(C35,20)=SUP_Biofuels!$O$8,LEFT(C35,20)=SUP_Biofuels!$P$8),LEFT(C35,20),C35))</f>
        <v>Variable O&amp;M (M€ /1,000 t FT Liquids/year)</v>
      </c>
      <c r="C35" s="1132" t="s">
        <v>1512</v>
      </c>
      <c r="D35" s="1151">
        <v>1.2987012987012986E-2</v>
      </c>
      <c r="E35" s="1151">
        <v>1.2987012987012986E-2</v>
      </c>
      <c r="F35" s="1151">
        <v>1.2987012987012986E-2</v>
      </c>
      <c r="G35" s="1151">
        <v>1.2999999999999999E-2</v>
      </c>
      <c r="H35" s="1151">
        <v>1.2987012987012986E-2</v>
      </c>
      <c r="I35" s="1159">
        <v>0.75</v>
      </c>
      <c r="J35" s="1159">
        <v>1.2</v>
      </c>
      <c r="K35" s="1159">
        <v>0.75</v>
      </c>
      <c r="L35" s="1159">
        <v>1.2</v>
      </c>
      <c r="M35" s="1133" t="s">
        <v>786</v>
      </c>
      <c r="N35" s="1133">
        <v>1</v>
      </c>
    </row>
    <row r="36" spans="2:14">
      <c r="C36" s="1132" t="s">
        <v>1508</v>
      </c>
      <c r="D36" s="1157">
        <v>0</v>
      </c>
      <c r="E36" s="1132">
        <v>0</v>
      </c>
      <c r="F36" s="1132">
        <v>0</v>
      </c>
      <c r="G36" s="1132">
        <v>0</v>
      </c>
      <c r="H36" s="1132">
        <v>0</v>
      </c>
      <c r="I36" s="1132"/>
      <c r="J36" s="1132"/>
      <c r="K36" s="1132"/>
      <c r="L36" s="1132"/>
      <c r="M36" s="1133" t="s">
        <v>255</v>
      </c>
      <c r="N36" s="1133"/>
    </row>
    <row r="38" spans="2:14">
      <c r="C38" s="886" t="s">
        <v>695</v>
      </c>
    </row>
    <row r="39" spans="2:14">
      <c r="C39" s="885" t="s">
        <v>1513</v>
      </c>
    </row>
    <row r="40" spans="2:14">
      <c r="C40" s="885" t="s">
        <v>1514</v>
      </c>
    </row>
    <row r="41" spans="2:14">
      <c r="C41" s="885" t="s">
        <v>1191</v>
      </c>
    </row>
    <row r="42" spans="2:14">
      <c r="C42" s="885" t="s">
        <v>1515</v>
      </c>
    </row>
    <row r="43" spans="2:14">
      <c r="C43" s="885" t="s">
        <v>1516</v>
      </c>
    </row>
    <row r="44" spans="2:14">
      <c r="C44" s="885" t="s">
        <v>1517</v>
      </c>
    </row>
    <row r="45" spans="2:14">
      <c r="C45" s="885" t="s">
        <v>1518</v>
      </c>
    </row>
    <row r="46" spans="2:14">
      <c r="C46" s="885" t="s">
        <v>1276</v>
      </c>
    </row>
    <row r="48" spans="2:14">
      <c r="C48" s="886" t="s">
        <v>989</v>
      </c>
    </row>
    <row r="49" spans="3:3">
      <c r="C49" s="885" t="s">
        <v>1519</v>
      </c>
    </row>
    <row r="50" spans="3:3">
      <c r="C50" s="885" t="s">
        <v>1520</v>
      </c>
    </row>
    <row r="51" spans="3:3">
      <c r="C51" s="885" t="s">
        <v>1521</v>
      </c>
    </row>
    <row r="52" spans="3:3">
      <c r="C52" s="885" t="s">
        <v>1522</v>
      </c>
    </row>
    <row r="53" spans="3:3">
      <c r="C53" s="885" t="s">
        <v>1523</v>
      </c>
    </row>
    <row r="54" spans="3:3">
      <c r="C54" s="885" t="s">
        <v>1524</v>
      </c>
    </row>
    <row r="55" spans="3:3">
      <c r="C55" s="885" t="s">
        <v>1525</v>
      </c>
    </row>
    <row r="56" spans="3:3">
      <c r="C56" s="885" t="s">
        <v>1526</v>
      </c>
    </row>
    <row r="57" spans="3:3">
      <c r="C57" s="885" t="s">
        <v>1527</v>
      </c>
    </row>
    <row r="58" spans="3:3">
      <c r="C58" s="885" t="s">
        <v>1528</v>
      </c>
    </row>
    <row r="59" spans="3:3">
      <c r="C59" s="885" t="s">
        <v>1529</v>
      </c>
    </row>
    <row r="60" spans="3:3">
      <c r="C60" s="885" t="s">
        <v>1530</v>
      </c>
    </row>
    <row r="61" spans="3:3">
      <c r="C61" s="885" t="s">
        <v>1531</v>
      </c>
    </row>
    <row r="62" spans="3:3">
      <c r="C62" s="885" t="s">
        <v>1532</v>
      </c>
    </row>
    <row r="63" spans="3:3">
      <c r="C63" s="885" t="s">
        <v>1154</v>
      </c>
    </row>
    <row r="64" spans="3:3">
      <c r="C64" s="885" t="s">
        <v>1153</v>
      </c>
    </row>
    <row r="65" spans="3:3">
      <c r="C65" s="885" t="s">
        <v>1533</v>
      </c>
    </row>
  </sheetData>
  <mergeCells count="3">
    <mergeCell ref="D3:N3"/>
    <mergeCell ref="I4:J4"/>
    <mergeCell ref="K4:L4"/>
  </mergeCells>
  <hyperlinks>
    <hyperlink ref="C49" r:id="rId1" display="https://www.doi.org/10.1002/bbb.1710" xr:uid="{08801333-6C1A-41B8-9774-8E48017B1FB8}"/>
    <hyperlink ref="C50" r:id="rId2" display="http://acee.princeton.edu/wp-content/uploads/2016/10/Kreutz-et-al-PCC-2008-10-7-08.pdf" xr:uid="{73971AD1-0C44-45A0-A175-9384766F9004}"/>
    <hyperlink ref="C51" r:id="rId3" display="https://www.doi.org/10.1021/ef302003f" xr:uid="{6F21305E-26B4-4FCE-9454-A006648ACE6C}"/>
    <hyperlink ref="C52" r:id="rId4" display="https://doi.org/10.1039/C6EE00935B" xr:uid="{4F87B373-CCF2-4535-9D7D-4779CF9D3731}"/>
    <hyperlink ref="C53" r:id="rId5" display="https://doi.org/10.1016/j.jechem.2015.11.005" xr:uid="{DA907BBB-2086-465D-B580-53419ECF924E}"/>
    <hyperlink ref="C54" r:id="rId6" display="http://www.velocys.com/our-biorefineries/" xr:uid="{A45FC0DD-0962-404A-A2F1-4D961728E68C}"/>
    <hyperlink ref="C55" r:id="rId7" display="https://doi.org/10.13031/2013.30383" xr:uid="{9E896D9E-4DA7-4D02-B7C5-94915D345CF3}"/>
    <hyperlink ref="C56" r:id="rId8" display="https://ens.dk/sites/ens.dk/files/Statistik/energy_statistics_2015.pdf" xr:uid="{26239E46-9385-4958-B399-AE0A2669749F}"/>
    <hyperlink ref="C57" r:id="rId9" display="https://www.doi.org/10.3389/fsufs.2017.00002" xr:uid="{B2886E87-6E39-4092-B659-8737554DE113}"/>
    <hyperlink ref="C58" r:id="rId10" display="http://www.velocys.com/establishment-of-a-strategic-alliance-with-tri/" xr:uid="{B489A941-2FC8-4B15-B3AB-3DD55812EA59}"/>
    <hyperlink ref="C59" r:id="rId11" display="https://biorrefineria.blogspot.ca/2017/06/velocys-plans-for-construction-of-commercial-BTL-plant-move-forward.html" xr:uid="{0A16E47E-5679-46F8-8091-A43C1A84604E}"/>
    <hyperlink ref="C60" r:id="rId12" display="http://web.anl.gov/PCS/acsfuel/preprint archive/Files/39_4_WASHINGTON DC_08-94_1146.pdf" xr:uid="{81633EF0-03A0-4BC2-91B7-FBBF72FBA999}"/>
    <hyperlink ref="C61" r:id="rId13" display="http://www.adktroutguide.com/files/1999_Phd_Thesis_-_Kinetics_Selectivity_and_Scaleup_of_FT_Synthesis.pdf" xr:uid="{6CB03045-7B9C-4685-B5E5-D7558BE48CBC}"/>
    <hyperlink ref="C62" r:id="rId14" display="https://www.ien.com/operations/news/20980331/mississippi-lands-biofuel-refinery" xr:uid="{A2EB5800-C5B3-4712-A7EA-042A07C94353}"/>
    <hyperlink ref="C63" r:id="rId15" display="http://www.irena.org/DocumentDownloads/Publications/IRENA_Innovation_Outlook_Advanced_Liquid_Biofuels_2016.pdf" xr:uid="{E677299D-3D2E-4713-AC2C-BFA4F051BC3C}"/>
    <hyperlink ref="C64" r:id="rId16" display="http://platformduurzamebiobrandstoffen.nl/wp-content/uploads/2017/07/2017_SGAB_Cost-of-Biofuels.pdf" xr:uid="{4AE2214A-B3D2-4D58-8F5B-C953C8A91A06}"/>
    <hyperlink ref="C65" r:id="rId17" display="https://www.doi.org/10.1002/bbb.1613" xr:uid="{51091D64-E583-462A-B125-CA78BF958F4E}"/>
    <hyperlink ref="D3" location="INDEX" display="Gasifier, biomass, Fischer Tropsch liquid fuels, large scale" xr:uid="{23489007-9071-4CF8-BDFD-69C2B3CA1EE6}"/>
  </hyperlinks>
  <pageMargins left="0.7" right="0.7" top="0.75" bottom="0.75" header="0.3" footer="0.3"/>
  <pageSetup paperSize="9" scale="36" orientation="portrait" r:id="rId1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FFCE-0A32-4A98-83A4-5C896326009C}">
  <sheetPr>
    <tabColor theme="4" tint="0.39997558519241921"/>
  </sheetPr>
  <dimension ref="A2:N72"/>
  <sheetViews>
    <sheetView showGridLines="0" topLeftCell="A4"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1534</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478.8</v>
      </c>
      <c r="D7" s="1167">
        <f t="shared" si="0"/>
        <v>489.6</v>
      </c>
      <c r="E7" s="1167">
        <f t="shared" si="0"/>
        <v>514.79999999999995</v>
      </c>
      <c r="F7" s="1167">
        <f t="shared" si="0"/>
        <v>540</v>
      </c>
      <c r="G7" s="1167">
        <f t="shared" si="0"/>
        <v>453.6</v>
      </c>
      <c r="H7" s="1167">
        <f t="shared" si="0"/>
        <v>504</v>
      </c>
      <c r="I7" s="1167">
        <f t="shared" si="0"/>
        <v>504</v>
      </c>
      <c r="J7" s="1167">
        <f t="shared" si="0"/>
        <v>576</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179.56795679567958</v>
      </c>
      <c r="D12" s="1167">
        <f t="shared" ref="D12:J12" si="1">D21+(D21*8)</f>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16.389138913891387</v>
      </c>
      <c r="D19" s="1174">
        <f t="shared" ref="D19:J19" si="4">D17-D18</f>
        <v>14.615961596159622</v>
      </c>
      <c r="E19" s="1174">
        <f t="shared" si="4"/>
        <v>10.478547854785489</v>
      </c>
      <c r="F19" s="1174">
        <f t="shared" si="4"/>
        <v>6.3411341134113428</v>
      </c>
      <c r="G19" s="1174">
        <f t="shared" si="4"/>
        <v>20.526552655265519</v>
      </c>
      <c r="H19" s="1174">
        <f t="shared" si="4"/>
        <v>12.251725172517254</v>
      </c>
      <c r="I19" s="1174">
        <f t="shared" si="4"/>
        <v>12.251725172517254</v>
      </c>
      <c r="J19" s="1174">
        <f t="shared" si="4"/>
        <v>0.43054305430543138</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750</v>
      </c>
      <c r="D29" s="1167">
        <v>570</v>
      </c>
      <c r="E29" s="1167">
        <v>450</v>
      </c>
      <c r="F29" s="1167">
        <v>350</v>
      </c>
      <c r="G29" s="1167">
        <v>500</v>
      </c>
      <c r="H29" s="1167">
        <v>1400</v>
      </c>
      <c r="I29" s="1167">
        <v>200</v>
      </c>
      <c r="J29" s="1167">
        <v>700</v>
      </c>
      <c r="K29" s="1168" t="s">
        <v>1551</v>
      </c>
      <c r="L29" s="1166"/>
      <c r="M29" s="1178"/>
    </row>
    <row r="30" spans="1:13">
      <c r="A30" s="1162"/>
      <c r="B30" s="1164" t="s">
        <v>1552</v>
      </c>
      <c r="C30" s="1167">
        <f t="shared" ref="C30:J30" si="6">C29/(C7/1000/C6)</f>
        <v>1566.4160401002507</v>
      </c>
      <c r="D30" s="1167">
        <f t="shared" si="6"/>
        <v>1164.2156862745096</v>
      </c>
      <c r="E30" s="1167">
        <f t="shared" si="6"/>
        <v>874.12587412587425</v>
      </c>
      <c r="F30" s="1167">
        <f t="shared" si="6"/>
        <v>648.14814814814815</v>
      </c>
      <c r="G30" s="1167">
        <f t="shared" si="6"/>
        <v>1102.2927689594355</v>
      </c>
      <c r="H30" s="1167">
        <f t="shared" si="6"/>
        <v>2777.7777777777778</v>
      </c>
      <c r="I30" s="1167">
        <f t="shared" si="6"/>
        <v>396.82539682539681</v>
      </c>
      <c r="J30" s="1167">
        <f t="shared" si="6"/>
        <v>1215.2777777777778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5</v>
      </c>
      <c r="D33" s="1167">
        <v>5</v>
      </c>
      <c r="E33" s="1167">
        <v>5</v>
      </c>
      <c r="F33" s="1167">
        <v>5</v>
      </c>
      <c r="G33" s="1167">
        <v>5</v>
      </c>
      <c r="H33" s="1167">
        <v>5</v>
      </c>
      <c r="I33" s="1167">
        <v>5</v>
      </c>
      <c r="J33" s="1167">
        <v>5</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1568</v>
      </c>
      <c r="D54" s="1197"/>
      <c r="E54" s="1197"/>
      <c r="F54" s="1197"/>
      <c r="G54" s="1197"/>
      <c r="H54" s="1197"/>
      <c r="I54" s="1197"/>
      <c r="J54" s="1197"/>
      <c r="K54" s="1197"/>
      <c r="L54" s="1198"/>
      <c r="M54" s="1198"/>
    </row>
    <row r="55" spans="1:14" ht="15" customHeight="1">
      <c r="A55" s="820" t="s">
        <v>266</v>
      </c>
      <c r="B55" s="1196" t="s">
        <v>1569</v>
      </c>
      <c r="C55" s="1196"/>
      <c r="D55" s="1196"/>
      <c r="E55" s="1196"/>
      <c r="F55" s="1196"/>
      <c r="G55" s="1196"/>
      <c r="H55" s="1196"/>
      <c r="I55" s="1196"/>
      <c r="J55" s="1196"/>
      <c r="K55" s="1193"/>
      <c r="L55" s="855"/>
      <c r="M55" s="855"/>
    </row>
    <row r="56" spans="1:14" ht="15" customHeight="1">
      <c r="A56" s="820" t="s">
        <v>255</v>
      </c>
      <c r="B56" s="1196" t="s">
        <v>1570</v>
      </c>
      <c r="C56" s="1196"/>
      <c r="D56" s="1196"/>
      <c r="E56" s="1196"/>
      <c r="F56" s="1196"/>
      <c r="G56" s="1196"/>
      <c r="H56" s="1196"/>
      <c r="I56" s="1196"/>
      <c r="J56" s="1196"/>
      <c r="K56" s="1196"/>
      <c r="L56" s="1196"/>
      <c r="M56" s="1196"/>
    </row>
    <row r="57" spans="1:14" ht="15" customHeight="1">
      <c r="A57" s="820" t="s">
        <v>389</v>
      </c>
      <c r="B57" s="855" t="s">
        <v>1571</v>
      </c>
      <c r="C57" s="855"/>
      <c r="D57" s="855"/>
      <c r="E57" s="855"/>
      <c r="F57" s="855"/>
      <c r="G57" s="855"/>
      <c r="H57" s="855"/>
      <c r="I57" s="855"/>
      <c r="J57" s="855"/>
      <c r="K57" s="855"/>
      <c r="L57" s="855"/>
      <c r="M57" s="855"/>
    </row>
    <row r="58" spans="1:14" ht="15" customHeight="1">
      <c r="A58" s="820" t="s">
        <v>393</v>
      </c>
      <c r="B58" s="855" t="s">
        <v>1572</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16</v>
      </c>
      <c r="B69" s="854" t="s">
        <v>1582</v>
      </c>
      <c r="D69" s="1205"/>
      <c r="E69" s="1205"/>
      <c r="F69" s="1205"/>
      <c r="G69" s="1205"/>
      <c r="H69" s="1205"/>
      <c r="I69" s="1205"/>
    </row>
    <row r="70" spans="1:14">
      <c r="A70" s="1162">
        <v>24</v>
      </c>
      <c r="B70" s="854" t="s">
        <v>1583</v>
      </c>
      <c r="D70" s="1205"/>
      <c r="E70" s="1205"/>
      <c r="F70" s="1205"/>
      <c r="G70" s="1205"/>
      <c r="H70" s="1205"/>
      <c r="I70" s="1205"/>
      <c r="J70" s="1205"/>
      <c r="K70" s="1205"/>
    </row>
    <row r="71" spans="1:14">
      <c r="A71" s="1162">
        <v>26</v>
      </c>
      <c r="B71" s="854" t="s">
        <v>1584</v>
      </c>
      <c r="D71" s="1205"/>
      <c r="E71" s="1205"/>
      <c r="F71" s="1205"/>
      <c r="G71" s="1205"/>
      <c r="H71" s="1205"/>
      <c r="I71" s="1205"/>
      <c r="J71" s="1205"/>
      <c r="K71" s="1205"/>
    </row>
    <row r="72" spans="1:14">
      <c r="A72">
        <v>27</v>
      </c>
      <c r="B72"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B5B2EB6E-9CDC-4117-A967-3ABC193FE6F3}"/>
  </hyperlink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AC6F-4D3F-4F7A-8257-4F9AB3E75C1C}">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1586</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 t="shared" ref="C7:J7" si="0">C6*3600*(C15/100)*24/120</f>
        <v>47880</v>
      </c>
      <c r="D7" s="1167">
        <f t="shared" si="0"/>
        <v>48960.000000000007</v>
      </c>
      <c r="E7" s="1167">
        <f t="shared" si="0"/>
        <v>51480</v>
      </c>
      <c r="F7" s="1167">
        <f t="shared" si="0"/>
        <v>54000</v>
      </c>
      <c r="G7" s="1167">
        <f t="shared" si="0"/>
        <v>45360</v>
      </c>
      <c r="H7" s="1167">
        <f t="shared" si="0"/>
        <v>50399.999999999993</v>
      </c>
      <c r="I7" s="1167">
        <f t="shared" si="0"/>
        <v>50399.999999999993</v>
      </c>
      <c r="J7" s="1167">
        <f t="shared" si="0"/>
        <v>57600</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179.56795679567958</v>
      </c>
      <c r="D12" s="1167">
        <f t="shared" si="1"/>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1" customHeight="1">
      <c r="A19" s="1162"/>
      <c r="B19" s="1164" t="s">
        <v>1545</v>
      </c>
      <c r="C19" s="1174">
        <f>C17-C18</f>
        <v>18.389138913891387</v>
      </c>
      <c r="D19" s="1174">
        <f t="shared" ref="D19:J19" si="4">D17-D18</f>
        <v>16.615961596159622</v>
      </c>
      <c r="E19" s="1174">
        <f t="shared" si="4"/>
        <v>12.478547854785489</v>
      </c>
      <c r="F19" s="1174">
        <f t="shared" si="4"/>
        <v>8.3411341134113428</v>
      </c>
      <c r="G19" s="1174">
        <f t="shared" si="4"/>
        <v>22.526552655265519</v>
      </c>
      <c r="H19" s="1174">
        <f t="shared" si="4"/>
        <v>14.251725172517254</v>
      </c>
      <c r="I19" s="1174">
        <f t="shared" si="4"/>
        <v>14.251725172517254</v>
      </c>
      <c r="J19" s="1174">
        <f t="shared" si="4"/>
        <v>2.4305430543054314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650</v>
      </c>
      <c r="D29" s="1167">
        <v>450</v>
      </c>
      <c r="E29" s="1167">
        <v>300</v>
      </c>
      <c r="F29" s="1167">
        <v>250</v>
      </c>
      <c r="G29" s="1167">
        <v>400</v>
      </c>
      <c r="H29" s="1167">
        <v>800</v>
      </c>
      <c r="I29" s="1167">
        <v>150</v>
      </c>
      <c r="J29" s="1167">
        <v>400</v>
      </c>
      <c r="K29" s="1168" t="s">
        <v>1551</v>
      </c>
      <c r="L29" s="1166"/>
      <c r="M29" s="1178"/>
    </row>
    <row r="30" spans="1:13">
      <c r="A30" s="1162"/>
      <c r="B30" s="1164" t="s">
        <v>1552</v>
      </c>
      <c r="C30" s="1167">
        <f t="shared" ref="C30:J30" si="6">C29/(C7/1000/C6)</f>
        <v>1357.5605680868839</v>
      </c>
      <c r="D30" s="1167">
        <f t="shared" si="6"/>
        <v>919.11764705882331</v>
      </c>
      <c r="E30" s="1167">
        <f t="shared" si="6"/>
        <v>582.75058275058279</v>
      </c>
      <c r="F30" s="1167">
        <f t="shared" si="6"/>
        <v>462.96296296296293</v>
      </c>
      <c r="G30" s="1167">
        <f t="shared" si="6"/>
        <v>881.83421516754845</v>
      </c>
      <c r="H30" s="1167">
        <f t="shared" si="6"/>
        <v>1587.3015873015877</v>
      </c>
      <c r="I30" s="1167">
        <f t="shared" si="6"/>
        <v>297.61904761904771</v>
      </c>
      <c r="J30" s="1167">
        <f t="shared" si="6"/>
        <v>694.44444444444434</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2</v>
      </c>
      <c r="D33" s="1167">
        <v>2</v>
      </c>
      <c r="E33" s="1167">
        <v>2</v>
      </c>
      <c r="F33" s="1167">
        <v>2</v>
      </c>
      <c r="G33" s="1167">
        <v>2</v>
      </c>
      <c r="H33" s="1167">
        <v>2</v>
      </c>
      <c r="I33" s="1167">
        <v>2</v>
      </c>
      <c r="J33" s="1167">
        <v>2</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260</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1589</v>
      </c>
      <c r="C53" s="1200"/>
      <c r="D53" s="1200"/>
      <c r="E53" s="1200"/>
      <c r="F53" s="1200"/>
      <c r="G53" s="1200"/>
      <c r="H53" s="1200"/>
      <c r="I53" s="1200"/>
      <c r="J53" s="1200"/>
      <c r="K53" s="1200"/>
      <c r="L53" s="1200"/>
      <c r="M53" s="1200"/>
    </row>
    <row r="54" spans="1:14">
      <c r="A54" s="820" t="s">
        <v>269</v>
      </c>
      <c r="B54" s="1196" t="s">
        <v>1590</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1592</v>
      </c>
      <c r="C56" s="1196"/>
      <c r="D56" s="1196"/>
      <c r="E56" s="1196"/>
      <c r="F56" s="1196"/>
      <c r="G56" s="1196"/>
      <c r="H56" s="1196"/>
      <c r="I56" s="1196"/>
      <c r="J56" s="1196"/>
      <c r="K56" s="1196"/>
      <c r="L56" s="1196"/>
      <c r="M56" s="1196"/>
    </row>
    <row r="57" spans="1:14" ht="15" customHeight="1">
      <c r="A57" s="820" t="s">
        <v>389</v>
      </c>
      <c r="B57" s="855" t="s">
        <v>1593</v>
      </c>
      <c r="C57" s="855"/>
      <c r="D57" s="855"/>
      <c r="E57" s="855"/>
      <c r="F57" s="855"/>
      <c r="G57" s="855"/>
      <c r="H57" s="855"/>
      <c r="I57" s="855"/>
      <c r="J57" s="855"/>
      <c r="K57" s="855"/>
      <c r="L57" s="855"/>
      <c r="M57" s="855"/>
    </row>
    <row r="58" spans="1:14" ht="15" customHeight="1">
      <c r="A58" s="820" t="s">
        <v>393</v>
      </c>
      <c r="B58" s="855" t="s">
        <v>1594</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1201" t="s">
        <v>1581</v>
      </c>
      <c r="D68" s="1205"/>
      <c r="E68" s="1205"/>
      <c r="F68" s="1205"/>
      <c r="G68" s="1205"/>
      <c r="H68" s="1205"/>
      <c r="I68" s="1205"/>
      <c r="J68" s="1205"/>
      <c r="K68" s="1205"/>
    </row>
    <row r="69" spans="1:14">
      <c r="A69" s="1162">
        <v>24</v>
      </c>
      <c r="B69" s="1201" t="s">
        <v>1583</v>
      </c>
      <c r="D69" s="1205"/>
      <c r="E69" s="1205"/>
      <c r="F69" s="1205"/>
      <c r="G69" s="1205"/>
      <c r="H69" s="1205"/>
      <c r="I69" s="1205"/>
      <c r="J69" s="1205"/>
      <c r="K69" s="1205"/>
    </row>
    <row r="70" spans="1:14">
      <c r="A70" s="1162">
        <v>26</v>
      </c>
      <c r="B70" s="1201" t="s">
        <v>1584</v>
      </c>
      <c r="D70" s="1205"/>
      <c r="E70" s="1205"/>
      <c r="F70" s="1205"/>
      <c r="G70" s="1205"/>
      <c r="H70" s="1205"/>
      <c r="I70" s="1205"/>
      <c r="J70" s="1205"/>
      <c r="K70" s="1205"/>
    </row>
    <row r="71" spans="1:14">
      <c r="A71">
        <v>27</v>
      </c>
      <c r="B71" s="1201"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022C4A08-C959-44EF-BE27-BAFA1F769EE0}"/>
  </hyperlinks>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6F94-2D88-4101-B420-FCCC695F0077}">
  <sheetPr>
    <tabColor theme="4" tint="0.39997558519241921"/>
  </sheetPr>
  <dimension ref="A2:N71"/>
  <sheetViews>
    <sheetView showGridLines="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1595</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417.6</v>
      </c>
      <c r="D7" s="1167">
        <f t="shared" si="0"/>
        <v>471.6</v>
      </c>
      <c r="E7" s="1167">
        <f t="shared" si="0"/>
        <v>489.6</v>
      </c>
      <c r="F7" s="1167">
        <f t="shared" si="0"/>
        <v>507.6</v>
      </c>
      <c r="G7" s="1167">
        <f t="shared" si="0"/>
        <v>432</v>
      </c>
      <c r="H7" s="1167">
        <f t="shared" si="0"/>
        <v>460.8</v>
      </c>
      <c r="I7" s="1167">
        <f t="shared" si="0"/>
        <v>489.6</v>
      </c>
      <c r="J7" s="1167">
        <f t="shared" si="0"/>
        <v>504</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156.6156615661566</v>
      </c>
      <c r="D12" s="1167">
        <f t="shared" si="1"/>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 t="shared" ref="C16:J16" si="2">(C21*39.4/1000*100)-C15</f>
        <v>10.562856285628555</v>
      </c>
      <c r="D16" s="1174">
        <f t="shared" si="2"/>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26.437143714371445</v>
      </c>
      <c r="D19" s="1174">
        <f t="shared" ref="D19:J19" si="4">D17-D18</f>
        <v>17.571257125712563</v>
      </c>
      <c r="E19" s="1174">
        <f t="shared" si="4"/>
        <v>14.615961596159622</v>
      </c>
      <c r="F19" s="1174">
        <f t="shared" si="4"/>
        <v>11.66066606660668</v>
      </c>
      <c r="G19" s="1174">
        <f t="shared" si="4"/>
        <v>24.072907290729077</v>
      </c>
      <c r="H19" s="1174">
        <f t="shared" si="4"/>
        <v>19.344434443444328</v>
      </c>
      <c r="I19" s="1174">
        <f t="shared" si="4"/>
        <v>14.615961596159622</v>
      </c>
      <c r="J19" s="1174">
        <f t="shared" si="4"/>
        <v>12.251725172517254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 t="shared" ref="C21:J21" si="5">C15/33.33*1000/100</f>
        <v>17.401740174017402</v>
      </c>
      <c r="D21" s="1174">
        <f t="shared" si="5"/>
        <v>19.651965196519654</v>
      </c>
      <c r="E21" s="1174">
        <f t="shared" si="5"/>
        <v>20.402040204020402</v>
      </c>
      <c r="F21" s="1174">
        <f t="shared" si="5"/>
        <v>21.152115211521149</v>
      </c>
      <c r="G21" s="1174">
        <f t="shared" si="5"/>
        <v>18.001800180018002</v>
      </c>
      <c r="H21" s="1174">
        <f t="shared" si="5"/>
        <v>19.201920192019205</v>
      </c>
      <c r="I21" s="1174">
        <f t="shared" si="5"/>
        <v>20.402040204020402</v>
      </c>
      <c r="J21" s="1174">
        <f t="shared" si="5"/>
        <v>21.002100210021002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7</v>
      </c>
      <c r="D33" s="1167">
        <v>7</v>
      </c>
      <c r="E33" s="1167">
        <v>7</v>
      </c>
      <c r="F33" s="1167">
        <v>7</v>
      </c>
      <c r="G33" s="1167">
        <v>7</v>
      </c>
      <c r="H33" s="1167">
        <v>7</v>
      </c>
      <c r="I33" s="1167">
        <v>7</v>
      </c>
      <c r="J33" s="1167">
        <v>7</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1598</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421CD388-FC1F-436D-AA22-0DD357D86113}"/>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879C-54A1-4958-A611-8E9094803C5A}">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1601</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C6*3600*(C15/100)*24/120</f>
        <v>41760</v>
      </c>
      <c r="D7" s="1167">
        <f t="shared" ref="D7:J7" si="0">D6*3600*(D15/100)*24/120</f>
        <v>47160</v>
      </c>
      <c r="E7" s="1167">
        <f t="shared" si="0"/>
        <v>48960.000000000007</v>
      </c>
      <c r="F7" s="1167">
        <f t="shared" si="0"/>
        <v>50760</v>
      </c>
      <c r="G7" s="1167">
        <f t="shared" si="0"/>
        <v>43200</v>
      </c>
      <c r="H7" s="1167">
        <f t="shared" si="0"/>
        <v>46080</v>
      </c>
      <c r="I7" s="1167">
        <f t="shared" si="0"/>
        <v>48960.000000000007</v>
      </c>
      <c r="J7" s="1167">
        <f t="shared" si="0"/>
        <v>50399.999999999993</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156.6156615661566</v>
      </c>
      <c r="D12" s="1167">
        <f t="shared" ref="D12:J12" si="1">D21+(D21*8)</f>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(C21*39.4/1000*100)-C15</f>
        <v>10.562856285628555</v>
      </c>
      <c r="D16" s="1174">
        <f t="shared" ref="D16:J16" si="2">(D21*39.4/1000*100)-D15</f>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4" customHeight="1">
      <c r="A19" s="1162"/>
      <c r="B19" s="1164" t="s">
        <v>1545</v>
      </c>
      <c r="C19" s="1174">
        <f>C17-C18</f>
        <v>28.437143714371445</v>
      </c>
      <c r="D19" s="1174">
        <f t="shared" ref="D19:J19" si="4">D17-D18</f>
        <v>19.571257125712563</v>
      </c>
      <c r="E19" s="1174">
        <f t="shared" si="4"/>
        <v>16.615961596159622</v>
      </c>
      <c r="F19" s="1174">
        <f t="shared" si="4"/>
        <v>13.66066606660668</v>
      </c>
      <c r="G19" s="1174">
        <f t="shared" si="4"/>
        <v>26.072907290729077</v>
      </c>
      <c r="H19" s="1174">
        <f t="shared" si="4"/>
        <v>21.344434443444328</v>
      </c>
      <c r="I19" s="1174">
        <f t="shared" si="4"/>
        <v>16.615961596159622</v>
      </c>
      <c r="J19" s="1174">
        <f t="shared" si="4"/>
        <v>14.251725172517254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C15/33.33*1000/100</f>
        <v>17.401740174017402</v>
      </c>
      <c r="D21" s="1174">
        <f t="shared" ref="D21:J21" si="5">D15/33.33*1000/100</f>
        <v>19.651965196519654</v>
      </c>
      <c r="E21" s="1174">
        <f t="shared" si="5"/>
        <v>20.402040204020402</v>
      </c>
      <c r="F21" s="1174">
        <f t="shared" si="5"/>
        <v>21.152115211521149</v>
      </c>
      <c r="G21" s="1174">
        <f t="shared" si="5"/>
        <v>18.001800180018002</v>
      </c>
      <c r="H21" s="1174">
        <f>H15/33.33*1000/100</f>
        <v>19.201920192019205</v>
      </c>
      <c r="I21" s="1174">
        <f t="shared" si="5"/>
        <v>20.402040204020402</v>
      </c>
      <c r="J21" s="1174">
        <f t="shared" si="5"/>
        <v>21.002100210021002</v>
      </c>
      <c r="K21" s="1168"/>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4</v>
      </c>
      <c r="D33" s="1167">
        <v>4</v>
      </c>
      <c r="E33" s="1167">
        <v>4</v>
      </c>
      <c r="F33" s="1167">
        <v>4</v>
      </c>
      <c r="G33" s="1167">
        <v>4</v>
      </c>
      <c r="H33" s="1167">
        <v>4</v>
      </c>
      <c r="I33" s="1167">
        <v>4</v>
      </c>
      <c r="J33" s="1167">
        <v>4</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1602</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4"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1201" t="s">
        <v>1575</v>
      </c>
      <c r="C61" s="854"/>
      <c r="D61" s="854"/>
      <c r="E61" s="854"/>
      <c r="F61" s="854"/>
      <c r="G61" s="854"/>
      <c r="H61" s="854"/>
      <c r="I61" s="854"/>
      <c r="J61" s="854"/>
      <c r="K61" s="854"/>
      <c r="L61" s="854"/>
      <c r="M61" s="854"/>
      <c r="N61" s="854"/>
    </row>
    <row r="62" spans="1:14">
      <c r="A62" s="820" t="s">
        <v>786</v>
      </c>
      <c r="B62" s="854" t="s">
        <v>1576</v>
      </c>
      <c r="C62" s="1202"/>
      <c r="D62" s="1202"/>
      <c r="E62" s="1202"/>
      <c r="F62" s="1202"/>
      <c r="G62" s="1202"/>
      <c r="H62" s="1202"/>
      <c r="I62" s="1202"/>
      <c r="J62" s="1202"/>
      <c r="K62" s="1202"/>
      <c r="L62" s="1202"/>
      <c r="M62" s="1202"/>
      <c r="N62" s="1202"/>
    </row>
    <row r="63" spans="1:14" ht="15" customHeight="1">
      <c r="A63" s="820" t="s">
        <v>1335</v>
      </c>
      <c r="B63" s="1201" t="s">
        <v>1577</v>
      </c>
      <c r="C63" s="854"/>
      <c r="D63" s="854"/>
      <c r="E63" s="854"/>
      <c r="F63" s="854"/>
      <c r="G63" s="854"/>
      <c r="H63" s="854"/>
      <c r="I63" s="854"/>
      <c r="J63" s="854"/>
      <c r="K63" s="854"/>
      <c r="L63" s="854"/>
      <c r="M63" s="854"/>
      <c r="N63" s="854"/>
    </row>
    <row r="64" spans="1:14">
      <c r="A64" s="820" t="s">
        <v>742</v>
      </c>
      <c r="B64" s="855" t="s">
        <v>1578</v>
      </c>
      <c r="C64" s="1202"/>
      <c r="D64" s="1202"/>
      <c r="E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AA67AC9D-BBF1-40AB-BE36-BB82CF45F81B}"/>
  </hyperlink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2CF2-E1AD-45C8-8BB1-DFE2DA6C4806}">
  <sheetPr>
    <tabColor theme="4" tint="0.39997558519241921"/>
  </sheetPr>
  <dimension ref="A2:N63"/>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1603</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964</v>
      </c>
      <c r="C6" s="1167">
        <v>1</v>
      </c>
      <c r="D6" s="1167">
        <v>1</v>
      </c>
      <c r="E6" s="1167">
        <v>1</v>
      </c>
      <c r="F6" s="1167">
        <v>1</v>
      </c>
      <c r="G6" s="1167">
        <v>1</v>
      </c>
      <c r="H6" s="1167">
        <v>1</v>
      </c>
      <c r="I6" s="1167">
        <v>1</v>
      </c>
      <c r="J6" s="1167">
        <v>1</v>
      </c>
      <c r="K6" s="1168" t="s">
        <v>694</v>
      </c>
      <c r="L6" s="1166"/>
    </row>
    <row r="7" spans="1:13">
      <c r="A7" s="1162"/>
      <c r="B7" s="1164" t="s">
        <v>1536</v>
      </c>
      <c r="C7" s="1167">
        <f t="shared" ref="C7:J7" si="0">C6*3600*(C16/100)*24/120</f>
        <v>558</v>
      </c>
      <c r="D7" s="1167">
        <f t="shared" si="0"/>
        <v>579.6</v>
      </c>
      <c r="E7" s="1167">
        <f t="shared" si="0"/>
        <v>590.4</v>
      </c>
      <c r="F7" s="1167">
        <f t="shared" si="0"/>
        <v>601.20000000000005</v>
      </c>
      <c r="G7" s="1167">
        <f t="shared" si="0"/>
        <v>532.79999999999995</v>
      </c>
      <c r="H7" s="1167">
        <f t="shared" si="0"/>
        <v>583.20000000000005</v>
      </c>
      <c r="I7" s="1167">
        <f t="shared" si="0"/>
        <v>554.4</v>
      </c>
      <c r="J7" s="1167">
        <f t="shared" si="0"/>
        <v>609.12</v>
      </c>
      <c r="K7" s="1168" t="s">
        <v>266</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74">
        <v>79.5</v>
      </c>
      <c r="D10" s="1174">
        <v>80.5</v>
      </c>
      <c r="E10" s="1174">
        <v>81.400000000000006</v>
      </c>
      <c r="F10" s="1174">
        <v>81.400000000000006</v>
      </c>
      <c r="G10" s="1174">
        <v>79</v>
      </c>
      <c r="H10" s="1174">
        <v>82</v>
      </c>
      <c r="I10" s="1174">
        <v>81</v>
      </c>
      <c r="J10" s="1174">
        <v>83</v>
      </c>
      <c r="K10" s="1168" t="s">
        <v>694</v>
      </c>
      <c r="L10" s="1166"/>
    </row>
    <row r="11" spans="1:13">
      <c r="A11" s="1162"/>
      <c r="B11" s="1164" t="s">
        <v>1604</v>
      </c>
      <c r="C11" s="1174">
        <f>100-C10</f>
        <v>20.5</v>
      </c>
      <c r="D11" s="1174">
        <f t="shared" ref="D11:J11" si="1">100-D10</f>
        <v>19.5</v>
      </c>
      <c r="E11" s="1174">
        <f t="shared" si="1"/>
        <v>18.599999999999994</v>
      </c>
      <c r="F11" s="1174">
        <f t="shared" si="1"/>
        <v>18.599999999999994</v>
      </c>
      <c r="G11" s="1174">
        <f t="shared" si="1"/>
        <v>21</v>
      </c>
      <c r="H11" s="1174">
        <f t="shared" si="1"/>
        <v>18</v>
      </c>
      <c r="I11" s="1174">
        <f t="shared" si="1"/>
        <v>19</v>
      </c>
      <c r="J11" s="1174">
        <f t="shared" si="1"/>
        <v>17</v>
      </c>
      <c r="K11" s="1168"/>
      <c r="L11" s="1166"/>
    </row>
    <row r="12" spans="1:13">
      <c r="A12" s="1162"/>
      <c r="B12" s="1164"/>
      <c r="C12" s="857"/>
      <c r="D12" s="857"/>
      <c r="E12" s="857"/>
      <c r="F12" s="857"/>
      <c r="G12" s="857"/>
      <c r="H12" s="857"/>
      <c r="I12" s="857"/>
      <c r="J12" s="857"/>
      <c r="K12" s="857"/>
      <c r="L12" s="857"/>
    </row>
    <row r="13" spans="1:13">
      <c r="A13" s="1162"/>
      <c r="B13" s="1164" t="s">
        <v>1605</v>
      </c>
      <c r="C13" s="1167">
        <f>C20+(C20*8)</f>
        <v>209.27092709270929</v>
      </c>
      <c r="D13" s="1167">
        <f t="shared" ref="D13:J13" si="2">D20+(D20*8)</f>
        <v>217.37173717371738</v>
      </c>
      <c r="E13" s="1167">
        <f t="shared" si="2"/>
        <v>221.42214221422142</v>
      </c>
      <c r="F13" s="1167">
        <f t="shared" si="2"/>
        <v>225.47254725472547</v>
      </c>
      <c r="G13" s="1167">
        <f t="shared" si="2"/>
        <v>199.81998199819981</v>
      </c>
      <c r="H13" s="1167">
        <f t="shared" si="2"/>
        <v>218.72187218721871</v>
      </c>
      <c r="I13" s="1167">
        <f t="shared" si="2"/>
        <v>207.92079207920793</v>
      </c>
      <c r="J13" s="1167">
        <f t="shared" si="2"/>
        <v>228.44284428442845</v>
      </c>
      <c r="K13" s="1168"/>
      <c r="L13" s="1166"/>
    </row>
    <row r="14" spans="1:13">
      <c r="A14" s="1162"/>
      <c r="B14" s="1170"/>
      <c r="C14" s="857"/>
      <c r="D14" s="857"/>
      <c r="E14" s="857"/>
      <c r="F14" s="857"/>
      <c r="G14" s="857"/>
      <c r="H14" s="857"/>
      <c r="I14" s="857"/>
      <c r="J14" s="857"/>
      <c r="K14" s="857"/>
      <c r="L14" s="857"/>
      <c r="M14" s="1171"/>
    </row>
    <row r="15" spans="1:13">
      <c r="A15" s="1162"/>
      <c r="B15" s="1172" t="s">
        <v>721</v>
      </c>
      <c r="C15" s="1206"/>
      <c r="D15" s="1207"/>
      <c r="E15" s="1206"/>
      <c r="F15" s="1206"/>
      <c r="G15" s="1208"/>
      <c r="H15" s="1208"/>
      <c r="I15" s="1208"/>
      <c r="J15" s="1208"/>
      <c r="K15" s="1206"/>
      <c r="L15" s="1206"/>
    </row>
    <row r="16" spans="1:13">
      <c r="A16" s="1162"/>
      <c r="B16" s="1164" t="s">
        <v>1540</v>
      </c>
      <c r="C16" s="1174">
        <f>(74+81)/2</f>
        <v>77.5</v>
      </c>
      <c r="D16" s="1174">
        <f>(77+84)/2</f>
        <v>80.5</v>
      </c>
      <c r="E16" s="1174">
        <f>(D16+F16)/2</f>
        <v>82</v>
      </c>
      <c r="F16" s="1174">
        <f>(77+90)/2</f>
        <v>83.5</v>
      </c>
      <c r="G16" s="1174">
        <v>74</v>
      </c>
      <c r="H16" s="1174">
        <v>81</v>
      </c>
      <c r="I16" s="1174">
        <v>77</v>
      </c>
      <c r="J16" s="1174">
        <v>84.6</v>
      </c>
      <c r="K16" s="1168" t="s">
        <v>1606</v>
      </c>
      <c r="L16" s="1166" t="s">
        <v>1541</v>
      </c>
      <c r="M16" s="1175"/>
    </row>
    <row r="17" spans="1:13">
      <c r="A17" s="1162"/>
      <c r="B17" s="1164" t="s">
        <v>1607</v>
      </c>
      <c r="C17" s="1174">
        <f t="shared" ref="C17:J17" si="3">C16/33.33*39.4-C16</f>
        <v>14.114161416141613</v>
      </c>
      <c r="D17" s="1174">
        <f t="shared" si="3"/>
        <v>14.660516051605157</v>
      </c>
      <c r="E17" s="1174">
        <f t="shared" si="3"/>
        <v>14.933693369336936</v>
      </c>
      <c r="F17" s="1174">
        <f t="shared" si="3"/>
        <v>15.206870687068701</v>
      </c>
      <c r="G17" s="1174">
        <f>G16/33.33*39.4-G16</f>
        <v>13.476747674767466</v>
      </c>
      <c r="H17" s="1174">
        <f t="shared" si="3"/>
        <v>14.751575157515745</v>
      </c>
      <c r="I17" s="1174">
        <f t="shared" si="3"/>
        <v>14.023102310231025</v>
      </c>
      <c r="J17" s="1174">
        <f t="shared" si="3"/>
        <v>15.407200720072012</v>
      </c>
      <c r="K17" s="1168" t="s">
        <v>393</v>
      </c>
      <c r="L17" s="1166"/>
    </row>
    <row r="18" spans="1:13">
      <c r="A18" s="1162"/>
      <c r="B18" s="1164" t="s">
        <v>1608</v>
      </c>
      <c r="C18" s="1174">
        <f t="shared" ref="C18:J18" si="4">100-C16-C17</f>
        <v>8.3858385838583871</v>
      </c>
      <c r="D18" s="1174">
        <f t="shared" si="4"/>
        <v>4.8394839483948431</v>
      </c>
      <c r="E18" s="1174">
        <f t="shared" si="4"/>
        <v>3.066306630663064</v>
      </c>
      <c r="F18" s="1174">
        <f t="shared" si="4"/>
        <v>1.2931293129312991</v>
      </c>
      <c r="G18" s="1174">
        <f t="shared" si="4"/>
        <v>12.523252325232534</v>
      </c>
      <c r="H18" s="1174">
        <f>100-H16-H17</f>
        <v>4.2484248424842548</v>
      </c>
      <c r="I18" s="1174">
        <f t="shared" si="4"/>
        <v>8.9768976897689754</v>
      </c>
      <c r="J18" s="1174">
        <f t="shared" si="4"/>
        <v>-7.2007200720065612E-3</v>
      </c>
      <c r="K18" s="1168"/>
      <c r="L18" s="1166"/>
    </row>
    <row r="19" spans="1:13">
      <c r="A19" s="1162"/>
      <c r="B19" s="1164"/>
      <c r="C19" s="857"/>
      <c r="D19" s="857"/>
      <c r="E19" s="857"/>
      <c r="F19" s="857"/>
      <c r="G19" s="857"/>
      <c r="H19" s="857"/>
      <c r="I19" s="857"/>
      <c r="J19" s="857"/>
      <c r="K19" s="857"/>
      <c r="L19" s="857"/>
    </row>
    <row r="20" spans="1:13">
      <c r="A20" s="1162"/>
      <c r="B20" s="1164" t="s">
        <v>1609</v>
      </c>
      <c r="C20" s="1174">
        <f>C16/33.33*1000/100</f>
        <v>23.252325232523255</v>
      </c>
      <c r="D20" s="1174">
        <f t="shared" ref="D20:J20" si="5">D16/33.33*1000/100</f>
        <v>24.152415241524153</v>
      </c>
      <c r="E20" s="1174">
        <f t="shared" si="5"/>
        <v>24.602460246024602</v>
      </c>
      <c r="F20" s="1174">
        <f t="shared" si="5"/>
        <v>25.052505250525051</v>
      </c>
      <c r="G20" s="1174">
        <f t="shared" si="5"/>
        <v>22.202220222022202</v>
      </c>
      <c r="H20" s="1174">
        <f t="shared" si="5"/>
        <v>24.3024302430243</v>
      </c>
      <c r="I20" s="1174">
        <f t="shared" si="5"/>
        <v>23.102310231023104</v>
      </c>
      <c r="J20" s="1174">
        <f t="shared" si="5"/>
        <v>25.382538253825384</v>
      </c>
      <c r="K20" s="1168"/>
      <c r="L20" s="1166"/>
    </row>
    <row r="21" spans="1:13">
      <c r="A21" s="1162"/>
      <c r="B21" s="1164"/>
      <c r="C21" s="1167"/>
      <c r="D21" s="1167"/>
      <c r="E21" s="1167"/>
      <c r="F21" s="1167"/>
      <c r="G21" s="1167"/>
      <c r="H21" s="1167"/>
      <c r="I21" s="1167"/>
      <c r="J21" s="1167"/>
      <c r="K21" s="1168"/>
      <c r="L21" s="1166"/>
    </row>
    <row r="22" spans="1:13">
      <c r="A22" s="1162"/>
      <c r="B22" s="1164" t="s">
        <v>59</v>
      </c>
      <c r="C22" s="1174">
        <v>1.4</v>
      </c>
      <c r="D22" s="1174">
        <v>1.4</v>
      </c>
      <c r="E22" s="1174">
        <v>1.4</v>
      </c>
      <c r="F22" s="1174">
        <v>1.4</v>
      </c>
      <c r="G22" s="1174">
        <v>1.4</v>
      </c>
      <c r="H22" s="1174">
        <v>1.4</v>
      </c>
      <c r="I22" s="1174">
        <v>1.4</v>
      </c>
      <c r="J22" s="1174">
        <v>1.4</v>
      </c>
      <c r="K22" s="1168" t="s">
        <v>694</v>
      </c>
      <c r="L22" s="1166"/>
    </row>
    <row r="23" spans="1:13">
      <c r="A23" s="1162"/>
      <c r="B23" s="1164" t="s">
        <v>712</v>
      </c>
      <c r="C23" s="1167">
        <v>5</v>
      </c>
      <c r="D23" s="1167">
        <v>5</v>
      </c>
      <c r="E23" s="1167">
        <v>5</v>
      </c>
      <c r="F23" s="1167">
        <v>5</v>
      </c>
      <c r="G23" s="1167">
        <v>5</v>
      </c>
      <c r="H23" s="1167">
        <v>5</v>
      </c>
      <c r="I23" s="1167">
        <v>5</v>
      </c>
      <c r="J23" s="1167">
        <v>5</v>
      </c>
      <c r="K23" s="1168" t="s">
        <v>694</v>
      </c>
      <c r="L23" s="1166"/>
    </row>
    <row r="24" spans="1:13">
      <c r="A24" s="1162"/>
      <c r="B24" s="1164" t="s">
        <v>58</v>
      </c>
      <c r="C24" s="1167">
        <v>10</v>
      </c>
      <c r="D24" s="1167">
        <v>20</v>
      </c>
      <c r="E24" s="1167">
        <v>20</v>
      </c>
      <c r="F24" s="1167">
        <v>20</v>
      </c>
      <c r="G24" s="1167">
        <v>10</v>
      </c>
      <c r="H24" s="1167">
        <v>10</v>
      </c>
      <c r="I24" s="1167">
        <v>15</v>
      </c>
      <c r="J24" s="1167">
        <v>20</v>
      </c>
      <c r="K24" s="1168" t="s">
        <v>694</v>
      </c>
      <c r="L24" s="1166"/>
    </row>
    <row r="25" spans="1:13">
      <c r="A25" s="1162"/>
      <c r="B25" s="1164" t="s">
        <v>1610</v>
      </c>
      <c r="C25" s="1174">
        <v>4</v>
      </c>
      <c r="D25" s="1174">
        <v>0.5</v>
      </c>
      <c r="E25" s="1174">
        <v>0.5</v>
      </c>
      <c r="F25" s="1174">
        <v>0.5</v>
      </c>
      <c r="G25" s="1174">
        <v>4</v>
      </c>
      <c r="H25" s="1174">
        <v>4</v>
      </c>
      <c r="I25" s="1174">
        <v>0.5</v>
      </c>
      <c r="J25" s="1174">
        <v>1</v>
      </c>
      <c r="K25" s="1168" t="s">
        <v>694</v>
      </c>
      <c r="L25" s="1166"/>
    </row>
    <row r="26" spans="1:13">
      <c r="A26" s="1162"/>
      <c r="B26" s="1164"/>
      <c r="C26" s="1164"/>
      <c r="D26" s="1164"/>
      <c r="E26" s="1164"/>
      <c r="F26" s="1164"/>
      <c r="G26" s="1164"/>
      <c r="H26" s="1164"/>
      <c r="I26" s="1164"/>
      <c r="J26" s="1164"/>
      <c r="K26" s="1164"/>
      <c r="L26" s="1164"/>
    </row>
    <row r="27" spans="1:13">
      <c r="A27" s="1162"/>
      <c r="B27" s="1177" t="s">
        <v>1549</v>
      </c>
      <c r="C27" s="1173"/>
      <c r="D27" s="1173"/>
      <c r="E27" s="1173"/>
      <c r="F27" s="1173"/>
      <c r="G27" s="1173"/>
      <c r="H27" s="1173"/>
      <c r="I27" s="1173"/>
      <c r="J27" s="1173"/>
      <c r="K27" s="1168"/>
      <c r="L27" s="1166"/>
    </row>
    <row r="28" spans="1:13">
      <c r="A28" s="1162"/>
      <c r="B28" s="1164" t="s">
        <v>1550</v>
      </c>
      <c r="C28" s="1167">
        <f>((2800+5600)/2*0.85)/(C10/100)</f>
        <v>4490.566037735849</v>
      </c>
      <c r="D28" s="1167">
        <f>(800+2800)/2*0.85/(D10/100)</f>
        <v>1900.6211180124224</v>
      </c>
      <c r="E28" s="1167">
        <f>D28/2+F28/2</f>
        <v>1341.8953255909778</v>
      </c>
      <c r="F28" s="1167">
        <f>(500+1000)/2*0.85/(F10/100)</f>
        <v>783.16953316953311</v>
      </c>
      <c r="G28" s="1167">
        <f>2800*0.85/(G10/100)</f>
        <v>3012.658227848101</v>
      </c>
      <c r="H28" s="1167">
        <f>5600*0.85/(H10/100)</f>
        <v>5804.8780487804879</v>
      </c>
      <c r="I28" s="1167">
        <f>500*0.85/(I10/100)</f>
        <v>524.69135802469134</v>
      </c>
      <c r="J28" s="1167">
        <f>1000*0.85/(J10/100)</f>
        <v>1024.0963855421687</v>
      </c>
      <c r="K28" s="1168" t="s">
        <v>1142</v>
      </c>
      <c r="L28" s="1166" t="s">
        <v>1541</v>
      </c>
      <c r="M28" s="1178"/>
    </row>
    <row r="29" spans="1:13">
      <c r="A29" s="1162"/>
      <c r="B29" s="1164" t="s">
        <v>1552</v>
      </c>
      <c r="C29" s="1167">
        <f t="shared" ref="C29:J29" si="6">(C20/1000)^-1/24*C28</f>
        <v>8046.8046256847219</v>
      </c>
      <c r="D29" s="1167">
        <f t="shared" si="6"/>
        <v>3278.8665560742261</v>
      </c>
      <c r="E29" s="1167">
        <f t="shared" si="6"/>
        <v>2272.6306505054517</v>
      </c>
      <c r="F29" s="1167">
        <f t="shared" si="6"/>
        <v>1302.5469331607055</v>
      </c>
      <c r="G29" s="1167">
        <f t="shared" si="6"/>
        <v>5653.8231269243925</v>
      </c>
      <c r="H29" s="1167">
        <f t="shared" si="6"/>
        <v>9952.4992472146951</v>
      </c>
      <c r="I29" s="1167">
        <f t="shared" si="6"/>
        <v>946.31834215167544</v>
      </c>
      <c r="J29" s="1167">
        <f t="shared" si="6"/>
        <v>1681.1038480161778</v>
      </c>
      <c r="K29" s="1168" t="s">
        <v>1611</v>
      </c>
      <c r="L29" s="1166" t="s">
        <v>1541</v>
      </c>
    </row>
    <row r="30" spans="1:13">
      <c r="A30" s="1162"/>
      <c r="B30" s="1164" t="s">
        <v>954</v>
      </c>
      <c r="C30" s="1167">
        <v>80</v>
      </c>
      <c r="D30" s="1167">
        <v>80</v>
      </c>
      <c r="E30" s="1167">
        <v>80</v>
      </c>
      <c r="F30" s="1167">
        <v>80</v>
      </c>
      <c r="G30" s="1167">
        <v>80</v>
      </c>
      <c r="H30" s="1167">
        <v>80</v>
      </c>
      <c r="I30" s="1167">
        <v>80</v>
      </c>
      <c r="J30" s="1167">
        <v>80</v>
      </c>
      <c r="K30" s="1168" t="s">
        <v>694</v>
      </c>
      <c r="L30" s="1166"/>
    </row>
    <row r="31" spans="1:13">
      <c r="A31" s="1162"/>
      <c r="B31" s="1164" t="s">
        <v>952</v>
      </c>
      <c r="C31" s="1167">
        <v>20</v>
      </c>
      <c r="D31" s="1167">
        <v>20</v>
      </c>
      <c r="E31" s="1167">
        <v>20</v>
      </c>
      <c r="F31" s="1167">
        <v>20</v>
      </c>
      <c r="G31" s="1167">
        <v>20</v>
      </c>
      <c r="H31" s="1167">
        <v>20</v>
      </c>
      <c r="I31" s="1167">
        <v>20</v>
      </c>
      <c r="J31" s="1167">
        <v>20</v>
      </c>
      <c r="K31" s="1168" t="s">
        <v>694</v>
      </c>
      <c r="L31" s="1166"/>
    </row>
    <row r="32" spans="1:13">
      <c r="A32" s="1162"/>
      <c r="B32" s="1164" t="s">
        <v>1554</v>
      </c>
      <c r="C32" s="1167">
        <v>12</v>
      </c>
      <c r="D32" s="1167">
        <v>12</v>
      </c>
      <c r="E32" s="1167">
        <v>12</v>
      </c>
      <c r="F32" s="1167">
        <v>12</v>
      </c>
      <c r="G32" s="1167">
        <v>12</v>
      </c>
      <c r="H32" s="1167">
        <v>12</v>
      </c>
      <c r="I32" s="1167">
        <v>12</v>
      </c>
      <c r="J32" s="1167">
        <v>12</v>
      </c>
      <c r="K32" s="1167" t="s">
        <v>1612</v>
      </c>
      <c r="L32" s="1166" t="s">
        <v>1560</v>
      </c>
    </row>
    <row r="33" spans="1:14">
      <c r="A33" s="1162"/>
      <c r="B33" s="1164" t="s">
        <v>1557</v>
      </c>
      <c r="C33" s="1173" t="s">
        <v>706</v>
      </c>
      <c r="D33" s="1173" t="s">
        <v>706</v>
      </c>
      <c r="E33" s="1173" t="s">
        <v>706</v>
      </c>
      <c r="F33" s="1173" t="s">
        <v>706</v>
      </c>
      <c r="G33" s="1173"/>
      <c r="H33" s="1173"/>
      <c r="I33" s="1173"/>
      <c r="J33" s="1173"/>
      <c r="K33" s="1168" t="s">
        <v>255</v>
      </c>
      <c r="L33" s="1166"/>
    </row>
    <row r="34" spans="1:14">
      <c r="A34" s="1162"/>
      <c r="B34" s="1164" t="s">
        <v>1558</v>
      </c>
      <c r="C34" s="1173" t="s">
        <v>706</v>
      </c>
      <c r="D34" s="1173" t="s">
        <v>706</v>
      </c>
      <c r="E34" s="1173" t="s">
        <v>706</v>
      </c>
      <c r="F34" s="1173" t="s">
        <v>706</v>
      </c>
      <c r="G34" s="1173"/>
      <c r="H34" s="1173"/>
      <c r="I34" s="1173"/>
      <c r="J34" s="1173"/>
      <c r="K34" s="1168"/>
      <c r="L34" s="1166"/>
    </row>
    <row r="35" spans="1:14">
      <c r="A35" s="1162"/>
      <c r="B35" s="1179"/>
      <c r="C35" s="1179"/>
      <c r="D35" s="1179"/>
      <c r="E35" s="1179"/>
      <c r="F35" s="1179"/>
      <c r="G35" s="1179"/>
      <c r="H35" s="1179"/>
      <c r="I35" s="1179"/>
      <c r="J35" s="1179"/>
      <c r="K35" s="1179"/>
      <c r="L35" s="1179"/>
    </row>
    <row r="36" spans="1:14">
      <c r="A36" s="1162"/>
      <c r="B36" s="1177" t="s">
        <v>642</v>
      </c>
      <c r="C36" s="1173"/>
      <c r="D36" s="1173"/>
      <c r="E36" s="1173"/>
      <c r="F36" s="1173"/>
      <c r="G36" s="1173"/>
      <c r="H36" s="1173"/>
      <c r="I36" s="1173"/>
      <c r="J36" s="1173"/>
      <c r="K36" s="1168"/>
      <c r="L36" s="1166"/>
    </row>
    <row r="37" spans="1:14">
      <c r="A37" s="1162"/>
      <c r="B37" s="1164" t="s">
        <v>1559</v>
      </c>
      <c r="C37" s="1173">
        <v>0.65</v>
      </c>
      <c r="D37" s="1173">
        <v>1</v>
      </c>
      <c r="E37" s="1173">
        <v>1.5</v>
      </c>
      <c r="F37" s="1173">
        <v>1.5</v>
      </c>
      <c r="G37" s="1173">
        <v>0.5</v>
      </c>
      <c r="H37" s="1173">
        <v>0.65</v>
      </c>
      <c r="I37" s="1173">
        <v>1.5</v>
      </c>
      <c r="J37" s="1173">
        <v>1.8</v>
      </c>
      <c r="K37" s="1168"/>
      <c r="L37" s="1166" t="s">
        <v>1560</v>
      </c>
      <c r="M37" s="1180"/>
    </row>
    <row r="38" spans="1:14" ht="17.100000000000001" customHeight="1">
      <c r="A38" s="1162"/>
      <c r="B38" s="1164" t="s">
        <v>1561</v>
      </c>
      <c r="C38" s="1181">
        <v>35</v>
      </c>
      <c r="D38" s="1181">
        <v>20</v>
      </c>
      <c r="E38" s="1181">
        <v>15</v>
      </c>
      <c r="F38" s="1181">
        <v>10</v>
      </c>
      <c r="G38" s="1181">
        <v>35</v>
      </c>
      <c r="H38" s="1181">
        <v>35</v>
      </c>
      <c r="I38" s="1181">
        <v>10</v>
      </c>
      <c r="J38" s="1181">
        <v>20</v>
      </c>
      <c r="K38" s="1182"/>
      <c r="L38" s="1183" t="s">
        <v>1560</v>
      </c>
      <c r="M38" s="1180"/>
    </row>
    <row r="39" spans="1:14" ht="34.200000000000003" hidden="1">
      <c r="A39" s="1162"/>
      <c r="B39">
        <f>500/7.48</f>
        <v>66.844919786096256</v>
      </c>
      <c r="C39" s="1184" t="s">
        <v>1562</v>
      </c>
      <c r="D39" s="1185" t="e">
        <f>#REF!*100</f>
        <v>#REF!</v>
      </c>
      <c r="E39" s="1185" t="e">
        <f>#REF!</f>
        <v>#REF!</v>
      </c>
      <c r="F39" s="1185" t="e">
        <f>E39</f>
        <v>#REF!</v>
      </c>
      <c r="G39" s="1185" t="e">
        <f>F39</f>
        <v>#REF!</v>
      </c>
      <c r="H39" s="1186"/>
      <c r="I39" s="1186"/>
      <c r="J39" s="882"/>
      <c r="K39" s="882"/>
      <c r="L39" s="1187" t="s">
        <v>1563</v>
      </c>
      <c r="M39" s="1188" t="s">
        <v>1564</v>
      </c>
      <c r="N39" s="1189"/>
    </row>
    <row r="40" spans="1:14" hidden="1">
      <c r="A40" s="1162"/>
    </row>
    <row r="41" spans="1:14" hidden="1">
      <c r="A41" s="1162"/>
      <c r="C41" s="1190"/>
      <c r="D41" s="1191"/>
      <c r="E41" s="1191"/>
      <c r="F41" s="1191"/>
      <c r="G41" s="1191"/>
      <c r="H41" s="1192"/>
      <c r="I41" s="1192"/>
    </row>
    <row r="42" spans="1:14" ht="14.4" hidden="1" customHeight="1">
      <c r="A42" s="1389"/>
      <c r="B42" s="1389"/>
      <c r="C42" s="1389"/>
      <c r="D42" s="1389"/>
      <c r="E42" s="1389"/>
      <c r="F42" s="1389"/>
      <c r="G42" s="1389"/>
      <c r="H42" s="1389"/>
      <c r="I42" s="1389"/>
      <c r="J42" s="1129"/>
      <c r="K42" s="1193"/>
      <c r="L42" s="1389"/>
      <c r="M42" s="1389"/>
    </row>
    <row r="43" spans="1:14" ht="14.4" hidden="1" customHeight="1">
      <c r="A43" s="1193"/>
      <c r="C43" s="1389"/>
      <c r="D43" s="1391"/>
      <c r="E43" s="1391"/>
      <c r="F43" s="1391"/>
      <c r="G43" s="1391"/>
      <c r="H43" s="1391"/>
      <c r="I43" s="1391"/>
      <c r="J43" s="1391"/>
      <c r="K43" s="1391"/>
      <c r="L43" s="1389"/>
      <c r="M43" s="1389"/>
    </row>
    <row r="44" spans="1:14" ht="14.4" hidden="1" customHeight="1">
      <c r="A44" s="1194"/>
      <c r="B44" s="1389"/>
      <c r="C44" s="1391"/>
      <c r="D44" s="1391"/>
      <c r="E44" s="1391"/>
      <c r="F44" s="1391"/>
      <c r="G44" s="1391"/>
      <c r="H44" s="1391"/>
      <c r="I44" s="1391"/>
      <c r="J44" s="1391"/>
      <c r="K44" s="1193"/>
      <c r="L44" s="1389"/>
      <c r="M44" s="1389"/>
    </row>
    <row r="45" spans="1:14" ht="14.4" hidden="1" customHeight="1">
      <c r="A45" s="1193"/>
      <c r="C45" s="1389"/>
      <c r="D45" s="1391"/>
      <c r="E45" s="1391"/>
      <c r="F45" s="1391"/>
      <c r="G45" s="1391"/>
      <c r="H45" s="1391"/>
      <c r="I45" s="1391"/>
      <c r="J45" s="1391"/>
      <c r="K45" s="1391"/>
      <c r="L45" s="1389"/>
      <c r="M45" s="1389"/>
    </row>
    <row r="46" spans="1:14" ht="14.4" hidden="1" customHeight="1">
      <c r="A46" s="1193"/>
      <c r="B46" s="1389"/>
      <c r="C46" s="1391"/>
      <c r="D46" s="1391"/>
      <c r="E46" s="1391"/>
      <c r="F46" s="1391"/>
      <c r="G46" s="1391"/>
      <c r="H46" s="1391"/>
      <c r="I46" s="1391"/>
      <c r="J46" s="1391"/>
      <c r="K46" s="1193"/>
      <c r="L46" s="1389"/>
      <c r="M46" s="1389"/>
    </row>
    <row r="47" spans="1:14" ht="3.9" hidden="1" customHeight="1">
      <c r="B47" s="856"/>
      <c r="L47" s="1389"/>
      <c r="M47" s="1389"/>
    </row>
    <row r="48" spans="1:14">
      <c r="A48" s="1193"/>
      <c r="B48" s="1129"/>
      <c r="C48" s="1129"/>
      <c r="D48" s="1195"/>
      <c r="E48" s="1129"/>
      <c r="F48" s="1129"/>
      <c r="G48" s="1129"/>
      <c r="H48" s="1129"/>
      <c r="I48" s="1129"/>
      <c r="J48" s="1129"/>
      <c r="K48" s="1193"/>
      <c r="L48" s="1389"/>
      <c r="M48" s="1389"/>
    </row>
    <row r="49" spans="1:14" ht="14.4" customHeight="1">
      <c r="A49" s="1390" t="s">
        <v>695</v>
      </c>
      <c r="B49" s="1390"/>
      <c r="C49" s="1190"/>
      <c r="D49" s="1190"/>
      <c r="E49" s="1190"/>
      <c r="F49" s="1190"/>
      <c r="G49" s="1190"/>
      <c r="H49" s="1190"/>
      <c r="I49" s="1190"/>
      <c r="J49" s="1190"/>
      <c r="K49" s="1193"/>
      <c r="L49" s="1389"/>
      <c r="M49" s="1389"/>
    </row>
    <row r="50" spans="1:14">
      <c r="A50" s="820" t="s">
        <v>694</v>
      </c>
      <c r="B50" s="1196" t="s">
        <v>1613</v>
      </c>
      <c r="C50" s="1197"/>
      <c r="D50" s="1197"/>
      <c r="E50" s="1197"/>
      <c r="F50" s="1197"/>
      <c r="G50" s="1197"/>
      <c r="H50" s="1197"/>
      <c r="I50" s="1197"/>
      <c r="J50" s="1197"/>
      <c r="K50" s="1198"/>
      <c r="L50" s="1198"/>
      <c r="M50" s="1198"/>
    </row>
    <row r="51" spans="1:14">
      <c r="A51" s="820" t="s">
        <v>692</v>
      </c>
      <c r="B51" s="1196" t="s">
        <v>1614</v>
      </c>
      <c r="C51" s="1197"/>
      <c r="D51" s="1197"/>
      <c r="E51" s="1197"/>
      <c r="F51" s="1197"/>
      <c r="G51" s="1197"/>
      <c r="H51" s="1197"/>
      <c r="I51" s="1197"/>
      <c r="J51" s="1197"/>
      <c r="K51" s="1198"/>
      <c r="L51" s="1198"/>
      <c r="M51" s="1198"/>
      <c r="N51" s="1199"/>
    </row>
    <row r="52" spans="1:14" ht="15" customHeight="1">
      <c r="A52" s="820" t="s">
        <v>272</v>
      </c>
      <c r="B52" s="1196" t="s">
        <v>1591</v>
      </c>
      <c r="C52" s="1200"/>
      <c r="D52" s="1200"/>
      <c r="E52" s="1200"/>
      <c r="F52" s="1200"/>
      <c r="G52" s="1200"/>
      <c r="H52" s="1200"/>
      <c r="I52" s="1200"/>
      <c r="J52" s="1200"/>
      <c r="K52" s="1200"/>
      <c r="L52" s="1200"/>
      <c r="M52" s="1200"/>
    </row>
    <row r="53" spans="1:14">
      <c r="A53" s="820" t="s">
        <v>269</v>
      </c>
      <c r="B53" s="1196" t="s">
        <v>1615</v>
      </c>
      <c r="D53" s="1197"/>
      <c r="E53" s="1197"/>
      <c r="F53" s="1197"/>
      <c r="G53" s="1197"/>
      <c r="H53" s="1197"/>
      <c r="I53" s="1197"/>
      <c r="J53" s="1197"/>
      <c r="K53" s="1197"/>
      <c r="L53" s="1198"/>
      <c r="M53" s="1198"/>
    </row>
    <row r="54" spans="1:14" ht="15" customHeight="1">
      <c r="A54" s="820" t="s">
        <v>266</v>
      </c>
      <c r="B54" s="1196" t="s">
        <v>1616</v>
      </c>
      <c r="C54" s="1196"/>
      <c r="D54" s="1196"/>
      <c r="E54" s="1196"/>
      <c r="F54" s="1196"/>
      <c r="G54" s="1196"/>
      <c r="H54" s="1196"/>
      <c r="I54" s="1196"/>
      <c r="J54" s="1196"/>
      <c r="K54" s="1193"/>
      <c r="L54" s="855"/>
      <c r="M54" s="855"/>
    </row>
    <row r="55" spans="1:14" ht="15" customHeight="1">
      <c r="A55" s="820" t="s">
        <v>255</v>
      </c>
      <c r="B55" s="1196" t="s">
        <v>1617</v>
      </c>
      <c r="C55" s="1196"/>
      <c r="D55" s="1196"/>
      <c r="E55" s="1196"/>
      <c r="F55" s="1196"/>
      <c r="G55" s="1196"/>
      <c r="H55" s="1196"/>
      <c r="I55" s="1196"/>
      <c r="J55" s="1196"/>
      <c r="K55" s="1196"/>
      <c r="L55" s="1196"/>
      <c r="M55" s="1196"/>
    </row>
    <row r="56" spans="1:14" ht="15" customHeight="1">
      <c r="A56" s="820" t="s">
        <v>389</v>
      </c>
      <c r="B56" s="855" t="s">
        <v>1618</v>
      </c>
      <c r="C56" s="855"/>
      <c r="D56" s="855"/>
      <c r="E56" s="855"/>
      <c r="F56" s="855"/>
      <c r="G56" s="855"/>
      <c r="H56" s="855"/>
      <c r="I56" s="855"/>
      <c r="J56" s="855"/>
      <c r="K56" s="855"/>
      <c r="L56" s="855"/>
      <c r="M56" s="855"/>
    </row>
    <row r="57" spans="1:14" ht="15" customHeight="1">
      <c r="A57" s="820" t="s">
        <v>393</v>
      </c>
      <c r="B57" s="855" t="s">
        <v>1578</v>
      </c>
      <c r="C57" s="855"/>
      <c r="D57" s="855"/>
      <c r="E57" s="855"/>
      <c r="F57" s="855"/>
      <c r="G57" s="855"/>
      <c r="H57" s="855"/>
      <c r="I57" s="855"/>
      <c r="J57" s="855"/>
      <c r="K57" s="855"/>
    </row>
    <row r="58" spans="1:14" ht="15" customHeight="1">
      <c r="A58" s="820" t="s">
        <v>675</v>
      </c>
      <c r="B58" s="854" t="s">
        <v>1619</v>
      </c>
      <c r="C58" s="1200"/>
      <c r="D58" s="1200"/>
      <c r="E58" s="1200"/>
      <c r="F58" s="1200"/>
      <c r="G58" s="1200"/>
      <c r="H58" s="1200"/>
      <c r="I58" s="1200"/>
      <c r="J58" s="1200"/>
    </row>
    <row r="59" spans="1:14">
      <c r="A59" s="820"/>
      <c r="B59" s="1201"/>
      <c r="C59" s="1202"/>
      <c r="D59" s="1202"/>
      <c r="E59" s="1202"/>
      <c r="F59" s="1202"/>
      <c r="G59" s="1202"/>
      <c r="H59" s="1202"/>
      <c r="I59" s="1202"/>
      <c r="J59" s="1202"/>
      <c r="K59" s="1202"/>
      <c r="L59" s="1202"/>
      <c r="M59" s="1202"/>
      <c r="N59" s="1202"/>
    </row>
    <row r="60" spans="1:14">
      <c r="A60" s="1203" t="s">
        <v>669</v>
      </c>
      <c r="B60" s="1204"/>
      <c r="C60" s="1204"/>
      <c r="D60" s="1204"/>
      <c r="E60" s="1204"/>
      <c r="F60" s="1204"/>
      <c r="G60" s="1204"/>
      <c r="H60" s="1204"/>
      <c r="I60" s="1204"/>
    </row>
    <row r="61" spans="1:14">
      <c r="A61" s="1162">
        <v>21</v>
      </c>
      <c r="B61" s="854" t="s">
        <v>1581</v>
      </c>
      <c r="D61" s="1205"/>
      <c r="E61" s="1205"/>
      <c r="F61" s="1205"/>
      <c r="G61" s="1205"/>
      <c r="H61" s="1205"/>
      <c r="I61" s="1205"/>
      <c r="J61" s="1205"/>
      <c r="K61" s="1205"/>
    </row>
    <row r="62" spans="1:14">
      <c r="A62" s="1162">
        <v>24</v>
      </c>
      <c r="B62" s="854" t="s">
        <v>1583</v>
      </c>
      <c r="D62" s="1205"/>
      <c r="E62" s="1205"/>
      <c r="F62" s="1205"/>
      <c r="G62" s="1205"/>
      <c r="H62" s="1205"/>
      <c r="I62" s="1205"/>
      <c r="J62" s="1205"/>
      <c r="K62" s="1205"/>
    </row>
    <row r="63" spans="1:14">
      <c r="A63" s="1162">
        <v>26</v>
      </c>
      <c r="B63" s="854" t="s">
        <v>1584</v>
      </c>
      <c r="D63" s="1205"/>
      <c r="E63" s="1205"/>
      <c r="F63" s="1205"/>
      <c r="G63" s="1205"/>
      <c r="H63" s="1205"/>
      <c r="I63" s="1205"/>
      <c r="J63" s="1205"/>
      <c r="K63" s="1205"/>
    </row>
  </sheetData>
  <mergeCells count="17">
    <mergeCell ref="C43:K43"/>
    <mergeCell ref="L43:M43"/>
    <mergeCell ref="C3:L3"/>
    <mergeCell ref="G4:H4"/>
    <mergeCell ref="I4:J4"/>
    <mergeCell ref="A42:I42"/>
    <mergeCell ref="L42:M42"/>
    <mergeCell ref="L47:M47"/>
    <mergeCell ref="L48:M48"/>
    <mergeCell ref="A49:B49"/>
    <mergeCell ref="L49:M49"/>
    <mergeCell ref="B44:J44"/>
    <mergeCell ref="L44:M44"/>
    <mergeCell ref="C45:K45"/>
    <mergeCell ref="L45:M45"/>
    <mergeCell ref="B46:J46"/>
    <mergeCell ref="L46:M46"/>
  </mergeCells>
  <hyperlinks>
    <hyperlink ref="C3" location="INDEX" display="Biogas plant, additional straw input in the feedstock mix" xr:uid="{619847DB-6666-4F7E-9CE7-4B2A5ACB3E91}"/>
  </hyperlinks>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P23" sqref="P23"/>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884" t="s">
        <v>966</v>
      </c>
    </row>
    <row r="2" spans="2:14" ht="15" customHeight="1">
      <c r="C2" s="923" t="s">
        <v>296</v>
      </c>
      <c r="D2" s="922" t="s">
        <v>1021</v>
      </c>
      <c r="E2" s="921"/>
      <c r="F2" s="921"/>
      <c r="G2" s="921"/>
      <c r="H2" s="921"/>
      <c r="I2" s="921"/>
      <c r="J2" s="921"/>
      <c r="K2" s="921"/>
      <c r="L2" s="921"/>
      <c r="M2" s="921"/>
      <c r="N2" s="920"/>
    </row>
    <row r="3" spans="2:14" ht="24" customHeight="1">
      <c r="C3" s="892"/>
      <c r="D3" s="918">
        <v>2015</v>
      </c>
      <c r="E3" s="918">
        <v>2020</v>
      </c>
      <c r="F3" s="918">
        <v>2030</v>
      </c>
      <c r="G3" s="918">
        <v>2040</v>
      </c>
      <c r="H3" s="919">
        <v>2050</v>
      </c>
      <c r="I3" s="1395" t="s">
        <v>290</v>
      </c>
      <c r="J3" s="1395"/>
      <c r="K3" s="1395" t="s">
        <v>289</v>
      </c>
      <c r="L3" s="1395"/>
      <c r="M3" s="918" t="s">
        <v>288</v>
      </c>
      <c r="N3" s="918" t="s">
        <v>287</v>
      </c>
    </row>
    <row r="4" spans="2:14">
      <c r="C4" s="892"/>
      <c r="D4" s="918"/>
      <c r="E4" s="918"/>
      <c r="F4" s="918"/>
      <c r="G4" s="918"/>
      <c r="H4" s="919"/>
      <c r="I4" s="918" t="s">
        <v>284</v>
      </c>
      <c r="J4" s="918" t="s">
        <v>283</v>
      </c>
      <c r="K4" s="918" t="s">
        <v>284</v>
      </c>
      <c r="L4" s="918" t="s">
        <v>283</v>
      </c>
      <c r="M4" s="918"/>
      <c r="N4" s="918"/>
    </row>
    <row r="5" spans="2:14">
      <c r="C5" s="917" t="s">
        <v>282</v>
      </c>
      <c r="D5" s="915"/>
      <c r="E5" s="915"/>
      <c r="F5" s="915"/>
      <c r="G5" s="915"/>
      <c r="H5" s="915"/>
      <c r="I5" s="916"/>
      <c r="J5" s="915"/>
      <c r="K5" s="915"/>
      <c r="L5" s="915"/>
      <c r="M5" s="914"/>
      <c r="N5" s="913"/>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891" t="s">
        <v>1020</v>
      </c>
      <c r="D6" s="892">
        <v>100</v>
      </c>
      <c r="E6" s="892">
        <v>100</v>
      </c>
      <c r="F6" s="892">
        <v>100</v>
      </c>
      <c r="G6" s="892">
        <v>100</v>
      </c>
      <c r="H6" s="893">
        <v>100</v>
      </c>
      <c r="I6" s="912">
        <v>0.5</v>
      </c>
      <c r="J6" s="912">
        <v>2</v>
      </c>
      <c r="K6" s="912">
        <v>0.5</v>
      </c>
      <c r="L6" s="912">
        <v>2</v>
      </c>
      <c r="M6" s="887" t="s">
        <v>694</v>
      </c>
      <c r="N6" s="887">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v>
      </c>
      <c r="C7" s="911" t="s">
        <v>1019</v>
      </c>
      <c r="D7" s="910">
        <v>125</v>
      </c>
      <c r="E7" s="910">
        <v>125</v>
      </c>
      <c r="F7" s="910">
        <v>125</v>
      </c>
      <c r="G7" s="910">
        <v>125</v>
      </c>
      <c r="H7" s="909">
        <v>125</v>
      </c>
      <c r="I7" s="908">
        <v>0.5</v>
      </c>
      <c r="J7" s="908">
        <v>2</v>
      </c>
      <c r="K7" s="908">
        <v>0.5</v>
      </c>
      <c r="L7" s="908">
        <v>2</v>
      </c>
      <c r="M7" s="907" t="s">
        <v>1018</v>
      </c>
      <c r="N7" s="907"/>
    </row>
    <row r="8" spans="2:14">
      <c r="B8" t="str">
        <f>IF(IF(OR(LEFT(C8,27)=SUP_Biofuels!$N$8,LEFT(C8,20)=SUP_Biofuels!$O$8,LEFT(C8,20)=SUP_Biofuels!$P$8),LEFT(C8,20),C8)="Specific investment ","Specific investment (M€ /MW",IF(OR(LEFT(C8,27)=SUP_Biofuels!$N$8,LEFT(C8,20)=SUP_Biofuels!$O$8,LEFT(C8,20)=SUP_Biofuels!$P$8),LEFT(C8,20),C8))</f>
        <v>Inputs</v>
      </c>
      <c r="C8" s="899" t="s">
        <v>275</v>
      </c>
      <c r="D8" s="898"/>
      <c r="E8" s="898"/>
      <c r="F8" s="898"/>
      <c r="G8" s="898"/>
      <c r="H8" s="898"/>
      <c r="I8" s="893"/>
      <c r="J8" s="898"/>
      <c r="K8" s="898"/>
      <c r="L8" s="898"/>
      <c r="M8" s="897"/>
      <c r="N8" s="896"/>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06" t="s">
        <v>93</v>
      </c>
      <c r="D9" s="905">
        <v>0.92500000000000004</v>
      </c>
      <c r="E9" s="905">
        <v>0.92600000000000005</v>
      </c>
      <c r="F9" s="905">
        <v>0.92900000000000005</v>
      </c>
      <c r="G9" s="905">
        <v>0.93100000000000005</v>
      </c>
      <c r="H9" s="904">
        <v>0.93300000000000005</v>
      </c>
      <c r="I9" s="903">
        <v>0.99</v>
      </c>
      <c r="J9" s="903">
        <v>1.01</v>
      </c>
      <c r="K9" s="903">
        <v>0.99</v>
      </c>
      <c r="L9" s="903">
        <v>1.01</v>
      </c>
      <c r="M9" s="902" t="s">
        <v>1016</v>
      </c>
      <c r="N9" s="902">
        <v>4</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891" t="s">
        <v>95</v>
      </c>
      <c r="D10" s="892">
        <v>4.5999999999999999E-2</v>
      </c>
      <c r="E10" s="892">
        <v>4.5999999999999999E-2</v>
      </c>
      <c r="F10" s="892">
        <v>4.5999999999999999E-2</v>
      </c>
      <c r="G10" s="892">
        <v>4.5999999999999999E-2</v>
      </c>
      <c r="H10" s="893">
        <v>4.5999999999999999E-2</v>
      </c>
      <c r="I10" s="888">
        <v>0.93</v>
      </c>
      <c r="J10" s="888">
        <v>1.07</v>
      </c>
      <c r="K10" s="888">
        <v>0.93</v>
      </c>
      <c r="L10" s="888">
        <v>1.07</v>
      </c>
      <c r="M10" s="887" t="s">
        <v>1017</v>
      </c>
      <c r="N10" s="887">
        <v>4</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891" t="s">
        <v>96</v>
      </c>
      <c r="D11" s="892">
        <v>4.0000000000000001E-3</v>
      </c>
      <c r="E11" s="892">
        <v>4.0000000000000001E-3</v>
      </c>
      <c r="F11" s="892">
        <v>3.0000000000000001E-3</v>
      </c>
      <c r="G11" s="890">
        <v>2.5000000000000001E-3</v>
      </c>
      <c r="H11" s="893">
        <v>2E-3</v>
      </c>
      <c r="I11" s="888">
        <v>0.5</v>
      </c>
      <c r="J11" s="888">
        <v>1.5</v>
      </c>
      <c r="K11" s="888">
        <v>0.75</v>
      </c>
      <c r="L11" s="888">
        <v>1.25</v>
      </c>
      <c r="M11" s="887" t="s">
        <v>1016</v>
      </c>
      <c r="N11" s="887">
        <v>4</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891" t="s">
        <v>97</v>
      </c>
      <c r="D12" s="892">
        <v>2.5000000000000001E-2</v>
      </c>
      <c r="E12" s="892">
        <v>2.4E-2</v>
      </c>
      <c r="F12" s="892">
        <v>2.1999999999999999E-2</v>
      </c>
      <c r="G12" s="892">
        <v>0.02</v>
      </c>
      <c r="H12" s="893">
        <v>1.7999999999999999E-2</v>
      </c>
      <c r="I12" s="888">
        <v>0.5</v>
      </c>
      <c r="J12" s="888">
        <v>1.5</v>
      </c>
      <c r="K12" s="888">
        <v>0.75</v>
      </c>
      <c r="L12" s="888">
        <v>1.25</v>
      </c>
      <c r="M12" s="887" t="s">
        <v>1016</v>
      </c>
      <c r="N12" s="887">
        <v>4</v>
      </c>
    </row>
    <row r="13" spans="2:14">
      <c r="B13" t="str">
        <f>IF(IF(OR(LEFT(C13,27)=SUP_Biofuels!$N$8,LEFT(C13,20)=SUP_Biofuels!$O$8,LEFT(C13,20)=SUP_Biofuels!$P$8),LEFT(C13,20),C13)="Specific investment ","Specific investment (M€ /MW",IF(OR(LEFT(C13,27)=SUP_Biofuels!$N$8,LEFT(C13,20)=SUP_Biofuels!$O$8,LEFT(C13,20)=SUP_Biofuels!$P$8),LEFT(C13,20),C13))</f>
        <v>Outputs</v>
      </c>
      <c r="C13" s="901" t="s">
        <v>271</v>
      </c>
      <c r="D13" s="892"/>
      <c r="E13" s="892"/>
      <c r="F13" s="892"/>
      <c r="G13" s="892"/>
      <c r="H13" s="893"/>
      <c r="I13" s="892"/>
      <c r="J13" s="892"/>
      <c r="K13" s="892"/>
      <c r="L13" s="892"/>
      <c r="M13" s="887"/>
      <c r="N13" s="887"/>
    </row>
    <row r="14" spans="2:14" ht="21.6">
      <c r="B14" t="str">
        <f>IF(IF(OR(LEFT(C14,27)=SUP_Biofuels!$N$8,LEFT(C14,20)=SUP_Biofuels!$O$8,LEFT(C14,20)=SUP_Biofuels!$P$8),LEFT(C14,20),C14)="Specific investment ","Specific investment (M€ /MW",IF(OR(LEFT(C14,27)=SUP_Biofuels!$N$8,LEFT(C14,20)=SUP_Biofuels!$O$8,LEFT(C14,20)=SUP_Biofuels!$P$8),LEFT(C14,20),C14))</f>
        <v>Biodiesel Output, MWh/MWh Total Input</v>
      </c>
      <c r="C14" s="891" t="s">
        <v>94</v>
      </c>
      <c r="D14" s="892">
        <v>0.90300000000000002</v>
      </c>
      <c r="E14" s="892">
        <v>0.90300000000000002</v>
      </c>
      <c r="F14" s="892">
        <v>0.90300000000000002</v>
      </c>
      <c r="G14" s="892">
        <v>0.90300000000000002</v>
      </c>
      <c r="H14" s="893">
        <v>0.90300000000000002</v>
      </c>
      <c r="I14" s="888">
        <v>0.99</v>
      </c>
      <c r="J14" s="888">
        <v>1.01</v>
      </c>
      <c r="K14" s="888">
        <v>0.99</v>
      </c>
      <c r="L14" s="888">
        <v>1.01</v>
      </c>
      <c r="M14" s="887" t="s">
        <v>255</v>
      </c>
      <c r="N14" s="887">
        <v>4</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891" t="s">
        <v>98</v>
      </c>
      <c r="D15" s="892">
        <v>3.9E-2</v>
      </c>
      <c r="E15" s="892">
        <v>3.9E-2</v>
      </c>
      <c r="F15" s="892">
        <v>3.9E-2</v>
      </c>
      <c r="G15" s="892">
        <v>3.9E-2</v>
      </c>
      <c r="H15" s="893">
        <v>3.9E-2</v>
      </c>
      <c r="I15" s="888">
        <v>0.99</v>
      </c>
      <c r="J15" s="888">
        <v>1.01</v>
      </c>
      <c r="K15" s="888">
        <v>0.99</v>
      </c>
      <c r="L15" s="888">
        <v>1.01</v>
      </c>
      <c r="M15" s="887" t="s">
        <v>255</v>
      </c>
      <c r="N15" s="887">
        <v>4</v>
      </c>
    </row>
    <row r="16" spans="2:14">
      <c r="B16">
        <f>IF(IF(OR(LEFT(C16,27)=SUP_Biofuels!$N$8,LEFT(C16,20)=SUP_Biofuels!$O$8,LEFT(C16,20)=SUP_Biofuels!$P$8),LEFT(C16,20),C16)="Specific investment ","Specific investment (M€ /MW",IF(OR(LEFT(C16,27)=SUP_Biofuels!$N$8,LEFT(C16,20)=SUP_Biofuels!$O$8,LEFT(C16,20)=SUP_Biofuels!$P$8),LEFT(C16,20),C16))</f>
        <v>0</v>
      </c>
      <c r="C16" s="899"/>
      <c r="D16" s="898"/>
      <c r="E16" s="898"/>
      <c r="F16" s="898"/>
      <c r="G16" s="898"/>
      <c r="H16" s="898"/>
      <c r="I16" s="893"/>
      <c r="J16" s="898"/>
      <c r="K16" s="898"/>
      <c r="L16" s="898"/>
      <c r="M16" s="897"/>
      <c r="N16" s="89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891" t="s">
        <v>59</v>
      </c>
      <c r="D17" s="892">
        <v>0</v>
      </c>
      <c r="E17" s="892">
        <v>0</v>
      </c>
      <c r="F17" s="892">
        <v>0</v>
      </c>
      <c r="G17" s="892">
        <v>0</v>
      </c>
      <c r="H17" s="893">
        <v>0</v>
      </c>
      <c r="I17" s="892"/>
      <c r="J17" s="892"/>
      <c r="K17" s="892"/>
      <c r="L17" s="892"/>
      <c r="M17" s="887" t="s">
        <v>393</v>
      </c>
      <c r="N17" s="887"/>
    </row>
    <row r="18" spans="2:14" ht="21.6">
      <c r="B18" t="str">
        <f>IF(IF(OR(LEFT(C18,27)=SUP_Biofuels!$N$8,LEFT(C18,20)=SUP_Biofuels!$O$8,LEFT(C18,20)=SUP_Biofuels!$P$8),LEFT(C18,20),C18)="Specific investment ","Specific investment (M€ /MW",IF(OR(LEFT(C18,27)=SUP_Biofuels!$N$8,LEFT(C18,20)=SUP_Biofuels!$O$8,LEFT(C18,20)=SUP_Biofuels!$P$8),LEFT(C18,20),C18))</f>
        <v>Planned outage (weeks per year)</v>
      </c>
      <c r="C18" s="891" t="s">
        <v>92</v>
      </c>
      <c r="D18" s="892">
        <v>2</v>
      </c>
      <c r="E18" s="892">
        <v>2</v>
      </c>
      <c r="F18" s="892">
        <v>2</v>
      </c>
      <c r="G18" s="892">
        <v>2</v>
      </c>
      <c r="H18" s="893">
        <v>2</v>
      </c>
      <c r="I18" s="892"/>
      <c r="J18" s="892"/>
      <c r="K18" s="892"/>
      <c r="L18" s="887"/>
      <c r="M18" s="887"/>
      <c r="N18" s="892"/>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891" t="s">
        <v>58</v>
      </c>
      <c r="D19" s="892">
        <v>25</v>
      </c>
      <c r="E19" s="892">
        <v>25</v>
      </c>
      <c r="F19" s="892">
        <v>25</v>
      </c>
      <c r="G19" s="892">
        <v>25</v>
      </c>
      <c r="H19" s="893">
        <v>25</v>
      </c>
      <c r="I19" s="892"/>
      <c r="J19" s="892"/>
      <c r="K19" s="892"/>
      <c r="L19" s="887"/>
      <c r="M19" s="887"/>
      <c r="N19" s="892"/>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891" t="s">
        <v>60</v>
      </c>
      <c r="D20" s="892">
        <v>1.5</v>
      </c>
      <c r="E20" s="892">
        <v>1.5</v>
      </c>
      <c r="F20" s="892">
        <v>1.5</v>
      </c>
      <c r="G20" s="892">
        <v>1.5</v>
      </c>
      <c r="H20" s="893">
        <v>1.5</v>
      </c>
      <c r="I20" s="892"/>
      <c r="J20" s="892"/>
      <c r="K20" s="892"/>
      <c r="L20" s="887"/>
      <c r="M20" s="887"/>
      <c r="N20" s="892"/>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899" t="s">
        <v>264</v>
      </c>
      <c r="D21" s="898"/>
      <c r="E21" s="898"/>
      <c r="F21" s="898"/>
      <c r="G21" s="898"/>
      <c r="H21" s="898"/>
      <c r="I21" s="893"/>
      <c r="J21" s="898"/>
      <c r="K21" s="898"/>
      <c r="L21" s="898"/>
      <c r="M21" s="897"/>
      <c r="N21" s="896"/>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891" t="s">
        <v>1015</v>
      </c>
      <c r="D22" s="900">
        <f>D31/1.25</f>
        <v>0.51200000000000001</v>
      </c>
      <c r="E22" s="900">
        <f>E31/1.25</f>
        <v>0.504</v>
      </c>
      <c r="F22" s="900">
        <f>F31/1.25</f>
        <v>0.496</v>
      </c>
      <c r="G22" s="900">
        <v>0.49</v>
      </c>
      <c r="H22" s="895">
        <f>H31/1.25</f>
        <v>0.48</v>
      </c>
      <c r="I22" s="888">
        <v>0.9</v>
      </c>
      <c r="J22" s="888">
        <v>1.1000000000000001</v>
      </c>
      <c r="K22" s="888">
        <v>0.9</v>
      </c>
      <c r="L22" s="888">
        <v>1.1000000000000001</v>
      </c>
      <c r="M22" s="887" t="s">
        <v>1014</v>
      </c>
      <c r="N22" s="887"/>
    </row>
    <row r="23" spans="2:14">
      <c r="B23" t="str">
        <f>IF(IF(OR(LEFT(C23,27)=SUP_Biofuels!$N$8,LEFT(C23,20)=SUP_Biofuels!$O$8,LEFT(C23,20)=SUP_Biofuels!$P$8),LEFT(C23,20),C23)="Specific investment ","Specific investment (M€ /MW",IF(OR(LEFT(C23,27)=SUP_Biofuels!$N$8,LEFT(C23,20)=SUP_Biofuels!$O$8,LEFT(C23,20)=SUP_Biofuels!$P$8),LEFT(C23,20),C23))</f>
        <v>- equipment (%)</v>
      </c>
      <c r="C23" s="891" t="s">
        <v>252</v>
      </c>
      <c r="D23" s="894" t="s">
        <v>1008</v>
      </c>
      <c r="E23" s="892">
        <v>75</v>
      </c>
      <c r="F23" s="892">
        <v>75</v>
      </c>
      <c r="G23" s="892">
        <v>75</v>
      </c>
      <c r="H23" s="893">
        <v>75</v>
      </c>
      <c r="I23" s="892"/>
      <c r="J23" s="892"/>
      <c r="K23" s="892"/>
      <c r="L23" s="892"/>
      <c r="M23" s="887" t="s">
        <v>389</v>
      </c>
      <c r="N23" s="887"/>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891" t="s">
        <v>1007</v>
      </c>
      <c r="D24" s="894" t="s">
        <v>1006</v>
      </c>
      <c r="E24" s="892">
        <v>25</v>
      </c>
      <c r="F24" s="892">
        <v>25</v>
      </c>
      <c r="G24" s="892">
        <v>25</v>
      </c>
      <c r="H24" s="893">
        <v>25</v>
      </c>
      <c r="I24" s="892"/>
      <c r="J24" s="892"/>
      <c r="K24" s="892"/>
      <c r="L24" s="892"/>
      <c r="M24" s="887" t="s">
        <v>389</v>
      </c>
      <c r="N24" s="887"/>
    </row>
    <row r="25" spans="2:14">
      <c r="B25" t="str">
        <f>LEFT(C25,17)</f>
        <v>Fixed O&amp;M (M€ /MW</v>
      </c>
      <c r="C25" s="891" t="s">
        <v>1013</v>
      </c>
      <c r="D25" s="890">
        <v>1.7600000000000001E-2</v>
      </c>
      <c r="E25" s="890">
        <v>1.7600000000000001E-2</v>
      </c>
      <c r="F25" s="890">
        <v>1.7600000000000001E-2</v>
      </c>
      <c r="G25" s="890">
        <v>1.7600000000000001E-2</v>
      </c>
      <c r="H25" s="889">
        <v>1.7600000000000001E-2</v>
      </c>
      <c r="I25" s="888">
        <v>0.9</v>
      </c>
      <c r="J25" s="888">
        <v>1.1000000000000001</v>
      </c>
      <c r="K25" s="888">
        <v>0.9</v>
      </c>
      <c r="L25" s="888">
        <v>1.1000000000000001</v>
      </c>
      <c r="M25" s="887" t="s">
        <v>1003</v>
      </c>
      <c r="N25" s="887"/>
    </row>
    <row r="26" spans="2:14">
      <c r="B26" t="str">
        <f>LEFT(C26,19)</f>
        <v>Variable O&amp;M (€ /MW</v>
      </c>
      <c r="C26" s="891" t="s">
        <v>247</v>
      </c>
      <c r="D26" s="900">
        <v>6.77</v>
      </c>
      <c r="E26" s="900">
        <v>6.77</v>
      </c>
      <c r="F26" s="900">
        <v>6.77</v>
      </c>
      <c r="G26" s="900">
        <v>6.77</v>
      </c>
      <c r="H26" s="895">
        <v>6.77</v>
      </c>
      <c r="I26" s="888">
        <v>0.9</v>
      </c>
      <c r="J26" s="888">
        <v>1.1000000000000001</v>
      </c>
      <c r="K26" s="888">
        <v>0.9</v>
      </c>
      <c r="L26" s="888">
        <v>1.1000000000000001</v>
      </c>
      <c r="M26" s="887" t="s">
        <v>1003</v>
      </c>
      <c r="N26" s="887"/>
    </row>
    <row r="27" spans="2:14">
      <c r="B27" t="str">
        <f>IF(IF(OR(LEFT(C27,27)=SUP_Biofuels!$N$8,LEFT(C27,20)=SUP_Biofuels!$O$8,LEFT(C27,20)=SUP_Biofuels!$P$8),LEFT(C27,20),C27)="Specific investment ","Specific investment (M€ /MW",IF(OR(LEFT(C27,27)=SUP_Biofuels!$N$8,LEFT(C27,20)=SUP_Biofuels!$O$8,LEFT(C27,20)=SUP_Biofuels!$P$8),LEFT(C27,20),C27))</f>
        <v>Start-up (M € /MW)</v>
      </c>
      <c r="C27" s="891" t="s">
        <v>1012</v>
      </c>
      <c r="D27" s="892">
        <v>0</v>
      </c>
      <c r="E27" s="892">
        <v>0</v>
      </c>
      <c r="F27" s="892">
        <v>0</v>
      </c>
      <c r="G27" s="892">
        <v>0</v>
      </c>
      <c r="H27" s="893">
        <v>0</v>
      </c>
      <c r="I27" s="892"/>
      <c r="J27" s="892"/>
      <c r="K27" s="892"/>
      <c r="L27" s="892"/>
      <c r="M27" s="887"/>
      <c r="N27" s="887"/>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899" t="s">
        <v>260</v>
      </c>
      <c r="D28" s="898"/>
      <c r="E28" s="898"/>
      <c r="F28" s="898"/>
      <c r="G28" s="898"/>
      <c r="H28" s="898"/>
      <c r="I28" s="893"/>
      <c r="J28" s="898"/>
      <c r="K28" s="898"/>
      <c r="L28" s="898"/>
      <c r="M28" s="897"/>
      <c r="N28" s="896"/>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891" t="s">
        <v>1011</v>
      </c>
      <c r="D29" s="892">
        <v>37.200000000000003</v>
      </c>
      <c r="E29" s="892">
        <v>37.200000000000003</v>
      </c>
      <c r="F29" s="892">
        <v>37.200000000000003</v>
      </c>
      <c r="G29" s="892">
        <v>37.200000000000003</v>
      </c>
      <c r="H29" s="893">
        <v>37.200000000000003</v>
      </c>
      <c r="I29" s="892"/>
      <c r="J29" s="892"/>
      <c r="K29" s="892"/>
      <c r="L29" s="887"/>
      <c r="M29" s="887"/>
      <c r="N29" s="892"/>
    </row>
    <row r="30" spans="2:14" ht="21.6">
      <c r="B30" t="str">
        <f>IF(IF(OR(LEFT(C30,27)=SUP_Biofuels!$N$8,LEFT(C30,20)=SUP_Biofuels!$O$8,LEFT(C30,20)=SUP_Biofuels!$P$8),LEFT(C30,20),C30)="Specific investment ","Specific investment (M€ /MW",IF(OR(LEFT(C30,27)=SUP_Biofuels!$N$8,LEFT(C30,20)=SUP_Biofuels!$O$8,LEFT(C30,20)=SUP_Biofuels!$P$8),LEFT(C30,20),C30))</f>
        <v>Specific density  (kg/l) or (ton/m3)</v>
      </c>
      <c r="C30" s="891" t="s">
        <v>257</v>
      </c>
      <c r="D30" s="892">
        <v>0.88500000000000001</v>
      </c>
      <c r="E30" s="892">
        <v>0.88500000000000001</v>
      </c>
      <c r="F30" s="892">
        <v>0.88500000000000001</v>
      </c>
      <c r="G30" s="892">
        <v>0.88500000000000001</v>
      </c>
      <c r="H30" s="893">
        <v>0.88500000000000001</v>
      </c>
      <c r="I30" s="892"/>
      <c r="J30" s="892"/>
      <c r="K30" s="892"/>
      <c r="L30" s="892"/>
      <c r="M30" s="892"/>
      <c r="N30" s="89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891" t="s">
        <v>1010</v>
      </c>
      <c r="D31" s="894">
        <v>0.64</v>
      </c>
      <c r="E31" s="892">
        <v>0.63</v>
      </c>
      <c r="F31" s="892">
        <v>0.62</v>
      </c>
      <c r="G31" s="892">
        <v>0.61</v>
      </c>
      <c r="H31" s="895">
        <v>0.6</v>
      </c>
      <c r="I31" s="888">
        <v>0.9</v>
      </c>
      <c r="J31" s="888">
        <v>1.1000000000000001</v>
      </c>
      <c r="K31" s="888">
        <v>0.9</v>
      </c>
      <c r="L31" s="888">
        <v>1.1000000000000001</v>
      </c>
      <c r="M31" s="887" t="s">
        <v>1009</v>
      </c>
      <c r="N31" s="887"/>
    </row>
    <row r="32" spans="2:14">
      <c r="B32" t="str">
        <f>IF(IF(OR(LEFT(C32,27)=SUP_Biofuels!$N$8,LEFT(C32,20)=SUP_Biofuels!$O$8,LEFT(C32,20)=SUP_Biofuels!$P$8),LEFT(C32,20),C32)="Specific investment ","Specific investment (M€ /MW",IF(OR(LEFT(C32,27)=SUP_Biofuels!$N$8,LEFT(C32,20)=SUP_Biofuels!$O$8,LEFT(C32,20)=SUP_Biofuels!$P$8),LEFT(C32,20),C32))</f>
        <v>- equipment (%)</v>
      </c>
      <c r="C32" s="891" t="s">
        <v>252</v>
      </c>
      <c r="D32" s="894" t="s">
        <v>1008</v>
      </c>
      <c r="E32" s="892">
        <v>75</v>
      </c>
      <c r="F32" s="892">
        <v>75</v>
      </c>
      <c r="G32" s="892">
        <v>75</v>
      </c>
      <c r="H32" s="893">
        <v>75</v>
      </c>
      <c r="I32" s="892"/>
      <c r="J32" s="892"/>
      <c r="K32" s="892"/>
      <c r="L32" s="892"/>
      <c r="M32" s="887" t="s">
        <v>389</v>
      </c>
      <c r="N32" s="887"/>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891" t="s">
        <v>1007</v>
      </c>
      <c r="D33" s="894" t="s">
        <v>1006</v>
      </c>
      <c r="E33" s="892">
        <v>25</v>
      </c>
      <c r="F33" s="892">
        <v>25</v>
      </c>
      <c r="G33" s="892">
        <v>25</v>
      </c>
      <c r="H33" s="893">
        <v>25</v>
      </c>
      <c r="I33" s="892"/>
      <c r="J33" s="892"/>
      <c r="K33" s="892"/>
      <c r="L33" s="892"/>
      <c r="M33" s="887" t="s">
        <v>389</v>
      </c>
      <c r="N33" s="887"/>
    </row>
    <row r="34" spans="2:14" ht="21.6">
      <c r="B34" t="str">
        <f>IF(IF(OR(LEFT(C34,27)=SUP_Biofuels!$N$8,LEFT(C34,20)=SUP_Biofuels!$O$8,LEFT(C34,20)=SUP_Biofuels!$P$8),LEFT(C34,20),C34)="Specific investment ","Specific investment (M€ /MW",IF(OR(LEFT(C34,27)=SUP_Biofuels!$N$8,LEFT(C34,20)=SUP_Biofuels!$O$8,LEFT(C34,20)=SUP_Biofuels!$P$8),LEFT(C34,20),C34))</f>
        <v>Fixed O&amp;M (M € /1,000 t biodiesel)</v>
      </c>
      <c r="C34" s="891" t="s">
        <v>1005</v>
      </c>
      <c r="D34" s="890">
        <v>2.1999999999999999E-2</v>
      </c>
      <c r="E34" s="890">
        <v>2.1999999999999999E-2</v>
      </c>
      <c r="F34" s="890">
        <v>2.1999999999999999E-2</v>
      </c>
      <c r="G34" s="890">
        <v>2.1999999999999999E-2</v>
      </c>
      <c r="H34" s="889">
        <v>2.1999999999999999E-2</v>
      </c>
      <c r="I34" s="888">
        <v>0.9</v>
      </c>
      <c r="J34" s="888">
        <v>1.1000000000000001</v>
      </c>
      <c r="K34" s="888">
        <v>0.9</v>
      </c>
      <c r="L34" s="888">
        <v>1.1000000000000001</v>
      </c>
      <c r="M34" s="887" t="s">
        <v>1003</v>
      </c>
      <c r="N34" s="887"/>
    </row>
    <row r="35" spans="2:14" ht="21.6">
      <c r="B35" t="str">
        <f>IF(IF(OR(LEFT(C35,27)=SUP_Biofuels!$N$8,LEFT(C35,20)=SUP_Biofuels!$O$8,LEFT(C35,20)=SUP_Biofuels!$P$8),LEFT(C35,20),C35)="Specific investment ","Specific investment (M€ /MW",IF(OR(LEFT(C35,27)=SUP_Biofuels!$N$8,LEFT(C35,20)=SUP_Biofuels!$O$8,LEFT(C35,20)=SUP_Biofuels!$P$8),LEFT(C35,20),C35))</f>
        <v>Variable O&amp;M (M € /1,000 t biodiesel)</v>
      </c>
      <c r="C35" s="891" t="s">
        <v>1004</v>
      </c>
      <c r="D35" s="890">
        <v>7.0000000000000007E-2</v>
      </c>
      <c r="E35" s="890">
        <v>7.0000000000000007E-2</v>
      </c>
      <c r="F35" s="890">
        <v>7.0000000000000007E-2</v>
      </c>
      <c r="G35" s="890">
        <v>7.0000000000000007E-2</v>
      </c>
      <c r="H35" s="889">
        <v>7.0000000000000007E-2</v>
      </c>
      <c r="I35" s="888">
        <v>0.9</v>
      </c>
      <c r="J35" s="888">
        <v>1.1000000000000001</v>
      </c>
      <c r="K35" s="888">
        <v>0.9</v>
      </c>
      <c r="L35" s="888">
        <v>1.1000000000000001</v>
      </c>
      <c r="M35" s="887" t="s">
        <v>1003</v>
      </c>
      <c r="N35" s="887"/>
    </row>
    <row r="38" spans="2:14">
      <c r="C38" s="886" t="s">
        <v>695</v>
      </c>
    </row>
    <row r="39" spans="2:14">
      <c r="C39" s="885" t="s">
        <v>1002</v>
      </c>
    </row>
    <row r="40" spans="2:14">
      <c r="C40" s="885" t="s">
        <v>1001</v>
      </c>
    </row>
    <row r="41" spans="2:14">
      <c r="C41" s="885" t="s">
        <v>1000</v>
      </c>
    </row>
    <row r="42" spans="2:14">
      <c r="C42" s="885" t="s">
        <v>999</v>
      </c>
    </row>
    <row r="43" spans="2:14">
      <c r="C43" s="885" t="s">
        <v>998</v>
      </c>
    </row>
    <row r="44" spans="2:14">
      <c r="C44" s="885" t="s">
        <v>997</v>
      </c>
    </row>
    <row r="45" spans="2:14">
      <c r="C45" s="885" t="s">
        <v>996</v>
      </c>
    </row>
    <row r="46" spans="2:14">
      <c r="C46" s="885" t="s">
        <v>995</v>
      </c>
    </row>
    <row r="47" spans="2:14">
      <c r="C47" s="885" t="s">
        <v>994</v>
      </c>
    </row>
    <row r="48" spans="2:14">
      <c r="C48" s="885" t="s">
        <v>993</v>
      </c>
    </row>
    <row r="49" spans="3:3">
      <c r="C49" s="885" t="s">
        <v>992</v>
      </c>
    </row>
    <row r="50" spans="3:3">
      <c r="C50" s="885" t="s">
        <v>991</v>
      </c>
    </row>
    <row r="51" spans="3:3">
      <c r="C51" s="885" t="s">
        <v>990</v>
      </c>
    </row>
    <row r="53" spans="3:3">
      <c r="C53" s="886" t="s">
        <v>989</v>
      </c>
    </row>
    <row r="54" spans="3:3">
      <c r="C54" s="885" t="s">
        <v>988</v>
      </c>
    </row>
    <row r="55" spans="3:3">
      <c r="C55" s="885" t="s">
        <v>987</v>
      </c>
    </row>
    <row r="56" spans="3:3">
      <c r="C56" s="885" t="s">
        <v>986</v>
      </c>
    </row>
    <row r="57" spans="3:3">
      <c r="C57" s="885" t="s">
        <v>985</v>
      </c>
    </row>
    <row r="58" spans="3:3">
      <c r="C58" s="885" t="s">
        <v>984</v>
      </c>
    </row>
    <row r="59" spans="3:3">
      <c r="C59" s="885" t="s">
        <v>983</v>
      </c>
    </row>
    <row r="60" spans="3:3">
      <c r="C60" s="885" t="s">
        <v>982</v>
      </c>
    </row>
    <row r="61" spans="3:3">
      <c r="C61" s="885" t="s">
        <v>981</v>
      </c>
    </row>
    <row r="62" spans="3:3">
      <c r="C62" s="885" t="s">
        <v>980</v>
      </c>
    </row>
    <row r="63" spans="3:3">
      <c r="C63" s="885" t="s">
        <v>979</v>
      </c>
    </row>
    <row r="64" spans="3:3">
      <c r="C64" s="885" t="s">
        <v>978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topLeftCell="A13" workbookViewId="0">
      <selection activeCell="P23" sqref="P23"/>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884" t="s">
        <v>966</v>
      </c>
    </row>
    <row r="2" spans="2:14" ht="15" customHeight="1">
      <c r="C2" s="260" t="s">
        <v>296</v>
      </c>
      <c r="D2" s="260" t="s">
        <v>1023</v>
      </c>
      <c r="E2" s="260"/>
      <c r="F2" s="260"/>
      <c r="G2" s="260"/>
      <c r="H2" s="260"/>
      <c r="I2" s="260"/>
      <c r="J2" s="260"/>
      <c r="K2" s="260"/>
      <c r="L2" s="260"/>
      <c r="M2" s="260"/>
      <c r="N2" s="260"/>
    </row>
    <row r="3" spans="2:14" ht="22.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926" t="s">
        <v>282</v>
      </c>
      <c r="D5" s="185"/>
      <c r="E5" s="185"/>
      <c r="F5" s="185"/>
      <c r="G5" s="185"/>
      <c r="H5" s="185"/>
      <c r="I5" s="185"/>
      <c r="J5" s="185"/>
      <c r="K5" s="185"/>
      <c r="L5" s="185"/>
      <c r="M5" s="183"/>
      <c r="N5" s="225"/>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927" t="s">
        <v>1020</v>
      </c>
      <c r="D6" s="180">
        <v>50</v>
      </c>
      <c r="E6" s="180">
        <v>50</v>
      </c>
      <c r="F6" s="180">
        <v>50</v>
      </c>
      <c r="G6" s="180">
        <v>50</v>
      </c>
      <c r="H6" s="180">
        <v>50</v>
      </c>
      <c r="I6" s="179">
        <v>0.5</v>
      </c>
      <c r="J6" s="179">
        <v>2</v>
      </c>
      <c r="K6" s="179">
        <v>0.5</v>
      </c>
      <c r="L6" s="179">
        <v>2</v>
      </c>
      <c r="M6" s="178" t="s">
        <v>694</v>
      </c>
      <c r="N6" s="178">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biodiesel/year</v>
      </c>
      <c r="C7" s="924" t="s">
        <v>1022</v>
      </c>
      <c r="D7" s="162">
        <v>60</v>
      </c>
      <c r="E7" s="162">
        <v>60</v>
      </c>
      <c r="F7" s="162">
        <v>60</v>
      </c>
      <c r="G7" s="162">
        <v>60</v>
      </c>
      <c r="H7" s="162">
        <v>60</v>
      </c>
      <c r="I7" s="167">
        <v>0.5</v>
      </c>
      <c r="J7" s="167">
        <v>2</v>
      </c>
      <c r="K7" s="167">
        <v>0.5</v>
      </c>
      <c r="L7" s="167">
        <v>2</v>
      </c>
      <c r="M7" s="161" t="s">
        <v>1018</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926" t="s">
        <v>384</v>
      </c>
      <c r="D8" s="185"/>
      <c r="E8" s="185"/>
      <c r="F8" s="185"/>
      <c r="G8" s="185"/>
      <c r="H8" s="185"/>
      <c r="I8" s="185"/>
      <c r="J8" s="185"/>
      <c r="K8" s="185"/>
      <c r="L8" s="185"/>
      <c r="M8" s="183"/>
      <c r="N8" s="225"/>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24" t="s">
        <v>93</v>
      </c>
      <c r="D9" s="162">
        <v>0.90600000000000003</v>
      </c>
      <c r="E9" s="162">
        <v>0.90900000000000003</v>
      </c>
      <c r="F9" s="162">
        <v>0.91200000000000003</v>
      </c>
      <c r="G9" s="162">
        <v>0.91200000000000003</v>
      </c>
      <c r="H9" s="162">
        <v>0.91200000000000003</v>
      </c>
      <c r="I9" s="205">
        <v>0.99</v>
      </c>
      <c r="J9" s="205">
        <v>1.01</v>
      </c>
      <c r="K9" s="205">
        <v>0.99</v>
      </c>
      <c r="L9" s="205">
        <v>1.01</v>
      </c>
      <c r="M9" s="161" t="s">
        <v>1016</v>
      </c>
      <c r="N9" s="161">
        <v>1</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924" t="s">
        <v>95</v>
      </c>
      <c r="D10" s="162">
        <v>4.3999999999999997E-2</v>
      </c>
      <c r="E10" s="162">
        <v>4.3999999999999997E-2</v>
      </c>
      <c r="F10" s="162">
        <v>4.3999999999999997E-2</v>
      </c>
      <c r="G10" s="162">
        <v>4.3999999999999997E-2</v>
      </c>
      <c r="H10" s="162">
        <v>4.3999999999999997E-2</v>
      </c>
      <c r="I10" s="205">
        <v>0.93</v>
      </c>
      <c r="J10" s="205">
        <v>1.07</v>
      </c>
      <c r="K10" s="205">
        <v>0.93</v>
      </c>
      <c r="L10" s="205">
        <v>1.07</v>
      </c>
      <c r="M10" s="161" t="s">
        <v>1017</v>
      </c>
      <c r="N10" s="161">
        <v>1</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924" t="s">
        <v>96</v>
      </c>
      <c r="D11" s="162">
        <v>7.0000000000000001E-3</v>
      </c>
      <c r="E11" s="162">
        <v>6.0000000000000001E-3</v>
      </c>
      <c r="F11" s="162">
        <v>5.0000000000000001E-3</v>
      </c>
      <c r="G11" s="162">
        <v>5.0000000000000001E-3</v>
      </c>
      <c r="H11" s="162">
        <v>4.0000000000000001E-3</v>
      </c>
      <c r="I11" s="205">
        <v>0.5</v>
      </c>
      <c r="J11" s="205">
        <v>1.5</v>
      </c>
      <c r="K11" s="205">
        <v>0.5</v>
      </c>
      <c r="L11" s="205">
        <v>1.5</v>
      </c>
      <c r="M11" s="161" t="s">
        <v>1016</v>
      </c>
      <c r="N11" s="161">
        <v>1</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924" t="s">
        <v>97</v>
      </c>
      <c r="D12" s="162">
        <v>4.3999999999999997E-2</v>
      </c>
      <c r="E12" s="162">
        <v>0.04</v>
      </c>
      <c r="F12" s="162">
        <v>3.5999999999999997E-2</v>
      </c>
      <c r="G12" s="162">
        <v>3.4000000000000002E-2</v>
      </c>
      <c r="H12" s="162">
        <v>3.2000000000000001E-2</v>
      </c>
      <c r="I12" s="205">
        <v>0.5</v>
      </c>
      <c r="J12" s="205">
        <v>0.5</v>
      </c>
      <c r="K12" s="205">
        <v>0.5</v>
      </c>
      <c r="L12" s="205">
        <v>0.5</v>
      </c>
      <c r="M12" s="161" t="s">
        <v>1016</v>
      </c>
      <c r="N12" s="161">
        <v>1</v>
      </c>
    </row>
    <row r="13" spans="2:14">
      <c r="B13" t="str">
        <f>IF(IF(OR(LEFT(C13,27)=SUP_Biofuels!$N$8,LEFT(C13,20)=SUP_Biofuels!$O$8,LEFT(C13,20)=SUP_Biofuels!$P$8),LEFT(C13,20),C13)="Specific investment ","Specific investment (M€ /MW",IF(OR(LEFT(C13,27)=SUP_Biofuels!$N$8,LEFT(C13,20)=SUP_Biofuels!$O$8,LEFT(C13,20)=SUP_Biofuels!$P$8),LEFT(C13,20),C13))</f>
        <v>Outputs</v>
      </c>
      <c r="C13" s="92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 xml:space="preserve">Biodiesel Output, MWH/MWh </v>
      </c>
      <c r="C14" s="924" t="s">
        <v>99</v>
      </c>
      <c r="D14" s="162">
        <v>0.84</v>
      </c>
      <c r="E14" s="162">
        <v>0.85</v>
      </c>
      <c r="F14" s="162">
        <v>0.86</v>
      </c>
      <c r="G14" s="162">
        <v>0.86</v>
      </c>
      <c r="H14" s="162">
        <v>0.87</v>
      </c>
      <c r="I14" s="205">
        <v>0.99</v>
      </c>
      <c r="J14" s="205">
        <v>1.01</v>
      </c>
      <c r="K14" s="205">
        <v>0.99</v>
      </c>
      <c r="L14" s="205">
        <v>1.01</v>
      </c>
      <c r="M14" s="161" t="s">
        <v>255</v>
      </c>
      <c r="N14" s="161">
        <v>1</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924" t="s">
        <v>100</v>
      </c>
      <c r="D15" s="162">
        <v>0.04</v>
      </c>
      <c r="E15" s="162">
        <v>0.04</v>
      </c>
      <c r="F15" s="162">
        <v>0.04</v>
      </c>
      <c r="G15" s="162">
        <v>0.04</v>
      </c>
      <c r="H15" s="162">
        <v>0.04</v>
      </c>
      <c r="I15" s="205">
        <v>0.99</v>
      </c>
      <c r="J15" s="205">
        <v>1.01</v>
      </c>
      <c r="K15" s="205">
        <v>0.99</v>
      </c>
      <c r="L15" s="205">
        <v>1.01</v>
      </c>
      <c r="M15" s="161" t="s">
        <v>255</v>
      </c>
      <c r="N15" s="161">
        <v>1</v>
      </c>
    </row>
    <row r="16" spans="2:14">
      <c r="B16">
        <f>IF(IF(OR(LEFT(C16,27)=SUP_Biofuels!$N$8,LEFT(C16,20)=SUP_Biofuels!$O$8,LEFT(C16,20)=SUP_Biofuels!$P$8),LEFT(C16,20),C16)="Specific investment ","Specific investment (M€ /MW",IF(OR(LEFT(C16,27)=SUP_Biofuels!$N$8,LEFT(C16,20)=SUP_Biofuels!$O$8,LEFT(C16,20)=SUP_Biofuels!$P$8),LEFT(C16,20),C16))</f>
        <v>0</v>
      </c>
      <c r="C16" s="926"/>
      <c r="D16" s="185"/>
      <c r="E16" s="185"/>
      <c r="F16" s="185"/>
      <c r="G16" s="185"/>
      <c r="H16" s="185"/>
      <c r="I16" s="185"/>
      <c r="J16" s="185"/>
      <c r="K16" s="185"/>
      <c r="L16" s="185"/>
      <c r="M16" s="183"/>
      <c r="N16" s="225"/>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924" t="s">
        <v>59</v>
      </c>
      <c r="D17" s="162">
        <v>0</v>
      </c>
      <c r="E17" s="162">
        <v>0</v>
      </c>
      <c r="F17" s="162">
        <v>0</v>
      </c>
      <c r="G17" s="162">
        <v>0</v>
      </c>
      <c r="H17" s="162">
        <v>0</v>
      </c>
      <c r="I17" s="162"/>
      <c r="J17" s="162"/>
      <c r="K17" s="162"/>
      <c r="L17" s="162"/>
      <c r="M17" s="161" t="s">
        <v>393</v>
      </c>
      <c r="N17" s="161"/>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924" t="s">
        <v>92</v>
      </c>
      <c r="D18" s="162">
        <v>2</v>
      </c>
      <c r="E18" s="162">
        <v>2</v>
      </c>
      <c r="F18" s="162">
        <v>2</v>
      </c>
      <c r="G18" s="162">
        <v>2</v>
      </c>
      <c r="H18" s="162">
        <v>2</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924" t="s">
        <v>58</v>
      </c>
      <c r="D19" s="162">
        <v>25</v>
      </c>
      <c r="E19" s="162">
        <v>25</v>
      </c>
      <c r="F19" s="162">
        <v>25</v>
      </c>
      <c r="G19" s="162">
        <v>25</v>
      </c>
      <c r="H19" s="162">
        <v>25</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924" t="s">
        <v>60</v>
      </c>
      <c r="D20" s="162">
        <v>1.5</v>
      </c>
      <c r="E20" s="162">
        <v>1.5</v>
      </c>
      <c r="F20" s="162">
        <v>1.5</v>
      </c>
      <c r="G20" s="162">
        <v>1.5</v>
      </c>
      <c r="H20" s="162">
        <v>1.5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926" t="s">
        <v>264</v>
      </c>
      <c r="D21" s="185"/>
      <c r="E21" s="185"/>
      <c r="F21" s="185"/>
      <c r="G21" s="185"/>
      <c r="H21" s="185"/>
      <c r="I21" s="185"/>
      <c r="J21" s="185"/>
      <c r="K21" s="185"/>
      <c r="L21" s="185"/>
      <c r="M21" s="183"/>
      <c r="N21" s="225"/>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924" t="s">
        <v>1015</v>
      </c>
      <c r="D22" s="290">
        <v>1.0811526411014516</v>
      </c>
      <c r="E22" s="197">
        <v>1.016120903290838</v>
      </c>
      <c r="F22" s="197">
        <v>0.93483123102757082</v>
      </c>
      <c r="G22" s="197">
        <v>0.89418639489593754</v>
      </c>
      <c r="H22" s="197">
        <v>0.84</v>
      </c>
      <c r="I22" s="167">
        <v>0.8</v>
      </c>
      <c r="J22" s="167">
        <v>1.2</v>
      </c>
      <c r="K22" s="167">
        <v>0.9</v>
      </c>
      <c r="L22" s="167">
        <v>1.1000000000000001</v>
      </c>
      <c r="M22" s="161" t="s">
        <v>1014</v>
      </c>
      <c r="N22" s="161">
        <v>3</v>
      </c>
    </row>
    <row r="23" spans="2:14">
      <c r="B23" t="str">
        <f>IF(IF(OR(LEFT(C23,27)=SUP_Biofuels!$N$8,LEFT(C23,20)=SUP_Biofuels!$O$8,LEFT(C23,20)=SUP_Biofuels!$P$8),LEFT(C23,20),C23)="Specific investment ","Specific investment (M€ /MW",IF(OR(LEFT(C23,27)=SUP_Biofuels!$N$8,LEFT(C23,20)=SUP_Biofuels!$O$8,LEFT(C23,20)=SUP_Biofuels!$P$8),LEFT(C23,20),C23))</f>
        <v>- equipment (%)</v>
      </c>
      <c r="C23" s="924" t="s">
        <v>252</v>
      </c>
      <c r="D23" s="163">
        <v>75</v>
      </c>
      <c r="E23" s="162">
        <v>75</v>
      </c>
      <c r="F23" s="162">
        <v>75</v>
      </c>
      <c r="G23" s="162">
        <v>75</v>
      </c>
      <c r="H23" s="162">
        <v>75</v>
      </c>
      <c r="I23" s="162"/>
      <c r="J23" s="162"/>
      <c r="K23" s="162"/>
      <c r="L23" s="162"/>
      <c r="M23" s="161" t="s">
        <v>389</v>
      </c>
      <c r="N23" s="161"/>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924" t="s">
        <v>1007</v>
      </c>
      <c r="D24" s="162">
        <v>25</v>
      </c>
      <c r="E24" s="162">
        <v>25</v>
      </c>
      <c r="F24" s="162">
        <v>25</v>
      </c>
      <c r="G24" s="162">
        <v>25</v>
      </c>
      <c r="H24" s="162">
        <v>25</v>
      </c>
      <c r="I24" s="205"/>
      <c r="J24" s="205"/>
      <c r="K24" s="205"/>
      <c r="L24" s="205"/>
      <c r="M24" s="161" t="s">
        <v>389</v>
      </c>
      <c r="N24" s="161"/>
    </row>
    <row r="25" spans="2:14">
      <c r="B25" t="str">
        <f>LEFT(C25,17)</f>
        <v>Fixed O&amp;M (M€ /MW</v>
      </c>
      <c r="C25" s="924" t="s">
        <v>1013</v>
      </c>
      <c r="D25" s="168">
        <v>0.1224105461393597</v>
      </c>
      <c r="E25" s="168">
        <v>0.1224105461393597</v>
      </c>
      <c r="F25" s="168">
        <v>0.1224105461393597</v>
      </c>
      <c r="G25" s="168">
        <v>0.1224105461393597</v>
      </c>
      <c r="H25" s="168">
        <v>0.1224105461393597</v>
      </c>
      <c r="I25" s="205">
        <v>0.9</v>
      </c>
      <c r="J25" s="205">
        <v>1.1000000000000001</v>
      </c>
      <c r="K25" s="205">
        <v>0.9</v>
      </c>
      <c r="L25" s="205">
        <v>1.1000000000000001</v>
      </c>
      <c r="M25" s="161" t="s">
        <v>1003</v>
      </c>
      <c r="N25" s="161">
        <v>4</v>
      </c>
    </row>
    <row r="26" spans="2:14">
      <c r="B26" t="str">
        <f>LEFT(C26,19)</f>
        <v>Variable O&amp;M (€ /MW</v>
      </c>
      <c r="C26" s="924" t="s">
        <v>247</v>
      </c>
      <c r="D26" s="197">
        <v>7.6543947517200612</v>
      </c>
      <c r="E26" s="197">
        <v>7.6543947517200612</v>
      </c>
      <c r="F26" s="197">
        <v>7.6543947517200612</v>
      </c>
      <c r="G26" s="197">
        <v>7.6543947517200612</v>
      </c>
      <c r="H26" s="197">
        <v>7.6543947517200612</v>
      </c>
      <c r="I26" s="205">
        <v>0.9</v>
      </c>
      <c r="J26" s="205">
        <v>1.1000000000000001</v>
      </c>
      <c r="K26" s="205">
        <v>0.9</v>
      </c>
      <c r="L26" s="205">
        <v>1.1000000000000001</v>
      </c>
      <c r="M26" s="161" t="s">
        <v>1003</v>
      </c>
      <c r="N26" s="161">
        <v>4</v>
      </c>
    </row>
    <row r="27" spans="2:14">
      <c r="B27" t="str">
        <f>IF(IF(OR(LEFT(C27,27)=SUP_Biofuels!$N$8,LEFT(C27,20)=SUP_Biofuels!$O$8,LEFT(C27,20)=SUP_Biofuels!$P$8),LEFT(C27,20),C27)="Specific investment ","Specific investment (M€ /MW",IF(OR(LEFT(C27,27)=SUP_Biofuels!$N$8,LEFT(C27,20)=SUP_Biofuels!$O$8,LEFT(C27,20)=SUP_Biofuels!$P$8),LEFT(C27,20),C27))</f>
        <v>Start-up (M € /MW)</v>
      </c>
      <c r="C27" s="924" t="s">
        <v>1012</v>
      </c>
      <c r="D27" s="197">
        <v>0</v>
      </c>
      <c r="E27" s="197">
        <v>0</v>
      </c>
      <c r="F27" s="197">
        <v>0</v>
      </c>
      <c r="G27" s="197">
        <v>0</v>
      </c>
      <c r="H27" s="197">
        <v>0</v>
      </c>
      <c r="I27" s="162"/>
      <c r="J27" s="162"/>
      <c r="K27" s="162"/>
      <c r="L27" s="162"/>
      <c r="M27" s="161"/>
      <c r="N27" s="161"/>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926" t="s">
        <v>260</v>
      </c>
      <c r="D28" s="185"/>
      <c r="E28" s="185"/>
      <c r="F28" s="185"/>
      <c r="G28" s="185"/>
      <c r="H28" s="185"/>
      <c r="I28" s="185"/>
      <c r="J28" s="185"/>
      <c r="K28" s="185"/>
      <c r="L28" s="185"/>
      <c r="M28" s="183"/>
      <c r="N28" s="225"/>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924" t="s">
        <v>1011</v>
      </c>
      <c r="D29" s="162">
        <v>37.200000000000003</v>
      </c>
      <c r="E29" s="162">
        <v>37.200000000000003</v>
      </c>
      <c r="F29" s="162">
        <v>37.200000000000003</v>
      </c>
      <c r="G29" s="162">
        <v>37.200000000000003</v>
      </c>
      <c r="H29" s="162">
        <v>37.200000000000003</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924" t="s">
        <v>257</v>
      </c>
      <c r="D30" s="162">
        <v>0.88500000000000001</v>
      </c>
      <c r="E30" s="162">
        <v>0.88500000000000001</v>
      </c>
      <c r="F30" s="162">
        <v>0.88500000000000001</v>
      </c>
      <c r="G30" s="162">
        <v>0.88500000000000001</v>
      </c>
      <c r="H30" s="162">
        <v>0.88500000000000001</v>
      </c>
      <c r="I30" s="162"/>
      <c r="J30" s="162"/>
      <c r="K30" s="162"/>
      <c r="L30" s="162"/>
      <c r="M30" s="162"/>
      <c r="N30" s="16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924" t="s">
        <v>1010</v>
      </c>
      <c r="D31" s="162">
        <v>1.33</v>
      </c>
      <c r="E31" s="162">
        <v>1.25</v>
      </c>
      <c r="F31" s="162">
        <v>1.1499999999999999</v>
      </c>
      <c r="G31" s="197">
        <v>1.1000000000000001</v>
      </c>
      <c r="H31" s="197">
        <v>1</v>
      </c>
      <c r="I31" s="925">
        <v>0.8</v>
      </c>
      <c r="J31" s="925">
        <v>1.2</v>
      </c>
      <c r="K31" s="925">
        <v>0.9</v>
      </c>
      <c r="L31" s="925">
        <v>1.1000000000000001</v>
      </c>
      <c r="M31" s="162"/>
      <c r="N31" s="162"/>
    </row>
    <row r="32" spans="2:14">
      <c r="B32" t="str">
        <f>IF(IF(OR(LEFT(C32,27)=SUP_Biofuels!$N$8,LEFT(C32,20)=SUP_Biofuels!$O$8,LEFT(C32,20)=SUP_Biofuels!$P$8),LEFT(C32,20),C32)="Specific investment ","Specific investment (M€ /MW",IF(OR(LEFT(C32,27)=SUP_Biofuels!$N$8,LEFT(C32,20)=SUP_Biofuels!$O$8,LEFT(C32,20)=SUP_Biofuels!$P$8),LEFT(C32,20),C32))</f>
        <v>- equipment (%)</v>
      </c>
      <c r="C32" s="924" t="s">
        <v>252</v>
      </c>
      <c r="D32" s="163">
        <v>75</v>
      </c>
      <c r="E32" s="162">
        <v>75</v>
      </c>
      <c r="F32" s="162">
        <v>75</v>
      </c>
      <c r="G32" s="162">
        <v>75</v>
      </c>
      <c r="H32" s="162">
        <v>75</v>
      </c>
      <c r="I32" s="162"/>
      <c r="J32" s="162"/>
      <c r="K32" s="162"/>
      <c r="L32" s="162"/>
      <c r="M32" s="161" t="s">
        <v>389</v>
      </c>
      <c r="N32" s="162"/>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924" t="s">
        <v>1007</v>
      </c>
      <c r="D33" s="162">
        <v>25</v>
      </c>
      <c r="E33" s="162">
        <v>25</v>
      </c>
      <c r="F33" s="162">
        <v>25</v>
      </c>
      <c r="G33" s="162">
        <v>25</v>
      </c>
      <c r="H33" s="162">
        <v>25</v>
      </c>
      <c r="I33" s="162"/>
      <c r="J33" s="162"/>
      <c r="K33" s="162"/>
      <c r="L33" s="162"/>
      <c r="M33" s="161" t="s">
        <v>389</v>
      </c>
      <c r="N33" s="162"/>
    </row>
    <row r="34" spans="2:14">
      <c r="B34" t="str">
        <f>IF(IF(OR(LEFT(C34,27)=SUP_Biofuels!$N$8,LEFT(C34,20)=SUP_Biofuels!$O$8,LEFT(C34,20)=SUP_Biofuels!$P$8),LEFT(C34,20),C34)="Specific investment ","Specific investment (M€ /MW",IF(OR(LEFT(C34,27)=SUP_Biofuels!$N$8,LEFT(C34,20)=SUP_Biofuels!$O$8,LEFT(C34,20)=SUP_Biofuels!$P$8),LEFT(C34,20),C34))</f>
        <v>Fixed O&amp;M (M € /1,000 t biodiesel)</v>
      </c>
      <c r="C34" s="924" t="s">
        <v>1005</v>
      </c>
      <c r="D34" s="197">
        <v>0.14689265536723164</v>
      </c>
      <c r="E34" s="197">
        <v>0.14689265536723164</v>
      </c>
      <c r="F34" s="197">
        <v>0.14689265536723164</v>
      </c>
      <c r="G34" s="197">
        <v>0.14689265536723164</v>
      </c>
      <c r="H34" s="197">
        <v>0.14689265536723164</v>
      </c>
      <c r="I34" s="167">
        <v>0.9</v>
      </c>
      <c r="J34" s="167">
        <v>1.1000000000000001</v>
      </c>
      <c r="K34" s="167">
        <v>0.9</v>
      </c>
      <c r="L34" s="167">
        <v>1.1000000000000001</v>
      </c>
      <c r="M34" s="161" t="s">
        <v>1003</v>
      </c>
      <c r="N34" s="162"/>
    </row>
    <row r="35" spans="2:14">
      <c r="B35" t="str">
        <f>IF(IF(OR(LEFT(C35,27)=SUP_Biofuels!$N$8,LEFT(C35,20)=SUP_Biofuels!$O$8,LEFT(C35,20)=SUP_Biofuels!$P$8),LEFT(C35,20),C35)="Specific investment ","Specific investment (M€ /MW",IF(OR(LEFT(C35,27)=SUP_Biofuels!$N$8,LEFT(C35,20)=SUP_Biofuels!$O$8,LEFT(C35,20)=SUP_Biofuels!$P$8),LEFT(C35,20),C35))</f>
        <v>Variable O&amp;M (M € /1,000 t biodiesel)</v>
      </c>
      <c r="C35" s="924" t="s">
        <v>1004</v>
      </c>
      <c r="D35" s="197">
        <v>7.909604519774012E-2</v>
      </c>
      <c r="E35" s="197">
        <v>7.909604519774012E-2</v>
      </c>
      <c r="F35" s="197">
        <v>7.909604519774012E-2</v>
      </c>
      <c r="G35" s="197">
        <v>7.909604519774012E-2</v>
      </c>
      <c r="H35" s="197">
        <v>7.909604519774012E-2</v>
      </c>
      <c r="I35" s="167">
        <v>0.9</v>
      </c>
      <c r="J35" s="167">
        <v>1.1000000000000001</v>
      </c>
      <c r="K35" s="167">
        <v>0.9</v>
      </c>
      <c r="L35" s="167">
        <v>1.1000000000000001</v>
      </c>
      <c r="M35" s="161" t="s">
        <v>1003</v>
      </c>
      <c r="N35" s="162"/>
    </row>
    <row r="37" spans="2:14">
      <c r="C37" s="886" t="s">
        <v>695</v>
      </c>
    </row>
    <row r="38" spans="2:14">
      <c r="C38" s="885" t="s">
        <v>1002</v>
      </c>
    </row>
    <row r="39" spans="2:14">
      <c r="C39" s="885" t="s">
        <v>1001</v>
      </c>
    </row>
    <row r="40" spans="2:14">
      <c r="C40" s="885" t="s">
        <v>1000</v>
      </c>
    </row>
    <row r="41" spans="2:14">
      <c r="C41" s="885" t="s">
        <v>999</v>
      </c>
    </row>
    <row r="42" spans="2:14">
      <c r="C42" s="885" t="s">
        <v>998</v>
      </c>
    </row>
    <row r="43" spans="2:14">
      <c r="C43" s="885" t="s">
        <v>997</v>
      </c>
    </row>
    <row r="44" spans="2:14">
      <c r="C44" s="885" t="s">
        <v>996</v>
      </c>
    </row>
    <row r="45" spans="2:14">
      <c r="C45" s="885" t="s">
        <v>995</v>
      </c>
    </row>
    <row r="46" spans="2:14">
      <c r="C46" s="885" t="s">
        <v>994</v>
      </c>
    </row>
    <row r="47" spans="2:14">
      <c r="C47" s="885" t="s">
        <v>993</v>
      </c>
    </row>
    <row r="48" spans="2:14">
      <c r="C48" s="885" t="s">
        <v>992</v>
      </c>
    </row>
    <row r="49" spans="3:3">
      <c r="C49" s="885" t="s">
        <v>991</v>
      </c>
    </row>
    <row r="50" spans="3:3">
      <c r="C50" s="885" t="s">
        <v>990</v>
      </c>
    </row>
    <row r="52" spans="3:3">
      <c r="C52" s="886" t="s">
        <v>989</v>
      </c>
    </row>
    <row r="53" spans="3:3">
      <c r="C53" s="885" t="s">
        <v>988</v>
      </c>
    </row>
    <row r="54" spans="3:3">
      <c r="C54" s="885" t="s">
        <v>987</v>
      </c>
    </row>
    <row r="55" spans="3:3">
      <c r="C55" s="885" t="s">
        <v>986</v>
      </c>
    </row>
    <row r="56" spans="3:3">
      <c r="C56" s="885" t="s">
        <v>985</v>
      </c>
    </row>
    <row r="57" spans="3:3">
      <c r="C57" s="885" t="s">
        <v>984</v>
      </c>
    </row>
    <row r="58" spans="3:3">
      <c r="C58" s="885" t="s">
        <v>983</v>
      </c>
    </row>
    <row r="59" spans="3:3">
      <c r="C59" s="885" t="s">
        <v>982</v>
      </c>
    </row>
    <row r="60" spans="3:3">
      <c r="C60" s="885" t="s">
        <v>981</v>
      </c>
    </row>
    <row r="61" spans="3:3">
      <c r="C61" s="885" t="s">
        <v>980</v>
      </c>
    </row>
    <row r="62" spans="3:3">
      <c r="C62" s="885" t="s">
        <v>979</v>
      </c>
    </row>
    <row r="63" spans="3:3">
      <c r="C63" s="885" t="s">
        <v>978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C16" sqref="C16"/>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884" t="s">
        <v>966</v>
      </c>
    </row>
    <row r="2" spans="2:14">
      <c r="C2" s="260" t="s">
        <v>296</v>
      </c>
      <c r="D2" s="260" t="s">
        <v>1064</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500</v>
      </c>
      <c r="E6" s="180">
        <v>500</v>
      </c>
      <c r="F6" s="180">
        <v>750</v>
      </c>
      <c r="G6" s="180">
        <v>850</v>
      </c>
      <c r="H6" s="180">
        <v>1000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730</v>
      </c>
      <c r="E7" s="162">
        <v>730</v>
      </c>
      <c r="F7" s="162">
        <v>1100</v>
      </c>
      <c r="G7" s="162">
        <v>1250</v>
      </c>
      <c r="H7" s="162">
        <v>1460</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0.88100000000000001</v>
      </c>
      <c r="E9" s="162">
        <v>0.88100000000000001</v>
      </c>
      <c r="F9" s="162">
        <v>0.88100000000000001</v>
      </c>
      <c r="G9" s="162">
        <v>0.88100000000000001</v>
      </c>
      <c r="H9" s="162">
        <v>0.88100000000000001</v>
      </c>
      <c r="I9" s="205">
        <v>0.99</v>
      </c>
      <c r="J9" s="205">
        <v>1.01</v>
      </c>
      <c r="K9" s="205">
        <v>0.99</v>
      </c>
      <c r="L9" s="205">
        <v>1.01</v>
      </c>
      <c r="M9" s="161" t="s">
        <v>272</v>
      </c>
      <c r="N9" s="161" t="s">
        <v>1060</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0.105</v>
      </c>
      <c r="E10" s="162">
        <v>0.105</v>
      </c>
      <c r="F10" s="162">
        <v>0.105</v>
      </c>
      <c r="G10" s="162">
        <v>0.105</v>
      </c>
      <c r="H10" s="162">
        <v>0.105</v>
      </c>
      <c r="I10" s="205">
        <v>0.93</v>
      </c>
      <c r="J10" s="205">
        <v>1.07</v>
      </c>
      <c r="K10" s="205">
        <v>0.93</v>
      </c>
      <c r="L10" s="205">
        <v>1.07</v>
      </c>
      <c r="M10" s="161" t="s">
        <v>1061</v>
      </c>
      <c r="N10" s="161" t="s">
        <v>1060</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8.0000000000000002E-3</v>
      </c>
      <c r="E11" s="162">
        <v>8.0000000000000002E-3</v>
      </c>
      <c r="F11" s="162">
        <v>8.0000000000000002E-3</v>
      </c>
      <c r="G11" s="162">
        <v>8.0000000000000002E-3</v>
      </c>
      <c r="H11" s="162">
        <v>8.0000000000000002E-3</v>
      </c>
      <c r="I11" s="205">
        <v>0.5</v>
      </c>
      <c r="J11" s="205">
        <v>1.5</v>
      </c>
      <c r="K11" s="205">
        <v>0.5</v>
      </c>
      <c r="L11" s="205">
        <v>1.5</v>
      </c>
      <c r="M11" s="161" t="s">
        <v>272</v>
      </c>
      <c r="N11" s="161" t="s">
        <v>1060</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7.0000000000000001E-3</v>
      </c>
      <c r="E12" s="162">
        <v>7.0000000000000001E-3</v>
      </c>
      <c r="F12" s="162">
        <v>7.0000000000000001E-3</v>
      </c>
      <c r="G12" s="162">
        <v>7.0000000000000001E-3</v>
      </c>
      <c r="H12" s="162">
        <v>7.0000000000000001E-3</v>
      </c>
      <c r="I12" s="205">
        <v>0.5</v>
      </c>
      <c r="J12" s="205">
        <v>0.5</v>
      </c>
      <c r="K12" s="205">
        <v>0.5</v>
      </c>
      <c r="L12" s="205">
        <v>0.5</v>
      </c>
      <c r="M12" s="161" t="s">
        <v>272</v>
      </c>
      <c r="N12" s="161" t="s">
        <v>1060</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Output, MWh/MWh Total Input</v>
      </c>
      <c r="C14" s="162" t="s">
        <v>102</v>
      </c>
      <c r="D14" s="168">
        <v>0.85</v>
      </c>
      <c r="E14" s="168">
        <v>0.85</v>
      </c>
      <c r="F14" s="168">
        <v>0.85</v>
      </c>
      <c r="G14" s="168">
        <v>0.85</v>
      </c>
      <c r="H14" s="168">
        <v>0.85</v>
      </c>
      <c r="I14" s="205">
        <v>0.99</v>
      </c>
      <c r="J14" s="205">
        <v>1.01</v>
      </c>
      <c r="K14" s="205">
        <v>0.99</v>
      </c>
      <c r="L14" s="205">
        <v>1.01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6.6000000000000003E-2</v>
      </c>
      <c r="E15" s="168">
        <v>6.6000000000000003E-2</v>
      </c>
      <c r="F15" s="168">
        <v>6.6000000000000003E-2</v>
      </c>
      <c r="G15" s="168">
        <v>6.6000000000000003E-2</v>
      </c>
      <c r="H15" s="168">
        <v>6.6000000000000003E-2</v>
      </c>
      <c r="I15" s="205">
        <v>0.99</v>
      </c>
      <c r="J15" s="205">
        <v>1.01</v>
      </c>
      <c r="K15" s="205">
        <v>0.99</v>
      </c>
      <c r="L15" s="205">
        <v>1.01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Fuel Gas Output, MWh/MWh Total Input</v>
      </c>
      <c r="C16" s="162" t="s">
        <v>107</v>
      </c>
      <c r="D16" s="168">
        <v>3.3000000000000002E-2</v>
      </c>
      <c r="E16" s="168">
        <v>3.3000000000000002E-2</v>
      </c>
      <c r="F16" s="168">
        <v>3.3000000000000002E-2</v>
      </c>
      <c r="G16" s="168">
        <v>3.3000000000000002E-2</v>
      </c>
      <c r="H16" s="168">
        <v>3.3000000000000002E-2</v>
      </c>
      <c r="I16" s="205">
        <v>0.99</v>
      </c>
      <c r="J16" s="205">
        <v>1.01</v>
      </c>
      <c r="K16" s="205">
        <v>0.99</v>
      </c>
      <c r="L16" s="205">
        <v>1.01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LPG Output, MWh/MWh Total Input</v>
      </c>
      <c r="C17" s="162" t="s">
        <v>108</v>
      </c>
      <c r="D17" s="168">
        <v>2.75E-2</v>
      </c>
      <c r="E17" s="168">
        <v>2.75E-2</v>
      </c>
      <c r="F17" s="168">
        <v>2.75E-2</v>
      </c>
      <c r="G17" s="168">
        <v>2.75E-2</v>
      </c>
      <c r="H17" s="168">
        <v>2.75E-2</v>
      </c>
      <c r="I17" s="205">
        <v>0.99</v>
      </c>
      <c r="J17" s="205">
        <v>1.01</v>
      </c>
      <c r="K17" s="205">
        <v>0.99</v>
      </c>
      <c r="L17" s="205">
        <v>1.01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0.0237*0.15</f>
        <v>3.5549999999999996E-3</v>
      </c>
      <c r="E18" s="168">
        <f>0.0237*0.15</f>
        <v>3.5549999999999996E-3</v>
      </c>
      <c r="F18" s="168">
        <f>0.0237*0.15</f>
        <v>3.5549999999999996E-3</v>
      </c>
      <c r="G18" s="168">
        <f>0.0237*0.15</f>
        <v>3.5549999999999996E-3</v>
      </c>
      <c r="H18" s="168">
        <f>0.0237*0.15</f>
        <v>3.5549999999999996E-3</v>
      </c>
      <c r="I18" s="205">
        <v>0.99</v>
      </c>
      <c r="J18" s="205">
        <v>1.01</v>
      </c>
      <c r="K18" s="205">
        <v>0.99</v>
      </c>
      <c r="L18" s="205">
        <v>1.01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v>7</v>
      </c>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1015</v>
      </c>
      <c r="D25" s="197">
        <v>0.76498843622131285</v>
      </c>
      <c r="E25" s="197">
        <v>0.75609322184664662</v>
      </c>
      <c r="F25" s="197">
        <v>0.63754427390791024</v>
      </c>
      <c r="G25" s="197">
        <v>0.59840000000000004</v>
      </c>
      <c r="H25" s="197">
        <v>0.57818893435331797</v>
      </c>
      <c r="I25" s="205">
        <v>0.9</v>
      </c>
      <c r="J25" s="205">
        <v>1.1000000000000001</v>
      </c>
      <c r="K25" s="205">
        <v>0.9</v>
      </c>
      <c r="L25" s="205">
        <v>1.1000000000000001</v>
      </c>
      <c r="M25" s="161" t="s">
        <v>1055</v>
      </c>
      <c r="N25" s="161" t="s">
        <v>1054</v>
      </c>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2">
        <v>25</v>
      </c>
      <c r="E27" s="162">
        <v>25</v>
      </c>
      <c r="F27" s="162">
        <v>25</v>
      </c>
      <c r="G27" s="162">
        <v>25</v>
      </c>
      <c r="H27" s="162">
        <v>25</v>
      </c>
      <c r="I27" s="162"/>
      <c r="J27" s="162"/>
      <c r="K27" s="162"/>
      <c r="L27" s="162"/>
      <c r="M27" s="161"/>
      <c r="N27" s="161"/>
    </row>
    <row r="28" spans="2:14">
      <c r="B28" t="str">
        <f>LEFT(C28,17)</f>
        <v>Fixed O&amp;M (M€ /MW</v>
      </c>
      <c r="C28" s="162" t="s">
        <v>1013</v>
      </c>
      <c r="D28" s="168">
        <v>3.558085749866572E-2</v>
      </c>
      <c r="E28" s="168">
        <v>3.558085749866572E-2</v>
      </c>
      <c r="F28" s="168">
        <v>3.5419126328217233E-2</v>
      </c>
      <c r="G28" s="168">
        <v>3.5324675324675321E-2</v>
      </c>
      <c r="H28" s="168">
        <v>3.558085749866572E-2</v>
      </c>
      <c r="I28" s="205">
        <v>0.9</v>
      </c>
      <c r="J28" s="205">
        <v>1.1000000000000001</v>
      </c>
      <c r="K28" s="205">
        <v>0.9</v>
      </c>
      <c r="L28" s="205">
        <v>1.1000000000000001</v>
      </c>
      <c r="M28" s="161" t="s">
        <v>1051</v>
      </c>
      <c r="N28" s="161">
        <v>7</v>
      </c>
    </row>
    <row r="29" spans="2:14">
      <c r="B29" t="str">
        <f>LEFT(C29,19)</f>
        <v>Variable O&amp;M (€ /MW</v>
      </c>
      <c r="C29" s="162" t="s">
        <v>247</v>
      </c>
      <c r="D29" s="197">
        <v>8.4812467537895504</v>
      </c>
      <c r="E29" s="197">
        <v>8.4812467537895504</v>
      </c>
      <c r="F29" s="197">
        <v>8.4812467537895539</v>
      </c>
      <c r="G29" s="197">
        <v>8.4812467537895522</v>
      </c>
      <c r="H29" s="197">
        <v>8.4812467537895504</v>
      </c>
      <c r="I29" s="205">
        <v>0.9</v>
      </c>
      <c r="J29" s="205">
        <v>1.1000000000000001</v>
      </c>
      <c r="K29" s="205">
        <v>0.9</v>
      </c>
      <c r="L29" s="205">
        <v>1.1000000000000001</v>
      </c>
      <c r="M29" s="161" t="s">
        <v>1051</v>
      </c>
      <c r="N29" s="161">
        <v>7</v>
      </c>
    </row>
    <row r="30" spans="2:14">
      <c r="B30" t="str">
        <f>IF(IF(OR(LEFT(C30,27)=SUP_Biofuels!$N$8,LEFT(C30,20)=SUP_Biofuels!$O$8,LEFT(C30,20)=SUP_Biofuels!$P$8),LEFT(C30,20),C30)="Specific investment ","Specific investment (M€ /MW",IF(OR(LEFT(C30,27)=SUP_Biofuels!$N$8,LEFT(C30,20)=SUP_Biofuels!$O$8,LEFT(C30,20)=SUP_Biofuels!$P$8),LEFT(C30,20),C30))</f>
        <v>Startup (M € /MW)</v>
      </c>
      <c r="C30" s="162" t="s">
        <v>1058</v>
      </c>
      <c r="D30" s="162">
        <v>0</v>
      </c>
      <c r="E30" s="162">
        <v>0</v>
      </c>
      <c r="F30" s="162">
        <v>0</v>
      </c>
      <c r="G30" s="162">
        <v>0</v>
      </c>
      <c r="H30" s="162">
        <v>0</v>
      </c>
      <c r="I30" s="205"/>
      <c r="J30" s="205"/>
      <c r="K30" s="205"/>
      <c r="L30" s="205"/>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76">
        <v>44.1</v>
      </c>
      <c r="E32" s="176">
        <v>44.1</v>
      </c>
      <c r="F32" s="176">
        <v>44.1</v>
      </c>
      <c r="G32" s="176">
        <v>44.1</v>
      </c>
      <c r="H32" s="176">
        <v>44.1</v>
      </c>
      <c r="I32" s="162"/>
      <c r="J32" s="162"/>
      <c r="K32" s="162"/>
      <c r="L32" s="162"/>
      <c r="M32" s="162"/>
      <c r="N32" s="162"/>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1056</v>
      </c>
      <c r="D34" s="197">
        <v>1.1168831168831168</v>
      </c>
      <c r="E34" s="197">
        <v>1.1038961038961039</v>
      </c>
      <c r="F34" s="197">
        <v>0.93506493506493504</v>
      </c>
      <c r="G34" s="197">
        <v>0.88</v>
      </c>
      <c r="H34" s="197">
        <v>0.84415584415584421</v>
      </c>
      <c r="I34" s="205">
        <v>0.9</v>
      </c>
      <c r="J34" s="205">
        <v>1.1000000000000001</v>
      </c>
      <c r="K34" s="205">
        <v>0.9</v>
      </c>
      <c r="L34" s="205">
        <v>1.1000000000000001</v>
      </c>
      <c r="M34" s="161" t="s">
        <v>1055</v>
      </c>
      <c r="N34" s="161" t="s">
        <v>1054</v>
      </c>
    </row>
    <row r="35" spans="2:14">
      <c r="C35" s="162" t="s">
        <v>394</v>
      </c>
      <c r="D35" s="163">
        <v>75</v>
      </c>
      <c r="E35" s="162">
        <v>75</v>
      </c>
      <c r="F35" s="162">
        <v>75</v>
      </c>
      <c r="G35" s="162">
        <v>75</v>
      </c>
      <c r="H35" s="162">
        <v>75</v>
      </c>
      <c r="I35" s="162"/>
      <c r="J35" s="162"/>
      <c r="K35" s="162"/>
      <c r="L35" s="162"/>
      <c r="M35" s="162"/>
      <c r="N35" s="162"/>
    </row>
    <row r="36" spans="2:14">
      <c r="C36" s="162" t="s">
        <v>251</v>
      </c>
      <c r="D36" s="162">
        <v>25</v>
      </c>
      <c r="E36" s="162">
        <v>25</v>
      </c>
      <c r="F36" s="162">
        <v>25</v>
      </c>
      <c r="G36" s="162">
        <v>25</v>
      </c>
      <c r="H36" s="162">
        <v>25</v>
      </c>
      <c r="I36" s="162"/>
      <c r="J36" s="162"/>
      <c r="K36" s="162"/>
      <c r="L36" s="162"/>
      <c r="M36" s="162"/>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1">
        <v>7</v>
      </c>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1">
        <v>7</v>
      </c>
    </row>
    <row r="39" spans="2:14">
      <c r="C39" s="162" t="s">
        <v>1050</v>
      </c>
      <c r="D39" s="162">
        <v>0</v>
      </c>
      <c r="E39" s="162">
        <v>0</v>
      </c>
      <c r="F39" s="162">
        <v>0</v>
      </c>
      <c r="G39" s="162">
        <v>0</v>
      </c>
      <c r="H39" s="162">
        <v>0</v>
      </c>
      <c r="I39" s="162"/>
      <c r="J39" s="162"/>
      <c r="K39" s="162"/>
      <c r="L39" s="162"/>
      <c r="M39" s="162"/>
      <c r="N39" s="162"/>
    </row>
    <row r="40" spans="2:14">
      <c r="D40" s="931"/>
    </row>
    <row r="41" spans="2:14">
      <c r="C41" s="886" t="s">
        <v>695</v>
      </c>
      <c r="D41" s="931"/>
    </row>
    <row r="42" spans="2:14">
      <c r="C42" s="885" t="s">
        <v>1049</v>
      </c>
      <c r="D42" s="931"/>
    </row>
    <row r="43" spans="2:14">
      <c r="C43" s="885" t="s">
        <v>1048</v>
      </c>
      <c r="D43" s="931"/>
    </row>
    <row r="44" spans="2:14">
      <c r="C44" s="885" t="s">
        <v>1047</v>
      </c>
      <c r="D44" s="931"/>
    </row>
    <row r="45" spans="2:14">
      <c r="C45" s="885" t="s">
        <v>1046</v>
      </c>
      <c r="D45" s="931"/>
    </row>
    <row r="46" spans="2:14">
      <c r="C46" s="885" t="s">
        <v>1045</v>
      </c>
    </row>
    <row r="47" spans="2:14">
      <c r="C47" s="885" t="s">
        <v>1044</v>
      </c>
    </row>
    <row r="48" spans="2:14">
      <c r="C48" s="885" t="s">
        <v>1043</v>
      </c>
    </row>
    <row r="49" spans="1:3">
      <c r="C49" s="885" t="s">
        <v>1042</v>
      </c>
    </row>
    <row r="50" spans="1:3">
      <c r="C50" s="885" t="s">
        <v>1041</v>
      </c>
    </row>
    <row r="51" spans="1:3">
      <c r="C51" s="885" t="s">
        <v>1040</v>
      </c>
    </row>
    <row r="52" spans="1:3">
      <c r="C52" s="885" t="s">
        <v>1039</v>
      </c>
    </row>
    <row r="53" spans="1:3">
      <c r="C53" s="885" t="s">
        <v>1038</v>
      </c>
    </row>
    <row r="54" spans="1:3">
      <c r="C54" s="885" t="s">
        <v>1037</v>
      </c>
    </row>
    <row r="56" spans="1:3">
      <c r="C56" s="886" t="s">
        <v>989</v>
      </c>
    </row>
    <row r="57" spans="1:3">
      <c r="C57" s="885" t="s">
        <v>1036</v>
      </c>
    </row>
    <row r="58" spans="1:3">
      <c r="C58" s="885" t="s">
        <v>1035</v>
      </c>
    </row>
    <row r="59" spans="1:3">
      <c r="C59" s="885" t="s">
        <v>1034</v>
      </c>
    </row>
    <row r="60" spans="1:3">
      <c r="C60" s="885" t="s">
        <v>1033</v>
      </c>
    </row>
    <row r="61" spans="1:3">
      <c r="A61" s="885"/>
      <c r="C61" s="885" t="s">
        <v>1032</v>
      </c>
    </row>
    <row r="62" spans="1:3">
      <c r="C62" s="885" t="s">
        <v>1031</v>
      </c>
    </row>
    <row r="63" spans="1:3">
      <c r="C63" s="885" t="s">
        <v>1030</v>
      </c>
    </row>
    <row r="64" spans="1:3">
      <c r="C64" s="885" t="s">
        <v>1029</v>
      </c>
    </row>
    <row r="65" spans="3:3">
      <c r="C65" s="885" t="s">
        <v>1028</v>
      </c>
    </row>
    <row r="66" spans="3:3">
      <c r="C66" s="885" t="s">
        <v>1027</v>
      </c>
    </row>
    <row r="67" spans="3:3">
      <c r="C67" s="885" t="s">
        <v>1026</v>
      </c>
    </row>
    <row r="68" spans="3:3">
      <c r="C68" s="885" t="s">
        <v>1025</v>
      </c>
    </row>
    <row r="69" spans="3:3">
      <c r="C69" s="885" t="s">
        <v>1024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C41" sqref="C41"/>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884" t="s">
        <v>966</v>
      </c>
    </row>
    <row r="2" spans="2:14" ht="15" customHeight="1">
      <c r="C2" s="260" t="s">
        <v>296</v>
      </c>
      <c r="D2" s="260" t="s">
        <v>1082</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400</v>
      </c>
      <c r="E6" s="180">
        <v>400</v>
      </c>
      <c r="F6" s="180">
        <v>600</v>
      </c>
      <c r="G6" s="180">
        <v>700</v>
      </c>
      <c r="H6" s="180">
        <v>800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580</v>
      </c>
      <c r="E7" s="162">
        <v>580</v>
      </c>
      <c r="F7" s="162">
        <v>875</v>
      </c>
      <c r="G7" s="162">
        <v>1020</v>
      </c>
      <c r="H7" s="162">
        <v>1165</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0.77900000000000003</v>
      </c>
      <c r="E9" s="162">
        <v>0.77900000000000003</v>
      </c>
      <c r="F9" s="162">
        <v>0.77900000000000003</v>
      </c>
      <c r="G9" s="162">
        <v>0.77900000000000003</v>
      </c>
      <c r="H9" s="162">
        <v>0.77900000000000003</v>
      </c>
      <c r="I9" s="205">
        <v>0.9</v>
      </c>
      <c r="J9" s="205">
        <v>1.1000000000000001</v>
      </c>
      <c r="K9" s="205">
        <v>0.9</v>
      </c>
      <c r="L9" s="205">
        <v>1.1000000000000001</v>
      </c>
      <c r="M9" s="161" t="s">
        <v>1080</v>
      </c>
      <c r="N9" s="161" t="s">
        <v>265</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9.9000000000000005E-2</v>
      </c>
      <c r="E10" s="162">
        <v>9.9000000000000005E-2</v>
      </c>
      <c r="F10" s="162">
        <v>9.9000000000000005E-2</v>
      </c>
      <c r="G10" s="162">
        <v>9.9000000000000005E-2</v>
      </c>
      <c r="H10" s="162">
        <v>9.9000000000000005E-2</v>
      </c>
      <c r="I10" s="205">
        <v>0.9</v>
      </c>
      <c r="J10" s="205">
        <v>1.1000000000000001</v>
      </c>
      <c r="K10" s="205">
        <v>0.9</v>
      </c>
      <c r="L10" s="205">
        <v>1.1000000000000001</v>
      </c>
      <c r="M10" s="161" t="s">
        <v>1081</v>
      </c>
      <c r="N10" s="161" t="s">
        <v>265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3.0000000000000001E-3</v>
      </c>
      <c r="E11" s="162">
        <v>3.0000000000000001E-3</v>
      </c>
      <c r="F11" s="162">
        <v>3.0000000000000001E-3</v>
      </c>
      <c r="G11" s="162">
        <v>3.0000000000000001E-3</v>
      </c>
      <c r="H11" s="162">
        <v>3.0000000000000001E-3</v>
      </c>
      <c r="I11" s="205">
        <v>0.9</v>
      </c>
      <c r="J11" s="205">
        <v>1.1000000000000001</v>
      </c>
      <c r="K11" s="205">
        <v>0.9</v>
      </c>
      <c r="L11" s="205">
        <v>1.1000000000000001</v>
      </c>
      <c r="M11" s="161" t="s">
        <v>1080</v>
      </c>
      <c r="N11" s="161" t="s">
        <v>265</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0.11899999999999999</v>
      </c>
      <c r="E12" s="162">
        <v>0.11899999999999999</v>
      </c>
      <c r="F12" s="162">
        <v>0.11899999999999999</v>
      </c>
      <c r="G12" s="162">
        <v>0.11899999999999999</v>
      </c>
      <c r="H12" s="162">
        <v>0.11899999999999999</v>
      </c>
      <c r="I12" s="205">
        <v>0.9</v>
      </c>
      <c r="J12" s="205">
        <v>1.1000000000000001</v>
      </c>
      <c r="K12" s="205">
        <v>0.9</v>
      </c>
      <c r="L12" s="205">
        <v>1.1000000000000001</v>
      </c>
      <c r="M12" s="161" t="s">
        <v>1080</v>
      </c>
      <c r="N12" s="161" t="s">
        <v>265</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Jet Output, GJ/GJ Total Input</v>
      </c>
      <c r="C14" s="162" t="s">
        <v>110</v>
      </c>
      <c r="D14" s="162">
        <v>0.66</v>
      </c>
      <c r="E14" s="162">
        <v>0.66</v>
      </c>
      <c r="F14" s="162">
        <v>0.66</v>
      </c>
      <c r="G14" s="162">
        <v>0.66</v>
      </c>
      <c r="H14" s="162">
        <v>0.66</v>
      </c>
      <c r="I14" s="205">
        <v>0.9</v>
      </c>
      <c r="J14" s="205">
        <v>1.1000000000000001</v>
      </c>
      <c r="K14" s="205">
        <v>0.9</v>
      </c>
      <c r="L14" s="205">
        <v>1.1000000000000001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6.5100000000000005E-2</v>
      </c>
      <c r="E15" s="168">
        <v>6.5100000000000005E-2</v>
      </c>
      <c r="F15" s="168">
        <v>6.5100000000000005E-2</v>
      </c>
      <c r="G15" s="168">
        <v>6.5100000000000005E-2</v>
      </c>
      <c r="H15" s="168">
        <v>6.5100000000000005E-2</v>
      </c>
      <c r="I15" s="205">
        <v>0.9</v>
      </c>
      <c r="J15" s="205">
        <v>1.1000000000000001</v>
      </c>
      <c r="K15" s="205">
        <v>0.9</v>
      </c>
      <c r="L15" s="205">
        <v>1.1000000000000001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LPG Output, MWh/MWh Total Input</v>
      </c>
      <c r="C16" s="162" t="s">
        <v>108</v>
      </c>
      <c r="D16" s="168">
        <v>9.2399999999999996E-2</v>
      </c>
      <c r="E16" s="168">
        <v>9.2399999999999996E-2</v>
      </c>
      <c r="F16" s="168">
        <v>9.2399999999999996E-2</v>
      </c>
      <c r="G16" s="168">
        <v>9.2399999999999996E-2</v>
      </c>
      <c r="H16" s="168">
        <v>9.2399999999999996E-2</v>
      </c>
      <c r="I16" s="205">
        <v>0.9</v>
      </c>
      <c r="J16" s="205">
        <v>1.1000000000000001</v>
      </c>
      <c r="K16" s="205">
        <v>0.9</v>
      </c>
      <c r="L16" s="205">
        <v>1.1000000000000001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Fuel Gas Output, MWh/MWh Total Input</v>
      </c>
      <c r="C17" s="162" t="s">
        <v>107</v>
      </c>
      <c r="D17" s="168">
        <v>0.1</v>
      </c>
      <c r="E17" s="168">
        <v>0.1</v>
      </c>
      <c r="F17" s="168">
        <v>0.1</v>
      </c>
      <c r="G17" s="168">
        <v>0.1</v>
      </c>
      <c r="H17" s="168">
        <v>0.1</v>
      </c>
      <c r="I17" s="205">
        <v>0.9</v>
      </c>
      <c r="J17" s="205">
        <v>1.1000000000000001</v>
      </c>
      <c r="K17" s="205">
        <v>0.9</v>
      </c>
      <c r="L17" s="205">
        <v>1.1000000000000001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0.177*0.15</f>
        <v>2.6549999999999997E-2</v>
      </c>
      <c r="E18" s="168">
        <f>0.177*0.15</f>
        <v>2.6549999999999997E-2</v>
      </c>
      <c r="F18" s="168">
        <f>0.177*0.15</f>
        <v>2.6549999999999997E-2</v>
      </c>
      <c r="G18" s="168">
        <f>0.177*0.15</f>
        <v>2.6549999999999997E-2</v>
      </c>
      <c r="H18" s="168">
        <f>0.177*0.15</f>
        <v>2.6549999999999997E-2</v>
      </c>
      <c r="I18" s="205">
        <v>0.9</v>
      </c>
      <c r="J18" s="205">
        <v>1.1000000000000001</v>
      </c>
      <c r="K18" s="205">
        <v>0.9</v>
      </c>
      <c r="L18" s="205">
        <v>1.1000000000000001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1079</v>
      </c>
      <c r="D25" s="197">
        <v>0.95835199283475159</v>
      </c>
      <c r="E25" s="197">
        <v>0.95835199283475159</v>
      </c>
      <c r="F25" s="197">
        <v>0.81038961038961044</v>
      </c>
      <c r="G25" s="197">
        <v>0.75490196078431382</v>
      </c>
      <c r="H25" s="197">
        <v>0.7134496404882672</v>
      </c>
      <c r="I25" s="167">
        <v>0.5</v>
      </c>
      <c r="J25" s="167">
        <v>1.5</v>
      </c>
      <c r="K25" s="167">
        <v>0.5</v>
      </c>
      <c r="L25" s="167">
        <v>1.5</v>
      </c>
      <c r="M25" s="161" t="s">
        <v>1076</v>
      </c>
      <c r="N25" s="161"/>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3">
        <v>25</v>
      </c>
      <c r="E27" s="162">
        <v>25</v>
      </c>
      <c r="F27" s="162">
        <v>25</v>
      </c>
      <c r="G27" s="162">
        <v>25</v>
      </c>
      <c r="H27" s="162">
        <v>25</v>
      </c>
      <c r="I27" s="162"/>
      <c r="J27" s="162"/>
      <c r="K27" s="162"/>
      <c r="L27" s="162"/>
      <c r="M27" s="161"/>
      <c r="N27" s="161"/>
    </row>
    <row r="28" spans="2:14">
      <c r="B28" t="str">
        <f>LEFT(C28,17)</f>
        <v>Fixed O&amp;M (M€ /MW</v>
      </c>
      <c r="C28" s="162" t="s">
        <v>1013</v>
      </c>
      <c r="D28" s="168">
        <v>3.5826242722794444E-2</v>
      </c>
      <c r="E28" s="168">
        <v>3.5826242722794444E-2</v>
      </c>
      <c r="F28" s="168">
        <v>3.5621521335807045E-2</v>
      </c>
      <c r="G28" s="168">
        <v>3.5650623885917998E-2</v>
      </c>
      <c r="H28" s="168">
        <v>3.5672482024413352E-2</v>
      </c>
      <c r="I28" s="205">
        <v>0.9</v>
      </c>
      <c r="J28" s="205">
        <v>1.1000000000000001</v>
      </c>
      <c r="K28" s="205">
        <v>0.9</v>
      </c>
      <c r="L28" s="205">
        <v>1.1000000000000001</v>
      </c>
      <c r="M28" s="161" t="s">
        <v>1051</v>
      </c>
      <c r="N28" s="161"/>
    </row>
    <row r="29" spans="2:14">
      <c r="B29" t="str">
        <f>LEFT(C29,19)</f>
        <v>Variable O&amp;M (€ /MW</v>
      </c>
      <c r="C29" s="162" t="s">
        <v>247</v>
      </c>
      <c r="D29" s="168">
        <v>8.5005223145936188</v>
      </c>
      <c r="E29" s="168">
        <v>8.5005223145936188</v>
      </c>
      <c r="F29" s="168">
        <v>8.5005223145936188</v>
      </c>
      <c r="G29" s="168">
        <v>8.5005223145936188</v>
      </c>
      <c r="H29" s="168">
        <v>8.5005223145936188</v>
      </c>
      <c r="I29" s="205">
        <v>0.9</v>
      </c>
      <c r="J29" s="205">
        <v>1.1000000000000001</v>
      </c>
      <c r="K29" s="205">
        <v>0.9</v>
      </c>
      <c r="L29" s="205">
        <v>1.1000000000000001</v>
      </c>
      <c r="M29" s="161" t="s">
        <v>1051</v>
      </c>
      <c r="N29" s="161"/>
    </row>
    <row r="30" spans="2:14">
      <c r="B30" t="str">
        <f>IF(IF(OR(LEFT(C30,27)=SUP_Biofuels!$N$8,LEFT(C30,20)=SUP_Biofuels!$O$8,LEFT(C30,20)=SUP_Biofuels!$P$8),LEFT(C30,20),C30)="Specific investment ","Specific investment (M€ /MW",IF(OR(LEFT(C30,27)=SUP_Biofuels!$N$8,LEFT(C30,20)=SUP_Biofuels!$O$8,LEFT(C30,20)=SUP_Biofuels!$P$8),LEFT(C30,20),C30))</f>
        <v>Start-up (M € /1,000 t HVO Jet)</v>
      </c>
      <c r="C30" s="162" t="s">
        <v>1078</v>
      </c>
      <c r="D30" s="162">
        <v>0</v>
      </c>
      <c r="E30" s="162">
        <v>0</v>
      </c>
      <c r="F30" s="162">
        <v>0</v>
      </c>
      <c r="G30" s="162"/>
      <c r="H30" s="162">
        <v>0</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62">
        <v>44</v>
      </c>
      <c r="E32" s="162">
        <v>44</v>
      </c>
      <c r="F32" s="162">
        <v>44</v>
      </c>
      <c r="G32" s="162">
        <v>44</v>
      </c>
      <c r="H32" s="162">
        <v>44</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1077</v>
      </c>
      <c r="D34" s="197">
        <v>1.3896103896103897</v>
      </c>
      <c r="E34" s="197">
        <v>1.3896103896103897</v>
      </c>
      <c r="F34" s="197">
        <v>1.1818181818181819</v>
      </c>
      <c r="G34" s="197">
        <v>1.1000000000000001</v>
      </c>
      <c r="H34" s="197">
        <v>1.0389610389610391</v>
      </c>
      <c r="I34" s="167">
        <v>0.5</v>
      </c>
      <c r="J34" s="167">
        <v>1.5</v>
      </c>
      <c r="K34" s="167">
        <v>0.5</v>
      </c>
      <c r="L34" s="167">
        <v>1.5</v>
      </c>
      <c r="M34" s="161" t="s">
        <v>1076</v>
      </c>
      <c r="N34" s="161"/>
    </row>
    <row r="35" spans="2:14">
      <c r="C35" s="162" t="s">
        <v>1075</v>
      </c>
      <c r="D35" s="163">
        <v>75</v>
      </c>
      <c r="E35" s="162">
        <v>75</v>
      </c>
      <c r="F35" s="162">
        <v>75</v>
      </c>
      <c r="G35" s="162">
        <v>75</v>
      </c>
      <c r="H35" s="162">
        <v>75</v>
      </c>
      <c r="I35" s="162"/>
      <c r="J35" s="162"/>
      <c r="K35" s="162"/>
      <c r="L35" s="162"/>
      <c r="M35" s="161"/>
      <c r="N35" s="162"/>
    </row>
    <row r="36" spans="2:14">
      <c r="C36" s="162" t="s">
        <v>251</v>
      </c>
      <c r="D36" s="163">
        <v>25</v>
      </c>
      <c r="E36" s="162">
        <v>25</v>
      </c>
      <c r="F36" s="162">
        <v>25</v>
      </c>
      <c r="G36" s="162">
        <v>25</v>
      </c>
      <c r="H36" s="162">
        <v>25</v>
      </c>
      <c r="I36" s="162"/>
      <c r="J36" s="162"/>
      <c r="K36" s="162"/>
      <c r="L36" s="162"/>
      <c r="M36" s="161"/>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2"/>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2"/>
    </row>
    <row r="39" spans="2:14">
      <c r="C39" s="162" t="s">
        <v>1050</v>
      </c>
      <c r="D39" s="162">
        <v>0</v>
      </c>
      <c r="E39" s="162">
        <v>0</v>
      </c>
      <c r="F39" s="162">
        <v>0</v>
      </c>
      <c r="G39" s="162">
        <v>0</v>
      </c>
      <c r="H39" s="162">
        <v>0</v>
      </c>
      <c r="I39" s="162"/>
      <c r="J39" s="162"/>
      <c r="K39" s="162"/>
      <c r="L39" s="162"/>
      <c r="M39" s="161"/>
      <c r="N39" s="162"/>
    </row>
    <row r="41" spans="2:14">
      <c r="C41" s="886" t="s">
        <v>695</v>
      </c>
    </row>
    <row r="42" spans="2:14">
      <c r="C42" s="885" t="s">
        <v>1074</v>
      </c>
    </row>
    <row r="43" spans="2:14">
      <c r="C43" s="885" t="s">
        <v>1048</v>
      </c>
    </row>
    <row r="44" spans="2:14">
      <c r="C44" s="885" t="s">
        <v>1047</v>
      </c>
    </row>
    <row r="45" spans="2:14">
      <c r="C45" s="885" t="s">
        <v>1073</v>
      </c>
    </row>
    <row r="46" spans="2:14">
      <c r="C46" s="885" t="s">
        <v>1045</v>
      </c>
    </row>
    <row r="47" spans="2:14">
      <c r="C47" s="885" t="s">
        <v>1044</v>
      </c>
    </row>
    <row r="48" spans="2:14">
      <c r="C48" s="885" t="s">
        <v>1043</v>
      </c>
    </row>
    <row r="49" spans="3:3">
      <c r="C49" s="885" t="s">
        <v>1042</v>
      </c>
    </row>
    <row r="50" spans="3:3">
      <c r="C50" s="885" t="s">
        <v>1041</v>
      </c>
    </row>
    <row r="51" spans="3:3">
      <c r="C51" s="885" t="s">
        <v>1040</v>
      </c>
    </row>
    <row r="52" spans="3:3">
      <c r="C52" s="885" t="s">
        <v>1039</v>
      </c>
    </row>
    <row r="53" spans="3:3">
      <c r="C53" s="885" t="s">
        <v>1038</v>
      </c>
    </row>
    <row r="54" spans="3:3">
      <c r="C54" s="885" t="s">
        <v>1072</v>
      </c>
    </row>
    <row r="56" spans="3:3">
      <c r="C56" s="886" t="s">
        <v>989</v>
      </c>
    </row>
    <row r="57" spans="3:3">
      <c r="C57" s="885" t="s">
        <v>1071</v>
      </c>
    </row>
    <row r="58" spans="3:3">
      <c r="C58" s="885" t="s">
        <v>1070</v>
      </c>
    </row>
    <row r="59" spans="3:3">
      <c r="C59" s="885" t="s">
        <v>1069</v>
      </c>
    </row>
    <row r="60" spans="3:3">
      <c r="C60" s="885" t="s">
        <v>1068</v>
      </c>
    </row>
    <row r="61" spans="3:3">
      <c r="C61" s="885" t="s">
        <v>1067</v>
      </c>
    </row>
    <row r="62" spans="3:3">
      <c r="C62" s="885" t="s">
        <v>1066</v>
      </c>
    </row>
    <row r="63" spans="3:3">
      <c r="C63" s="885" t="s">
        <v>1065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884" t="s">
        <v>966</v>
      </c>
    </row>
    <row r="2" spans="2:14" ht="15" customHeight="1">
      <c r="C2" s="260" t="s">
        <v>296</v>
      </c>
      <c r="D2" s="260" t="s">
        <v>1116</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Ethanol/year, 1,000 tonnes/year</v>
      </c>
      <c r="C6" s="180" t="s">
        <v>1115</v>
      </c>
      <c r="D6" s="180">
        <v>320</v>
      </c>
      <c r="E6" s="180">
        <v>320</v>
      </c>
      <c r="F6" s="180">
        <v>400</v>
      </c>
      <c r="G6" s="180">
        <v>450</v>
      </c>
      <c r="H6" s="180">
        <v>500</v>
      </c>
      <c r="I6" s="179">
        <v>0.5</v>
      </c>
      <c r="J6" s="179">
        <v>1.2</v>
      </c>
      <c r="K6" s="179">
        <v>0.6</v>
      </c>
      <c r="L6" s="179">
        <v>1</v>
      </c>
      <c r="M6" s="178" t="s">
        <v>280</v>
      </c>
      <c r="N6" s="178">
        <v>11</v>
      </c>
    </row>
    <row r="7" spans="2:14">
      <c r="B7" t="str">
        <f>IF(IF(OR(LEFT(C7,27)=SUP_Biofuels!$N$8,LEFT(C7,20)=SUP_Biofuels!$O$8,LEFT(C7,20)=SUP_Biofuels!$P$8),LEFT(C7,20),C7)="Specific investment ","Specific investment (M€ /MW",IF(OR(LEFT(C7,27)=SUP_Biofuels!$N$8,LEFT(C7,20)=SUP_Biofuels!$O$8,LEFT(C7,20)=SUP_Biofuels!$P$8),LEFT(C7,20),C7))</f>
        <v>Ethanol/year, MW</v>
      </c>
      <c r="C7" s="162" t="s">
        <v>1114</v>
      </c>
      <c r="D7" s="162">
        <v>280</v>
      </c>
      <c r="E7" s="162">
        <v>280</v>
      </c>
      <c r="F7" s="162">
        <v>350</v>
      </c>
      <c r="G7" s="162">
        <v>400</v>
      </c>
      <c r="H7" s="162">
        <v>440</v>
      </c>
      <c r="I7" s="167">
        <v>0.5</v>
      </c>
      <c r="J7" s="167">
        <v>1.2</v>
      </c>
      <c r="K7" s="167">
        <v>0.6</v>
      </c>
      <c r="L7" s="167">
        <v>1</v>
      </c>
      <c r="M7" s="161" t="s">
        <v>280</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162">
        <v>0.83</v>
      </c>
      <c r="E9" s="162">
        <v>0.83</v>
      </c>
      <c r="F9" s="162">
        <v>0.84</v>
      </c>
      <c r="G9" s="162">
        <v>0.85</v>
      </c>
      <c r="H9" s="162">
        <v>0.85</v>
      </c>
      <c r="I9" s="205">
        <v>0.98</v>
      </c>
      <c r="J9" s="205">
        <v>1.05</v>
      </c>
      <c r="K9" s="205">
        <v>0.98</v>
      </c>
      <c r="L9" s="205">
        <v>1.02</v>
      </c>
      <c r="M9" s="161" t="s">
        <v>272</v>
      </c>
      <c r="N9" s="161"/>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162">
        <v>0.02</v>
      </c>
      <c r="E10" s="162">
        <v>0.02</v>
      </c>
      <c r="F10" s="162">
        <v>0.02</v>
      </c>
      <c r="G10" s="162">
        <v>0.02</v>
      </c>
      <c r="H10" s="162">
        <v>0.02</v>
      </c>
      <c r="I10" s="205">
        <v>0.75</v>
      </c>
      <c r="J10" s="205">
        <v>1.25</v>
      </c>
      <c r="K10" s="205">
        <v>0.75</v>
      </c>
      <c r="L10" s="205">
        <v>1.25</v>
      </c>
      <c r="M10" s="161" t="s">
        <v>269</v>
      </c>
      <c r="N10" s="161"/>
    </row>
    <row r="11" spans="2:14">
      <c r="B11" t="str">
        <f>IF(IF(OR(LEFT(C11,27)=SUP_Biofuels!$N$8,LEFT(C11,20)=SUP_Biofuels!$O$8,LEFT(C11,20)=SUP_Biofuels!$P$8),LEFT(C11,20),C11)="Specific investment ","Specific investment (M€ /MW",IF(OR(LEFT(C11,27)=SUP_Biofuels!$N$8,LEFT(C11,20)=SUP_Biofuels!$O$8,LEFT(C11,20)=SUP_Biofuels!$P$8),LEFT(C11,20),C11))</f>
        <v>Natural Gas Consumption, MWh/MWh Total Input</v>
      </c>
      <c r="C11" s="162" t="s">
        <v>97</v>
      </c>
      <c r="D11" s="162">
        <v>0.15</v>
      </c>
      <c r="E11" s="162">
        <v>0.15</v>
      </c>
      <c r="F11" s="162">
        <v>0.14000000000000001</v>
      </c>
      <c r="G11" s="162">
        <v>0.13</v>
      </c>
      <c r="H11" s="162">
        <v>0.13</v>
      </c>
      <c r="I11" s="205">
        <v>0.75</v>
      </c>
      <c r="J11" s="205">
        <v>1.25</v>
      </c>
      <c r="K11" s="205">
        <v>0.75</v>
      </c>
      <c r="L11" s="205">
        <v>1.25</v>
      </c>
      <c r="M11" s="161" t="s">
        <v>269</v>
      </c>
      <c r="N11" s="161"/>
    </row>
    <row r="12" spans="2:14">
      <c r="B12" t="str">
        <f>IF(IF(OR(LEFT(C12,27)=SUP_Biofuels!$N$8,LEFT(C12,20)=SUP_Biofuels!$O$8,LEFT(C12,20)=SUP_Biofuels!$P$8),LEFT(C12,20),C12)="Specific investment ","Specific investment (M€ /MW",IF(OR(LEFT(C12,27)=SUP_Biofuels!$N$8,LEFT(C12,20)=SUP_Biofuels!$O$8,LEFT(C12,20)=SUP_Biofuels!$P$8),LEFT(C12,20),C12))</f>
        <v>Outputs</v>
      </c>
      <c r="C12" s="260" t="s">
        <v>271</v>
      </c>
      <c r="D12" s="162"/>
      <c r="E12" s="162"/>
      <c r="F12" s="162"/>
      <c r="G12" s="162"/>
      <c r="H12" s="162"/>
      <c r="I12" s="205"/>
      <c r="J12" s="205"/>
      <c r="K12" s="205"/>
      <c r="L12" s="205"/>
      <c r="M12" s="161"/>
      <c r="N12" s="161"/>
    </row>
    <row r="13" spans="2:14">
      <c r="B13" t="str">
        <f>IF(IF(OR(LEFT(C13,27)=SUP_Biofuels!$N$8,LEFT(C13,20)=SUP_Biofuels!$O$8,LEFT(C13,20)=SUP_Biofuels!$P$8),LEFT(C13,20),C13)="Specific investment ","Specific investment (M€ /MW",IF(OR(LEFT(C13,27)=SUP_Biofuels!$N$8,LEFT(C13,20)=SUP_Biofuels!$O$8,LEFT(C13,20)=SUP_Biofuels!$P$8),LEFT(C13,20),C13))</f>
        <v>Ethanol Output, MWh/MWh Total Inputs</v>
      </c>
      <c r="C13" s="162" t="s">
        <v>1113</v>
      </c>
      <c r="D13" s="162">
        <v>0.46</v>
      </c>
      <c r="E13" s="162">
        <v>0.46</v>
      </c>
      <c r="F13" s="162">
        <v>0.47</v>
      </c>
      <c r="G13" s="162">
        <v>0.47</v>
      </c>
      <c r="H13" s="162">
        <v>0.47</v>
      </c>
      <c r="I13" s="162">
        <v>0.95</v>
      </c>
      <c r="J13" s="162">
        <v>1.02</v>
      </c>
      <c r="K13" s="162">
        <v>0.95</v>
      </c>
      <c r="L13" s="162">
        <v>1.02</v>
      </c>
      <c r="M13" s="161" t="s">
        <v>243</v>
      </c>
      <c r="N13" s="161"/>
    </row>
    <row r="14" spans="2:14">
      <c r="B14" t="str">
        <f>IF(IF(OR(LEFT(C14,27)=SUP_Biofuels!$N$8,LEFT(C14,20)=SUP_Biofuels!$O$8,LEFT(C14,20)=SUP_Biofuels!$P$8),LEFT(C14,20),C14)="Specific investment ","Specific investment (M€ /MW",IF(OR(LEFT(C14,27)=SUP_Biofuels!$N$8,LEFT(C14,20)=SUP_Biofuels!$O$8,LEFT(C14,20)=SUP_Biofuels!$P$8),LEFT(C14,20),C14))</f>
        <v>DDG  Output, MWh/MWh Total Input</v>
      </c>
      <c r="C14" s="162" t="s">
        <v>1112</v>
      </c>
      <c r="D14" s="162">
        <v>0.28999999999999998</v>
      </c>
      <c r="E14" s="162">
        <v>0.27</v>
      </c>
      <c r="F14" s="162">
        <v>0.28000000000000003</v>
      </c>
      <c r="G14" s="162">
        <v>0.25</v>
      </c>
      <c r="H14" s="162">
        <v>0.25</v>
      </c>
      <c r="I14" s="205">
        <v>0.98</v>
      </c>
      <c r="J14" s="205">
        <v>1.05</v>
      </c>
      <c r="K14" s="205">
        <v>0.98</v>
      </c>
      <c r="L14" s="205">
        <v>1.02</v>
      </c>
      <c r="M14" s="161" t="s">
        <v>243</v>
      </c>
      <c r="N14" s="161"/>
    </row>
    <row r="15" spans="2:14">
      <c r="B15">
        <f>IF(IF(OR(LEFT(C15,27)=SUP_Biofuels!$N$8,LEFT(C15,20)=SUP_Biofuels!$O$8,LEFT(C15,20)=SUP_Biofuels!$P$8),LEFT(C15,20),C15)="Specific investment ","Specific investment (M€ /MW",IF(OR(LEFT(C15,27)=SUP_Biofuels!$N$8,LEFT(C15,20)=SUP_Biofuels!$O$8,LEFT(C15,20)=SUP_Biofuels!$P$8),LEFT(C15,20),C15))</f>
        <v>0</v>
      </c>
      <c r="C15" s="186"/>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62" t="s">
        <v>59</v>
      </c>
      <c r="D16" s="162">
        <v>0</v>
      </c>
      <c r="E16" s="162">
        <v>0</v>
      </c>
      <c r="F16" s="162">
        <v>0</v>
      </c>
      <c r="G16" s="162">
        <v>0</v>
      </c>
      <c r="H16" s="162">
        <v>0</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25</v>
      </c>
      <c r="F18" s="162">
        <v>25</v>
      </c>
      <c r="G18" s="162">
        <v>25</v>
      </c>
      <c r="H18" s="162">
        <v>25</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62" t="s">
        <v>60</v>
      </c>
      <c r="D19" s="163">
        <v>2</v>
      </c>
      <c r="E19" s="163">
        <v>2</v>
      </c>
      <c r="F19" s="163">
        <v>2</v>
      </c>
      <c r="G19" s="163">
        <v>2</v>
      </c>
      <c r="H19" s="163">
        <v>2</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62" t="s">
        <v>1111</v>
      </c>
      <c r="D21" s="197">
        <v>0.73779385171790235</v>
      </c>
      <c r="E21" s="197">
        <v>0.72332730560578651</v>
      </c>
      <c r="F21" s="197">
        <v>0.69439421338155505</v>
      </c>
      <c r="G21" s="197">
        <v>0.66374999999999995</v>
      </c>
      <c r="H21" s="197">
        <v>0.6616800920598388</v>
      </c>
      <c r="I21" s="167">
        <v>0.95</v>
      </c>
      <c r="J21" s="167">
        <v>1.25</v>
      </c>
      <c r="K21" s="167">
        <v>0.95</v>
      </c>
      <c r="L21" s="167">
        <v>1.25</v>
      </c>
      <c r="M21" s="161" t="s">
        <v>1109</v>
      </c>
      <c r="N21" s="161">
        <v>10</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2">
        <v>75</v>
      </c>
      <c r="E22" s="162">
        <v>75</v>
      </c>
      <c r="F22" s="162">
        <v>75</v>
      </c>
      <c r="G22" s="162">
        <v>75</v>
      </c>
      <c r="H22" s="162">
        <v>75</v>
      </c>
      <c r="I22" s="162"/>
      <c r="J22" s="162"/>
      <c r="K22" s="162"/>
      <c r="L22" s="162"/>
      <c r="M22" s="161"/>
      <c r="N22" s="161"/>
    </row>
    <row r="23" spans="2:14">
      <c r="B23" t="str">
        <f>LEFT(C23,17)</f>
        <v xml:space="preserve"> -installation (%</v>
      </c>
      <c r="C23" s="162" t="s">
        <v>251</v>
      </c>
      <c r="D23" s="163">
        <v>25</v>
      </c>
      <c r="E23" s="162">
        <v>25</v>
      </c>
      <c r="F23" s="162">
        <v>25</v>
      </c>
      <c r="G23" s="162">
        <v>25</v>
      </c>
      <c r="H23" s="162">
        <v>25</v>
      </c>
      <c r="I23" s="162"/>
      <c r="J23" s="162"/>
      <c r="K23" s="162"/>
      <c r="L23" s="162"/>
      <c r="M23" s="161"/>
      <c r="N23" s="161"/>
    </row>
    <row r="24" spans="2:14">
      <c r="B24" t="str">
        <f>LEFT(C24,17)</f>
        <v>Fixed O&amp;M (M€ /MW</v>
      </c>
      <c r="C24" s="162" t="s">
        <v>1013</v>
      </c>
      <c r="D24" s="168">
        <v>6.0759493670886074E-2</v>
      </c>
      <c r="E24" s="168">
        <v>6.0759493670886074E-2</v>
      </c>
      <c r="F24" s="168">
        <v>6.0759493670886074E-2</v>
      </c>
      <c r="G24" s="168">
        <v>6.0759493670886074E-2</v>
      </c>
      <c r="H24" s="168">
        <v>6.0759493670886074E-2</v>
      </c>
      <c r="I24" s="167">
        <v>0.95</v>
      </c>
      <c r="J24" s="167">
        <v>1.25</v>
      </c>
      <c r="K24" s="167">
        <v>0.95</v>
      </c>
      <c r="L24" s="167">
        <v>1.25</v>
      </c>
      <c r="M24" s="161" t="s">
        <v>673</v>
      </c>
      <c r="N24" s="161">
        <v>8</v>
      </c>
    </row>
    <row r="25" spans="2:14">
      <c r="B25" t="str">
        <f>LEFT(C25,19)</f>
        <v>Variable O&amp;M (€ /MW</v>
      </c>
      <c r="C25" s="162" t="s">
        <v>247</v>
      </c>
      <c r="D25" s="168">
        <v>8.3007194396164632</v>
      </c>
      <c r="E25" s="168">
        <v>8.3007194396164632</v>
      </c>
      <c r="F25" s="168">
        <v>8.3007194396164632</v>
      </c>
      <c r="G25" s="168">
        <v>8.300719439616465</v>
      </c>
      <c r="H25" s="168">
        <v>8.300719439616465</v>
      </c>
      <c r="I25" s="205">
        <v>0.9</v>
      </c>
      <c r="J25" s="205">
        <v>1.1000000000000001</v>
      </c>
      <c r="K25" s="205">
        <v>0.9</v>
      </c>
      <c r="L25" s="205">
        <v>1.1000000000000001</v>
      </c>
      <c r="M25" s="161" t="s">
        <v>1106</v>
      </c>
      <c r="N25" s="161">
        <v>8</v>
      </c>
    </row>
    <row r="26" spans="2:14">
      <c r="B26" t="str">
        <f>IF(IF(OR(LEFT(C26,27)=SUP_Biofuels!$N$8,LEFT(C26,20)=SUP_Biofuels!$O$8,LEFT(C26,20)=SUP_Biofuels!$P$8),LEFT(C26,20),C26)="Specific investment ","Specific investment (M€ /MW",IF(OR(LEFT(C26,27)=SUP_Biofuels!$N$8,LEFT(C26,20)=SUP_Biofuels!$O$8,LEFT(C26,20)=SUP_Biofuels!$P$8),LEFT(C26,20),C26))</f>
        <v>Start-up (M€ /1,000 t Ethanol)</v>
      </c>
      <c r="C26" s="162" t="s">
        <v>1105</v>
      </c>
      <c r="D26" s="162">
        <v>0</v>
      </c>
      <c r="E26" s="162">
        <v>0</v>
      </c>
      <c r="F26" s="162">
        <v>0</v>
      </c>
      <c r="G26" s="162">
        <v>0</v>
      </c>
      <c r="H26" s="162">
        <v>0</v>
      </c>
      <c r="I26" s="205"/>
      <c r="J26" s="205"/>
      <c r="K26" s="205"/>
      <c r="L26" s="205"/>
      <c r="M26" s="161" t="s">
        <v>393</v>
      </c>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5"/>
      <c r="J27" s="185"/>
      <c r="K27" s="185"/>
      <c r="L27" s="185"/>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62" t="s">
        <v>1057</v>
      </c>
      <c r="D28" s="162">
        <v>26.9</v>
      </c>
      <c r="E28" s="162">
        <v>26.9</v>
      </c>
      <c r="F28" s="162">
        <v>26.9</v>
      </c>
      <c r="G28" s="162">
        <v>26.9</v>
      </c>
      <c r="H28" s="162">
        <v>26.9</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2"/>
      <c r="J29" s="162"/>
      <c r="K29" s="162"/>
      <c r="L29" s="162"/>
      <c r="M29" s="162"/>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Ethanol)</v>
      </c>
      <c r="C30" s="162" t="s">
        <v>1110</v>
      </c>
      <c r="D30" s="197">
        <v>0.64556962025316456</v>
      </c>
      <c r="E30" s="197">
        <v>0.63291139240506322</v>
      </c>
      <c r="F30" s="197">
        <v>0.60759493670886067</v>
      </c>
      <c r="G30" s="197">
        <v>0.59</v>
      </c>
      <c r="H30" s="197">
        <v>0.58227848101265822</v>
      </c>
      <c r="I30" s="167">
        <v>0.95</v>
      </c>
      <c r="J30" s="167">
        <v>1.25</v>
      </c>
      <c r="K30" s="167">
        <v>0.95</v>
      </c>
      <c r="L30" s="167">
        <v>1.25</v>
      </c>
      <c r="M30" s="161" t="s">
        <v>1109</v>
      </c>
      <c r="N30" s="161">
        <v>10</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2">
        <v>75</v>
      </c>
      <c r="E31" s="162">
        <v>75</v>
      </c>
      <c r="F31" s="162">
        <v>75</v>
      </c>
      <c r="G31" s="162">
        <v>75</v>
      </c>
      <c r="H31" s="162">
        <v>75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2">
        <v>25</v>
      </c>
      <c r="F32" s="162">
        <v>25</v>
      </c>
      <c r="G32" s="162">
        <v>25</v>
      </c>
      <c r="H32" s="162">
        <v>25</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Ethanol)</v>
      </c>
      <c r="C33" s="162" t="s">
        <v>1108</v>
      </c>
      <c r="D33" s="168">
        <v>6.0759493670886074E-2</v>
      </c>
      <c r="E33" s="168">
        <v>6.0759493670886074E-2</v>
      </c>
      <c r="F33" s="168">
        <v>6.0759493670886074E-2</v>
      </c>
      <c r="G33" s="168">
        <v>6.0759493670886074E-2</v>
      </c>
      <c r="H33" s="168">
        <v>6.0759493670886074E-2</v>
      </c>
      <c r="I33" s="162">
        <v>0.95</v>
      </c>
      <c r="J33" s="167">
        <v>1.25</v>
      </c>
      <c r="K33" s="167">
        <v>0.95</v>
      </c>
      <c r="L33" s="167">
        <v>1.25</v>
      </c>
      <c r="M33" s="161" t="s">
        <v>673</v>
      </c>
      <c r="N33" s="161">
        <v>8</v>
      </c>
    </row>
    <row r="34" spans="2:14">
      <c r="C34" s="162" t="s">
        <v>1107</v>
      </c>
      <c r="D34" s="168">
        <v>6.20253164556962E-2</v>
      </c>
      <c r="E34" s="168">
        <v>6.20253164556962E-2</v>
      </c>
      <c r="F34" s="168">
        <v>6.20253164556962E-2</v>
      </c>
      <c r="G34" s="168">
        <v>6.20253164556962E-2</v>
      </c>
      <c r="H34" s="168">
        <v>6.20253164556962E-2</v>
      </c>
      <c r="I34" s="205">
        <v>0.9</v>
      </c>
      <c r="J34" s="205">
        <v>1.1000000000000001</v>
      </c>
      <c r="K34" s="205">
        <v>0.9</v>
      </c>
      <c r="L34" s="205">
        <v>1.1000000000000001</v>
      </c>
      <c r="M34" s="161" t="s">
        <v>1106</v>
      </c>
      <c r="N34" s="161">
        <v>8</v>
      </c>
    </row>
    <row r="35" spans="2:14">
      <c r="C35" s="162" t="s">
        <v>1105</v>
      </c>
      <c r="D35" s="162">
        <v>0</v>
      </c>
      <c r="E35" s="162">
        <v>0</v>
      </c>
      <c r="F35" s="162">
        <v>0</v>
      </c>
      <c r="G35" s="162">
        <v>0</v>
      </c>
      <c r="H35" s="162">
        <v>0</v>
      </c>
      <c r="I35" s="205"/>
      <c r="J35" s="205"/>
      <c r="K35" s="205"/>
      <c r="L35" s="205"/>
      <c r="M35" s="161" t="s">
        <v>393</v>
      </c>
      <c r="N35" s="161"/>
    </row>
    <row r="37" spans="2:14">
      <c r="C37" s="886" t="s">
        <v>695</v>
      </c>
    </row>
    <row r="38" spans="2:14">
      <c r="C38" s="885" t="s">
        <v>1104</v>
      </c>
    </row>
    <row r="39" spans="2:14">
      <c r="C39" s="885" t="s">
        <v>1048</v>
      </c>
    </row>
    <row r="40" spans="2:14">
      <c r="C40" s="885" t="s">
        <v>1047</v>
      </c>
    </row>
    <row r="41" spans="2:14">
      <c r="C41" s="885" t="s">
        <v>1103</v>
      </c>
    </row>
    <row r="42" spans="2:14">
      <c r="C42" s="885" t="s">
        <v>1102</v>
      </c>
    </row>
    <row r="43" spans="2:14">
      <c r="C43" s="885" t="s">
        <v>1101</v>
      </c>
    </row>
    <row r="44" spans="2:14">
      <c r="C44" s="885" t="s">
        <v>1100</v>
      </c>
    </row>
    <row r="45" spans="2:14">
      <c r="C45" s="885" t="s">
        <v>1099</v>
      </c>
    </row>
    <row r="46" spans="2:14">
      <c r="C46" s="885" t="s">
        <v>1098</v>
      </c>
    </row>
    <row r="47" spans="2:14">
      <c r="C47" s="885" t="s">
        <v>1097</v>
      </c>
    </row>
    <row r="48" spans="2:14">
      <c r="C48" s="885" t="s">
        <v>1096</v>
      </c>
    </row>
    <row r="50" spans="3:3">
      <c r="C50" s="886" t="s">
        <v>989</v>
      </c>
    </row>
    <row r="51" spans="3:3">
      <c r="C51" s="885" t="s">
        <v>1095</v>
      </c>
    </row>
    <row r="52" spans="3:3">
      <c r="C52" s="885" t="s">
        <v>1094</v>
      </c>
    </row>
    <row r="53" spans="3:3">
      <c r="C53" s="885" t="s">
        <v>1093</v>
      </c>
    </row>
    <row r="54" spans="3:3">
      <c r="C54" s="885" t="s">
        <v>1092</v>
      </c>
    </row>
    <row r="55" spans="3:3">
      <c r="C55" s="885" t="s">
        <v>1091</v>
      </c>
    </row>
    <row r="56" spans="3:3">
      <c r="C56" s="885" t="s">
        <v>1090</v>
      </c>
    </row>
    <row r="57" spans="3:3">
      <c r="C57" s="885" t="s">
        <v>1089</v>
      </c>
    </row>
    <row r="58" spans="3:3">
      <c r="C58" s="885" t="s">
        <v>1088</v>
      </c>
    </row>
    <row r="59" spans="3:3">
      <c r="C59" s="885" t="s">
        <v>1087</v>
      </c>
    </row>
    <row r="60" spans="3:3">
      <c r="C60" s="885" t="s">
        <v>1086</v>
      </c>
    </row>
    <row r="61" spans="3:3">
      <c r="C61" s="885" t="s">
        <v>1085</v>
      </c>
    </row>
    <row r="62" spans="3:3">
      <c r="C62" s="885" t="s">
        <v>1084</v>
      </c>
    </row>
    <row r="63" spans="3:3">
      <c r="C63" s="885" t="s">
        <v>1083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theme="4" tint="0.39997558519241921"/>
  </sheetPr>
  <dimension ref="B1:N57"/>
  <sheetViews>
    <sheetView workbookViewId="0">
      <selection activeCell="C38" sqref="C38"/>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884" t="s">
        <v>966</v>
      </c>
    </row>
    <row r="2" spans="2:14" ht="15" customHeight="1">
      <c r="C2" s="260" t="s">
        <v>296</v>
      </c>
      <c r="D2" s="186" t="s">
        <v>111</v>
      </c>
      <c r="E2" s="936"/>
      <c r="F2" s="936"/>
      <c r="G2" s="936"/>
      <c r="H2" s="936"/>
      <c r="I2" s="936"/>
      <c r="J2" s="936"/>
      <c r="K2" s="936"/>
      <c r="L2" s="936"/>
      <c r="M2" s="936"/>
      <c r="N2" s="935"/>
    </row>
    <row r="3" spans="2:14" ht="15" customHeight="1">
      <c r="C3" s="260"/>
      <c r="D3" s="260">
        <v>2015</v>
      </c>
      <c r="E3" s="260">
        <v>2020</v>
      </c>
      <c r="F3" s="260">
        <v>2030</v>
      </c>
      <c r="G3" s="260">
        <v>2040</v>
      </c>
      <c r="H3" s="260">
        <v>2050</v>
      </c>
      <c r="I3" s="1396" t="s">
        <v>290</v>
      </c>
      <c r="J3" s="1397"/>
      <c r="K3" s="1396" t="s">
        <v>289</v>
      </c>
      <c r="L3" s="1397"/>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80">
        <v>20</v>
      </c>
      <c r="E6" s="180">
        <v>80</v>
      </c>
      <c r="F6" s="180">
        <v>200</v>
      </c>
      <c r="G6" s="180">
        <v>500</v>
      </c>
      <c r="H6" s="180">
        <v>1000</v>
      </c>
      <c r="I6" s="179">
        <v>0.5</v>
      </c>
      <c r="J6" s="179">
        <v>1.25</v>
      </c>
      <c r="K6" s="179">
        <v>0.75</v>
      </c>
      <c r="L6" s="179">
        <v>1.25</v>
      </c>
      <c r="M6" s="178" t="s">
        <v>280</v>
      </c>
      <c r="N6" s="178"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162">
        <v>10</v>
      </c>
      <c r="E7" s="162">
        <v>40</v>
      </c>
      <c r="F7" s="162">
        <v>105</v>
      </c>
      <c r="G7" s="162">
        <v>265</v>
      </c>
      <c r="H7" s="162">
        <v>520</v>
      </c>
      <c r="I7" s="167">
        <v>0.5</v>
      </c>
      <c r="J7" s="167">
        <v>1.25</v>
      </c>
      <c r="K7" s="167">
        <v>0.75</v>
      </c>
      <c r="L7" s="167">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90" t="s">
        <v>112</v>
      </c>
      <c r="D9" s="190">
        <v>1</v>
      </c>
      <c r="E9" s="190">
        <v>1</v>
      </c>
      <c r="F9" s="190">
        <v>1</v>
      </c>
      <c r="G9" s="190">
        <v>1</v>
      </c>
      <c r="H9" s="190">
        <v>1</v>
      </c>
      <c r="I9" s="208">
        <v>0.9</v>
      </c>
      <c r="J9" s="208">
        <v>1.5</v>
      </c>
      <c r="K9" s="208">
        <v>0.9</v>
      </c>
      <c r="L9" s="208">
        <v>1.25</v>
      </c>
      <c r="M9" s="188" t="s">
        <v>266</v>
      </c>
      <c r="N9" s="188">
        <v>4</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Bio Oil Output, MWh/MWh Total Input</v>
      </c>
      <c r="C11" s="180" t="s">
        <v>115</v>
      </c>
      <c r="D11" s="180">
        <v>0.6</v>
      </c>
      <c r="E11" s="180">
        <v>0.6</v>
      </c>
      <c r="F11" s="180">
        <v>0.62</v>
      </c>
      <c r="G11" s="180">
        <v>0.64</v>
      </c>
      <c r="H11" s="180">
        <v>0.65</v>
      </c>
      <c r="I11" s="206">
        <v>0.9</v>
      </c>
      <c r="J11" s="206">
        <v>1.1000000000000001</v>
      </c>
      <c r="K11" s="206">
        <v>0.9</v>
      </c>
      <c r="L11" s="206">
        <v>1.1000000000000001</v>
      </c>
      <c r="M11" s="178" t="s">
        <v>266</v>
      </c>
      <c r="N11" s="178">
        <v>4</v>
      </c>
    </row>
    <row r="12" spans="2:14">
      <c r="B12" t="str">
        <f>IF(IF(OR(LEFT(C12,27)=SUP_Biofuels!$N$8,LEFT(C12,20)=SUP_Biofuels!$O$8,LEFT(C12,20)=SUP_Biofuels!$P$8),LEFT(C12,20),C12)="Specific investment ","Specific investment (M€ /MW",IF(OR(LEFT(C12,27)=SUP_Biofuels!$N$8,LEFT(C12,20)=SUP_Biofuels!$O$8,LEFT(C12,20)=SUP_Biofuels!$P$8),LEFT(C12,20),C12))</f>
        <v>Steam, Output, MWh/MWh Total Input</v>
      </c>
      <c r="C12" s="162" t="s">
        <v>1149</v>
      </c>
      <c r="D12" s="162">
        <v>0.23200000000000001</v>
      </c>
      <c r="E12" s="162">
        <v>0.23200000000000001</v>
      </c>
      <c r="F12" s="162">
        <v>0.23200000000000001</v>
      </c>
      <c r="G12" s="162">
        <v>0.23200000000000001</v>
      </c>
      <c r="H12" s="162">
        <v>0.23200000000000001</v>
      </c>
      <c r="I12" s="205">
        <v>0.9</v>
      </c>
      <c r="J12" s="205">
        <v>1.1000000000000001</v>
      </c>
      <c r="K12" s="205">
        <v>0.9</v>
      </c>
      <c r="L12" s="205">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Power, Output, MWh/MWh Total Input</v>
      </c>
      <c r="C13" s="190" t="s">
        <v>1148</v>
      </c>
      <c r="D13" s="190">
        <v>1.6E-2</v>
      </c>
      <c r="E13" s="190">
        <v>1.6E-2</v>
      </c>
      <c r="F13" s="190">
        <v>1.6E-2</v>
      </c>
      <c r="G13" s="190">
        <v>1.6E-2</v>
      </c>
      <c r="H13" s="190">
        <v>1.6E-2</v>
      </c>
      <c r="I13" s="190">
        <v>0.9</v>
      </c>
      <c r="J13" s="190">
        <v>1.1000000000000001</v>
      </c>
      <c r="K13" s="190">
        <v>0.9</v>
      </c>
      <c r="L13" s="190">
        <v>1.1000000000000001</v>
      </c>
      <c r="M13" s="188" t="s">
        <v>266</v>
      </c>
      <c r="N13" s="188">
        <v>4</v>
      </c>
    </row>
    <row r="14" spans="2:14">
      <c r="B14">
        <f>IF(IF(OR(LEFT(C14,27)=SUP_Biofuels!$N$8,LEFT(C14,20)=SUP_Biofuels!$O$8,LEFT(C14,20)=SUP_Biofuels!$P$8),LEFT(C14,20),C14)="Specific investment ","Specific investment (M€ /MW",IF(OR(LEFT(C14,27)=SUP_Biofuels!$N$8,LEFT(C14,20)=SUP_Biofuels!$O$8,LEFT(C14,20)=SUP_Biofuels!$P$8),LEFT(C14,20),C14))</f>
        <v>0</v>
      </c>
      <c r="C14" s="207"/>
      <c r="D14" s="185"/>
      <c r="E14" s="185"/>
      <c r="F14" s="185"/>
      <c r="G14" s="185"/>
      <c r="H14" s="185"/>
      <c r="I14" s="213"/>
      <c r="J14" s="213"/>
      <c r="K14" s="213"/>
      <c r="L14" s="213"/>
      <c r="M14" s="183"/>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180" t="s">
        <v>1136</v>
      </c>
      <c r="E15" s="180">
        <v>4</v>
      </c>
      <c r="F15" s="180">
        <v>0</v>
      </c>
      <c r="G15" s="180">
        <v>0</v>
      </c>
      <c r="H15" s="180">
        <v>0</v>
      </c>
      <c r="I15" s="180"/>
      <c r="J15" s="180"/>
      <c r="K15" s="180"/>
      <c r="L15" s="18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2">
        <v>4</v>
      </c>
      <c r="E16" s="162">
        <v>4</v>
      </c>
      <c r="F16" s="162">
        <v>4</v>
      </c>
      <c r="G16" s="162">
        <v>4</v>
      </c>
      <c r="H16" s="162">
        <v>4</v>
      </c>
      <c r="I16" s="162"/>
      <c r="J16" s="162"/>
      <c r="K16" s="162"/>
      <c r="L16" s="162"/>
      <c r="M16" s="161" t="s">
        <v>272</v>
      </c>
      <c r="N16" s="161">
        <v>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2">
        <v>25</v>
      </c>
      <c r="E17" s="162">
        <v>25</v>
      </c>
      <c r="F17" s="162">
        <v>25</v>
      </c>
      <c r="G17" s="162">
        <v>25</v>
      </c>
      <c r="H17" s="162">
        <v>25</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190">
        <v>2</v>
      </c>
      <c r="E18" s="190">
        <v>2</v>
      </c>
      <c r="F18" s="190">
        <v>2</v>
      </c>
      <c r="G18" s="190">
        <v>2</v>
      </c>
      <c r="H18" s="190">
        <v>2</v>
      </c>
      <c r="I18" s="190"/>
      <c r="J18" s="190"/>
      <c r="K18" s="190"/>
      <c r="L18" s="190"/>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274" t="s">
        <v>1147</v>
      </c>
      <c r="D20" s="933">
        <v>2.4</v>
      </c>
      <c r="E20" s="933">
        <v>1.92</v>
      </c>
      <c r="F20" s="933">
        <v>1.1428571428571428</v>
      </c>
      <c r="G20" s="933">
        <v>0.84905660377358494</v>
      </c>
      <c r="H20" s="933">
        <v>0.69230769230769229</v>
      </c>
      <c r="I20" s="180">
        <v>0.75</v>
      </c>
      <c r="J20" s="180">
        <v>1.25</v>
      </c>
      <c r="K20" s="180">
        <v>0.75</v>
      </c>
      <c r="L20" s="180">
        <v>1.25</v>
      </c>
      <c r="M20" s="178" t="s">
        <v>1142</v>
      </c>
      <c r="N20" s="178" t="s">
        <v>1141</v>
      </c>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197">
        <v>75</v>
      </c>
      <c r="E21" s="197">
        <v>75</v>
      </c>
      <c r="F21" s="197">
        <v>75</v>
      </c>
      <c r="G21" s="197">
        <v>75</v>
      </c>
      <c r="H21" s="197">
        <v>75</v>
      </c>
      <c r="I21" s="167"/>
      <c r="J21" s="167"/>
      <c r="K21" s="167"/>
      <c r="L21" s="167"/>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2">
        <v>25</v>
      </c>
      <c r="E22" s="162">
        <v>25</v>
      </c>
      <c r="F22" s="162">
        <v>25</v>
      </c>
      <c r="G22" s="162">
        <v>25</v>
      </c>
      <c r="H22" s="162">
        <v>25</v>
      </c>
      <c r="I22" s="162"/>
      <c r="J22" s="162"/>
      <c r="K22" s="162"/>
      <c r="L22" s="162"/>
      <c r="M22" s="161"/>
      <c r="N22" s="161"/>
    </row>
    <row r="23" spans="2:14">
      <c r="B23" t="str">
        <f>LEFT(C23,17)</f>
        <v>Fixed O&amp;M (M€ /MW</v>
      </c>
      <c r="C23" s="162" t="s">
        <v>1146</v>
      </c>
      <c r="D23" s="163">
        <v>7.1999999999999995E-2</v>
      </c>
      <c r="E23" s="162">
        <v>7.1999999999999995E-2</v>
      </c>
      <c r="F23" s="168">
        <v>6.8571428571428561E-2</v>
      </c>
      <c r="G23" s="168">
        <v>6.7924528301886791E-2</v>
      </c>
      <c r="H23" s="168">
        <v>6.9230769230769235E-2</v>
      </c>
      <c r="I23" s="162">
        <v>0.75</v>
      </c>
      <c r="J23" s="162">
        <v>1.25</v>
      </c>
      <c r="K23" s="162">
        <v>0.75</v>
      </c>
      <c r="L23" s="162">
        <v>1.25</v>
      </c>
      <c r="M23" s="161" t="s">
        <v>1138</v>
      </c>
      <c r="N23" s="161">
        <v>6</v>
      </c>
    </row>
    <row r="24" spans="2:14">
      <c r="B24" t="str">
        <f>LEFT(C24,19)</f>
        <v>Variable O&amp;M (€ /MW</v>
      </c>
      <c r="C24" s="162" t="s">
        <v>1145</v>
      </c>
      <c r="D24" s="197">
        <v>2.7</v>
      </c>
      <c r="E24" s="197">
        <v>2.7</v>
      </c>
      <c r="F24" s="197">
        <v>2.7</v>
      </c>
      <c r="G24" s="197">
        <v>2.7</v>
      </c>
      <c r="H24" s="197">
        <v>2.7</v>
      </c>
      <c r="I24" s="167">
        <v>0.75</v>
      </c>
      <c r="J24" s="167">
        <v>1.25</v>
      </c>
      <c r="K24" s="167">
        <v>0.75</v>
      </c>
      <c r="L24" s="167">
        <v>1.25</v>
      </c>
      <c r="M24" s="161" t="s">
        <v>1138</v>
      </c>
      <c r="N24" s="161">
        <v>6</v>
      </c>
    </row>
    <row r="25" spans="2:14">
      <c r="B25" t="str">
        <f>IF(IF(OR(LEFT(C25,27)=SUP_Biofuels!$N$8,LEFT(C25,20)=SUP_Biofuels!$O$8,LEFT(C25,20)=SUP_Biofuels!$P$8),LEFT(C25,20),C25)="Specific investment ","Specific investment (M€ /MW",IF(OR(LEFT(C25,27)=SUP_Biofuels!$N$8,LEFT(C25,20)=SUP_Biofuels!$O$8,LEFT(C25,20)=SUP_Biofuels!$P$8),LEFT(C25,20),C25))</f>
        <v>Start up  (M€ /1,000 t Bio Oil)</v>
      </c>
      <c r="C25" s="190" t="s">
        <v>1137</v>
      </c>
      <c r="D25" s="932" t="s">
        <v>1136</v>
      </c>
      <c r="E25" s="932">
        <v>0</v>
      </c>
      <c r="F25" s="932">
        <v>0</v>
      </c>
      <c r="G25" s="932"/>
      <c r="H25" s="932">
        <v>0</v>
      </c>
      <c r="I25" s="208"/>
      <c r="J25" s="208"/>
      <c r="K25" s="208"/>
      <c r="L25" s="208"/>
      <c r="M25" s="188"/>
      <c r="N25" s="188"/>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86" t="s">
        <v>260</v>
      </c>
      <c r="D26" s="185"/>
      <c r="E26" s="185"/>
      <c r="F26" s="185"/>
      <c r="G26" s="185"/>
      <c r="H26" s="185"/>
      <c r="I26" s="213"/>
      <c r="J26" s="213"/>
      <c r="K26" s="213"/>
      <c r="L26" s="213"/>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bio-oil)</v>
      </c>
      <c r="C27" s="180" t="s">
        <v>1144</v>
      </c>
      <c r="D27" s="180">
        <v>16</v>
      </c>
      <c r="E27" s="180">
        <v>16</v>
      </c>
      <c r="F27" s="180">
        <v>16</v>
      </c>
      <c r="G27" s="180">
        <v>16</v>
      </c>
      <c r="H27" s="180">
        <v>16</v>
      </c>
      <c r="I27" s="180"/>
      <c r="J27" s="180"/>
      <c r="K27" s="180"/>
      <c r="L27" s="180"/>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2">
        <v>1.2</v>
      </c>
      <c r="E28" s="162">
        <v>1.2</v>
      </c>
      <c r="F28" s="162">
        <v>1.2</v>
      </c>
      <c r="G28" s="162">
        <v>1.2</v>
      </c>
      <c r="H28" s="162">
        <v>1.2</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1143</v>
      </c>
      <c r="D29" s="162">
        <v>1.2</v>
      </c>
      <c r="E29" s="162">
        <v>0.96</v>
      </c>
      <c r="F29" s="162">
        <v>0.6</v>
      </c>
      <c r="G29" s="162">
        <v>0.45</v>
      </c>
      <c r="H29" s="162">
        <v>0.36</v>
      </c>
      <c r="I29" s="162">
        <v>0.75</v>
      </c>
      <c r="J29" s="162">
        <v>1.25</v>
      </c>
      <c r="K29" s="162">
        <v>0.75</v>
      </c>
      <c r="L29" s="162">
        <v>1.25</v>
      </c>
      <c r="M29" s="162" t="s">
        <v>1142</v>
      </c>
      <c r="N29" s="162" t="s">
        <v>1141</v>
      </c>
    </row>
    <row r="30" spans="2:14">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197">
        <v>75</v>
      </c>
      <c r="E30" s="197">
        <v>75</v>
      </c>
      <c r="F30" s="197">
        <v>75</v>
      </c>
      <c r="G30" s="197">
        <v>75</v>
      </c>
      <c r="H30" s="197">
        <v>75</v>
      </c>
      <c r="I30" s="167"/>
      <c r="J30" s="167"/>
      <c r="K30" s="167"/>
      <c r="L30" s="167"/>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162">
        <v>25</v>
      </c>
      <c r="E31" s="162">
        <v>25</v>
      </c>
      <c r="F31" s="162">
        <v>25</v>
      </c>
      <c r="G31" s="162">
        <v>25</v>
      </c>
      <c r="H31" s="162">
        <v>25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163">
        <v>3.5999999999999997E-2</v>
      </c>
      <c r="E32" s="162">
        <v>3.5999999999999997E-2</v>
      </c>
      <c r="F32" s="162">
        <v>3.5999999999999997E-2</v>
      </c>
      <c r="G32" s="162">
        <v>3.5999999999999997E-2</v>
      </c>
      <c r="H32" s="162">
        <v>3.5999999999999997E-2</v>
      </c>
      <c r="I32" s="162">
        <v>0.75</v>
      </c>
      <c r="J32" s="162">
        <v>1.25</v>
      </c>
      <c r="K32" s="162">
        <v>0.75</v>
      </c>
      <c r="L32" s="162">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168">
        <v>1.2E-2</v>
      </c>
      <c r="E33" s="168">
        <v>1.2E-2</v>
      </c>
      <c r="F33" s="168">
        <v>1.2E-2</v>
      </c>
      <c r="G33" s="168">
        <v>1.2E-2</v>
      </c>
      <c r="H33" s="168">
        <v>1.2E-2</v>
      </c>
      <c r="I33" s="162">
        <v>0.75</v>
      </c>
      <c r="J33" s="167">
        <v>1.25</v>
      </c>
      <c r="K33" s="167">
        <v>0.75</v>
      </c>
      <c r="L33" s="167">
        <v>1.25</v>
      </c>
      <c r="M33" s="161" t="s">
        <v>1138</v>
      </c>
      <c r="N33" s="161">
        <v>6</v>
      </c>
    </row>
    <row r="34" spans="2:14">
      <c r="C34" s="162" t="s">
        <v>1137</v>
      </c>
      <c r="D34" s="168" t="s">
        <v>1136</v>
      </c>
      <c r="E34" s="168">
        <v>0</v>
      </c>
      <c r="F34" s="168">
        <v>0</v>
      </c>
      <c r="G34" s="168">
        <v>0</v>
      </c>
      <c r="H34" s="168">
        <v>0</v>
      </c>
      <c r="I34" s="205"/>
      <c r="J34" s="205"/>
      <c r="K34" s="205"/>
      <c r="L34" s="205"/>
      <c r="M34" s="161"/>
      <c r="N34" s="161"/>
    </row>
    <row r="35" spans="2:14">
      <c r="C35" s="886" t="s">
        <v>695</v>
      </c>
    </row>
    <row r="36" spans="2:14">
      <c r="C36" s="885" t="s">
        <v>1135</v>
      </c>
    </row>
    <row r="37" spans="2:14">
      <c r="C37" s="885" t="s">
        <v>1048</v>
      </c>
    </row>
    <row r="38" spans="2:14">
      <c r="C38" s="885" t="s">
        <v>1134</v>
      </c>
    </row>
    <row r="39" spans="2:14">
      <c r="C39" s="885" t="s">
        <v>1133</v>
      </c>
    </row>
    <row r="40" spans="2:14">
      <c r="C40" s="885" t="s">
        <v>1132</v>
      </c>
    </row>
    <row r="41" spans="2:14">
      <c r="C41" s="885" t="s">
        <v>1131</v>
      </c>
    </row>
    <row r="42" spans="2:14">
      <c r="C42" s="885" t="s">
        <v>1130</v>
      </c>
    </row>
    <row r="43" spans="2:14">
      <c r="C43" s="885" t="s">
        <v>1129</v>
      </c>
    </row>
    <row r="45" spans="2:14">
      <c r="C45" s="886" t="s">
        <v>989</v>
      </c>
    </row>
    <row r="46" spans="2:14">
      <c r="C46" s="885" t="s">
        <v>1128</v>
      </c>
    </row>
    <row r="47" spans="2:14">
      <c r="C47" s="885" t="s">
        <v>1127</v>
      </c>
    </row>
    <row r="48" spans="2:14">
      <c r="C48" s="885" t="s">
        <v>1126</v>
      </c>
    </row>
    <row r="49" spans="3:3">
      <c r="C49" s="885" t="s">
        <v>1125</v>
      </c>
    </row>
    <row r="50" spans="3:3">
      <c r="C50" s="885" t="s">
        <v>1124</v>
      </c>
    </row>
    <row r="51" spans="3:3">
      <c r="C51" s="885" t="s">
        <v>1123</v>
      </c>
    </row>
    <row r="52" spans="3:3">
      <c r="C52" s="885" t="s">
        <v>1122</v>
      </c>
    </row>
    <row r="53" spans="3:3">
      <c r="C53" s="885" t="s">
        <v>1121</v>
      </c>
    </row>
    <row r="54" spans="3:3">
      <c r="C54" s="885" t="s">
        <v>1120</v>
      </c>
    </row>
    <row r="55" spans="3:3">
      <c r="C55" s="885" t="s">
        <v>1119</v>
      </c>
    </row>
    <row r="56" spans="3:3">
      <c r="C56" s="885" t="s">
        <v>1118</v>
      </c>
    </row>
    <row r="57" spans="3:3">
      <c r="C57" s="885" t="s">
        <v>1117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884" t="s">
        <v>966</v>
      </c>
    </row>
    <row r="2" spans="2:14" ht="15" customHeight="1">
      <c r="C2" s="260" t="s">
        <v>296</v>
      </c>
      <c r="D2" s="260" t="s">
        <v>1178</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tonnes/year</v>
      </c>
      <c r="C6" s="180" t="s">
        <v>1177</v>
      </c>
      <c r="D6" s="180">
        <v>60</v>
      </c>
      <c r="E6" s="180">
        <v>60</v>
      </c>
      <c r="F6" s="180">
        <v>150</v>
      </c>
      <c r="G6" s="180">
        <v>175</v>
      </c>
      <c r="H6" s="180">
        <v>200</v>
      </c>
      <c r="I6" s="179">
        <v>0.5</v>
      </c>
      <c r="J6" s="179">
        <v>1.5</v>
      </c>
      <c r="K6" s="179">
        <v>0.5</v>
      </c>
      <c r="L6" s="179">
        <v>1.5</v>
      </c>
      <c r="M6" s="178" t="s">
        <v>280</v>
      </c>
      <c r="N6" s="178">
        <v>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55</v>
      </c>
      <c r="E7" s="190">
        <v>55</v>
      </c>
      <c r="F7" s="190">
        <v>130</v>
      </c>
      <c r="G7" s="190">
        <v>155</v>
      </c>
      <c r="H7" s="190">
        <v>180</v>
      </c>
      <c r="I7" s="189">
        <v>0.5</v>
      </c>
      <c r="J7" s="189">
        <v>1.5</v>
      </c>
      <c r="K7" s="189">
        <v>0.5</v>
      </c>
      <c r="L7" s="189">
        <v>1.5</v>
      </c>
      <c r="M7" s="188" t="s">
        <v>277</v>
      </c>
      <c r="N7" s="188">
        <v>9</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40">
        <v>1</v>
      </c>
      <c r="E9" s="940">
        <v>1</v>
      </c>
      <c r="F9" s="940">
        <v>1</v>
      </c>
      <c r="G9" s="940">
        <v>1</v>
      </c>
      <c r="H9" s="940">
        <v>1</v>
      </c>
      <c r="I9" s="939">
        <v>0.9</v>
      </c>
      <c r="J9" s="939">
        <v>1.5</v>
      </c>
      <c r="K9" s="939">
        <v>0.9</v>
      </c>
      <c r="L9" s="939">
        <v>1.5</v>
      </c>
      <c r="M9" s="270" t="s">
        <v>272</v>
      </c>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Ethanol Output, MWh/MWh Total Input</v>
      </c>
      <c r="C11" s="180" t="s">
        <v>113</v>
      </c>
      <c r="D11" s="180">
        <v>0.28999999999999998</v>
      </c>
      <c r="E11" s="180">
        <v>0.28999999999999998</v>
      </c>
      <c r="F11" s="180">
        <v>0.37</v>
      </c>
      <c r="G11" s="180">
        <v>0.39</v>
      </c>
      <c r="H11" s="201">
        <v>0.4</v>
      </c>
      <c r="I11" s="206">
        <v>0.8</v>
      </c>
      <c r="J11" s="206">
        <v>1.2</v>
      </c>
      <c r="K11" s="206">
        <v>0.8</v>
      </c>
      <c r="L11" s="206">
        <v>1.2</v>
      </c>
      <c r="M11" s="178" t="s">
        <v>272</v>
      </c>
      <c r="N11" s="178">
        <v>1</v>
      </c>
    </row>
    <row r="12" spans="2:14">
      <c r="B12" t="str">
        <f>IF(IF(OR(LEFT(C12,27)=SUP_Biofuels!$N$8,LEFT(C12,20)=SUP_Biofuels!$O$8,LEFT(C12,20)=SUP_Biofuels!$P$8),LEFT(C12,20),C12)="Specific investment ","Specific investment (M€ /MW",IF(OR(LEFT(C12,27)=SUP_Biofuels!$N$8,LEFT(C12,20)=SUP_Biofuels!$O$8,LEFT(C12,20)=SUP_Biofuels!$P$8),LEFT(C12,20),C12))</f>
        <v>Electiricity Output, MWh/MWh Total Input</v>
      </c>
      <c r="C12" s="190" t="s">
        <v>114</v>
      </c>
      <c r="D12" s="190">
        <v>0.04</v>
      </c>
      <c r="E12" s="190">
        <v>0.04</v>
      </c>
      <c r="F12" s="190">
        <v>0.05</v>
      </c>
      <c r="G12" s="190">
        <v>0.05</v>
      </c>
      <c r="H12" s="190">
        <v>0.06</v>
      </c>
      <c r="I12" s="208">
        <v>0.8</v>
      </c>
      <c r="J12" s="208">
        <v>1.2</v>
      </c>
      <c r="K12" s="208">
        <v>0.8</v>
      </c>
      <c r="L12" s="208">
        <v>1.2</v>
      </c>
      <c r="M12" s="188" t="s">
        <v>272</v>
      </c>
      <c r="N12" s="188">
        <v>1</v>
      </c>
    </row>
    <row r="13" spans="2:14">
      <c r="B13">
        <f>IF(IF(OR(LEFT(C13,27)=SUP_Biofuels!$N$8,LEFT(C13,20)=SUP_Biofuels!$O$8,LEFT(C13,20)=SUP_Biofuels!$P$8),LEFT(C13,20),C13)="Specific investment ","Specific investment (M€ /MW",IF(OR(LEFT(C13,27)=SUP_Biofuels!$N$8,LEFT(C13,20)=SUP_Biofuels!$O$8,LEFT(C13,20)=SUP_Biofuels!$P$8),LEFT(C13,20),C13))</f>
        <v>0</v>
      </c>
      <c r="C13" s="207"/>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Forced outage (%)</v>
      </c>
      <c r="C14" s="180" t="s">
        <v>59</v>
      </c>
      <c r="D14" s="180">
        <v>4</v>
      </c>
      <c r="E14" s="180">
        <v>4</v>
      </c>
      <c r="F14" s="180">
        <v>2</v>
      </c>
      <c r="G14" s="180">
        <v>0</v>
      </c>
      <c r="H14" s="180">
        <v>0</v>
      </c>
      <c r="I14" s="206"/>
      <c r="J14" s="206"/>
      <c r="K14" s="206"/>
      <c r="L14" s="206"/>
      <c r="M14" s="178"/>
      <c r="N14" s="178"/>
    </row>
    <row r="15" spans="2:14">
      <c r="B15" t="str">
        <f>IF(IF(OR(LEFT(C15,27)=SUP_Biofuels!$N$8,LEFT(C15,20)=SUP_Biofuels!$O$8,LEFT(C15,20)=SUP_Biofuels!$P$8),LEFT(C15,20),C15)="Specific investment ","Specific investment (M€ /MW",IF(OR(LEFT(C15,27)=SUP_Biofuels!$N$8,LEFT(C15,20)=SUP_Biofuels!$O$8,LEFT(C15,20)=SUP_Biofuels!$P$8),LEFT(C15,20),C15))</f>
        <v>Planned outage (weeks per year)</v>
      </c>
      <c r="C15" s="162" t="s">
        <v>92</v>
      </c>
      <c r="D15" s="162">
        <v>2</v>
      </c>
      <c r="E15" s="162">
        <v>2</v>
      </c>
      <c r="F15" s="162">
        <v>2</v>
      </c>
      <c r="G15" s="162">
        <v>2</v>
      </c>
      <c r="H15" s="162">
        <v>2</v>
      </c>
      <c r="I15" s="205"/>
      <c r="J15" s="205"/>
      <c r="K15" s="205"/>
      <c r="L15" s="205"/>
      <c r="M15" s="161"/>
      <c r="N15" s="161"/>
    </row>
    <row r="16" spans="2:14">
      <c r="B16" t="str">
        <f>IF(IF(OR(LEFT(C16,27)=SUP_Biofuels!$N$8,LEFT(C16,20)=SUP_Biofuels!$O$8,LEFT(C16,20)=SUP_Biofuels!$P$8),LEFT(C16,20),C16)="Specific investment ","Specific investment (M€ /MW",IF(OR(LEFT(C16,27)=SUP_Biofuels!$N$8,LEFT(C16,20)=SUP_Biofuels!$O$8,LEFT(C16,20)=SUP_Biofuels!$P$8),LEFT(C16,20),C16))</f>
        <v>Technical lifetime (years)</v>
      </c>
      <c r="C16" s="162" t="s">
        <v>58</v>
      </c>
      <c r="D16" s="162">
        <v>25</v>
      </c>
      <c r="E16" s="162">
        <v>25</v>
      </c>
      <c r="F16" s="162">
        <v>25</v>
      </c>
      <c r="G16" s="162">
        <v>25</v>
      </c>
      <c r="H16" s="162">
        <v>25</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Construction time (years)</v>
      </c>
      <c r="C17" s="190" t="s">
        <v>60</v>
      </c>
      <c r="D17" s="190">
        <v>2</v>
      </c>
      <c r="E17" s="190">
        <v>2</v>
      </c>
      <c r="F17" s="190">
        <v>2</v>
      </c>
      <c r="G17" s="190">
        <v>2</v>
      </c>
      <c r="H17" s="190">
        <v>2</v>
      </c>
      <c r="I17" s="190"/>
      <c r="J17" s="190"/>
      <c r="K17" s="190"/>
      <c r="L17" s="190"/>
      <c r="M17" s="188"/>
      <c r="N17" s="188"/>
    </row>
    <row r="18" spans="2:14">
      <c r="B18" t="str">
        <f>IF(IF(OR(LEFT(C18,27)=SUP_Biofuels!$N$8,LEFT(C18,20)=SUP_Biofuels!$O$8,LEFT(C18,20)=SUP_Biofuels!$P$8),LEFT(C18,20),C18)="Specific investment ","Specific investment (M€ /MW",IF(OR(LEFT(C18,27)=SUP_Biofuels!$N$8,LEFT(C18,20)=SUP_Biofuels!$O$8,LEFT(C18,20)=SUP_Biofuels!$P$8),LEFT(C18,20),C18))</f>
        <v xml:space="preserve">Financial data                                 </v>
      </c>
      <c r="C18" s="186" t="s">
        <v>264</v>
      </c>
      <c r="D18" s="185"/>
      <c r="E18" s="185"/>
      <c r="F18" s="185"/>
      <c r="G18" s="185"/>
      <c r="H18" s="185"/>
      <c r="I18" s="185"/>
      <c r="J18" s="185"/>
      <c r="K18" s="185"/>
      <c r="L18" s="185"/>
      <c r="M18" s="183"/>
      <c r="N18" s="225"/>
    </row>
    <row r="19" spans="2:14">
      <c r="B19" t="str">
        <f>IF(IF(OR(LEFT(C19,27)=SUP_Biofuels!$N$8,LEFT(C19,20)=SUP_Biofuels!$O$8,LEFT(C19,20)=SUP_Biofuels!$P$8),LEFT(C19,20),C19)="Specific investment ","Specific investment (M€ /MW",IF(OR(LEFT(C19,27)=SUP_Biofuels!$N$8,LEFT(C19,20)=SUP_Biofuels!$O$8,LEFT(C19,20)=SUP_Biofuels!$P$8),LEFT(C19,20),C19))</f>
        <v>Specific investment (M€ /MW</v>
      </c>
      <c r="C19" s="180" t="s">
        <v>1111</v>
      </c>
      <c r="D19" s="201">
        <v>5.6919219014512894</v>
      </c>
      <c r="E19" s="201">
        <v>5.6919219014512894</v>
      </c>
      <c r="F19" s="201">
        <v>2.561364855653081</v>
      </c>
      <c r="G19" s="201">
        <v>2.2483091510732596</v>
      </c>
      <c r="H19" s="201">
        <v>2.1344707130442337</v>
      </c>
      <c r="I19" s="179">
        <v>0.75</v>
      </c>
      <c r="J19" s="179">
        <v>1.5</v>
      </c>
      <c r="K19" s="179">
        <v>0.75</v>
      </c>
      <c r="L19" s="179">
        <v>1.5</v>
      </c>
      <c r="M19" s="178" t="s">
        <v>1142</v>
      </c>
      <c r="N19" s="178" t="s">
        <v>1174</v>
      </c>
    </row>
    <row r="20" spans="2:14">
      <c r="B20" t="str">
        <f>IF(IF(OR(LEFT(C20,27)=SUP_Biofuels!$N$8,LEFT(C20,20)=SUP_Biofuels!$O$8,LEFT(C20,20)=SUP_Biofuels!$P$8),LEFT(C20,20),C20)="Specific investment ","Specific investment (M€ /MW",IF(OR(LEFT(C20,27)=SUP_Biofuels!$N$8,LEFT(C20,20)=SUP_Biofuels!$O$8,LEFT(C20,20)=SUP_Biofuels!$P$8),LEFT(C20,20),C20))</f>
        <v xml:space="preserve"> - equipment (%)</v>
      </c>
      <c r="C20" s="162" t="s">
        <v>394</v>
      </c>
      <c r="D20" s="938">
        <v>75</v>
      </c>
      <c r="E20" s="938">
        <v>75</v>
      </c>
      <c r="F20" s="938">
        <v>75</v>
      </c>
      <c r="G20" s="938">
        <v>75</v>
      </c>
      <c r="H20" s="938">
        <v>75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 -installation (%)</v>
      </c>
      <c r="C21" s="162" t="s">
        <v>251</v>
      </c>
      <c r="D21" s="937">
        <v>25</v>
      </c>
      <c r="E21" s="937">
        <v>25</v>
      </c>
      <c r="F21" s="937">
        <v>25</v>
      </c>
      <c r="G21" s="937">
        <v>25</v>
      </c>
      <c r="H21" s="937">
        <v>25</v>
      </c>
      <c r="I21" s="162"/>
      <c r="J21" s="162"/>
      <c r="K21" s="162"/>
      <c r="L21" s="162"/>
      <c r="M21" s="161"/>
      <c r="N21" s="161"/>
    </row>
    <row r="22" spans="2:14">
      <c r="B22" t="str">
        <f>LEFT(C22,17)</f>
        <v>Fixed O&amp;M (M€ /MW</v>
      </c>
      <c r="C22" s="162" t="s">
        <v>1176</v>
      </c>
      <c r="D22" s="168">
        <v>0.1138384380290258</v>
      </c>
      <c r="E22" s="168">
        <v>0.1138384380290258</v>
      </c>
      <c r="F22" s="168">
        <v>5.6919219014512905E-2</v>
      </c>
      <c r="G22" s="168">
        <v>5.7331883352368107E-2</v>
      </c>
      <c r="H22" s="168">
        <v>5.6919219014512905E-2</v>
      </c>
      <c r="I22" s="167">
        <v>0.95</v>
      </c>
      <c r="J22" s="167">
        <v>2</v>
      </c>
      <c r="K22" s="167">
        <v>0.95</v>
      </c>
      <c r="L22" s="167">
        <v>2</v>
      </c>
      <c r="M22" s="161" t="s">
        <v>1138</v>
      </c>
      <c r="N22" s="161">
        <v>1</v>
      </c>
    </row>
    <row r="23" spans="2:14">
      <c r="B23" t="str">
        <f>LEFT(C23,19)</f>
        <v>Variable O&amp;M (€ /MW</v>
      </c>
      <c r="C23" s="162" t="s">
        <v>1175</v>
      </c>
      <c r="D23" s="176">
        <v>27.104390006910904</v>
      </c>
      <c r="E23" s="176">
        <v>27.104390006910904</v>
      </c>
      <c r="F23" s="176">
        <v>13.552195003455452</v>
      </c>
      <c r="G23" s="176">
        <v>13.38279256591226</v>
      </c>
      <c r="H23" s="176">
        <v>13.552195003455454</v>
      </c>
      <c r="I23" s="167">
        <v>0.95</v>
      </c>
      <c r="J23" s="167">
        <v>2</v>
      </c>
      <c r="K23" s="167">
        <v>0.95</v>
      </c>
      <c r="L23" s="167">
        <v>2</v>
      </c>
      <c r="M23" s="161" t="s">
        <v>1138</v>
      </c>
      <c r="N23" s="161">
        <v>1</v>
      </c>
    </row>
    <row r="24" spans="2:14">
      <c r="B24" t="str">
        <f>IF(IF(OR(LEFT(C24,27)=SUP_Biofuels!$N$8,LEFT(C24,20)=SUP_Biofuels!$O$8,LEFT(C24,20)=SUP_Biofuels!$P$8),LEFT(C24,20),C24)="Specific investment ","Specific investment (M€ /MW",IF(OR(LEFT(C24,27)=SUP_Biofuels!$N$8,LEFT(C24,20)=SUP_Biofuels!$O$8,LEFT(C24,20)=SUP_Biofuels!$P$8),LEFT(C24,20),C24))</f>
        <v>Start-up (M€ /1,000 t Ethanol)</v>
      </c>
      <c r="C24" s="190" t="s">
        <v>1105</v>
      </c>
      <c r="D24" s="192">
        <v>0</v>
      </c>
      <c r="E24" s="190">
        <v>0</v>
      </c>
      <c r="F24" s="190">
        <v>0</v>
      </c>
      <c r="G24" s="190"/>
      <c r="H24" s="190">
        <v>0</v>
      </c>
      <c r="I24" s="190"/>
      <c r="J24" s="190"/>
      <c r="K24" s="190"/>
      <c r="L24" s="190"/>
      <c r="M24" s="188" t="s">
        <v>266</v>
      </c>
      <c r="N24" s="188"/>
    </row>
    <row r="25" spans="2:14">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186" t="s">
        <v>260</v>
      </c>
      <c r="D25" s="185"/>
      <c r="E25" s="185"/>
      <c r="F25" s="185"/>
      <c r="G25" s="185"/>
      <c r="H25" s="185"/>
      <c r="I25" s="213"/>
      <c r="J25" s="213"/>
      <c r="K25" s="213"/>
      <c r="L25" s="213"/>
      <c r="M25" s="183"/>
      <c r="N25" s="225"/>
    </row>
    <row r="26" spans="2:14">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180" t="s">
        <v>1057</v>
      </c>
      <c r="D26" s="180">
        <v>26.9</v>
      </c>
      <c r="E26" s="180">
        <v>26.9</v>
      </c>
      <c r="F26" s="180">
        <v>26.9</v>
      </c>
      <c r="G26" s="180">
        <v>26.9</v>
      </c>
      <c r="H26" s="180">
        <v>26.9</v>
      </c>
      <c r="I26" s="180"/>
      <c r="J26" s="180"/>
      <c r="K26" s="180"/>
      <c r="L26" s="180"/>
      <c r="M26" s="180"/>
      <c r="N26" s="180"/>
    </row>
    <row r="27" spans="2:14">
      <c r="B27" t="str">
        <f>IF(IF(OR(LEFT(C27,27)=SUP_Biofuels!$N$8,LEFT(C27,20)=SUP_Biofuels!$O$8,LEFT(C27,20)=SUP_Biofuels!$P$8),LEFT(C27,20),C27)="Specific investment ","Specific investment (M€ /MW",IF(OR(LEFT(C27,27)=SUP_Biofuels!$N$8,LEFT(C27,20)=SUP_Biofuels!$O$8,LEFT(C27,20)=SUP_Biofuels!$P$8),LEFT(C27,20),C27))</f>
        <v>Specific density  (kg/l) or (ton/m3)</v>
      </c>
      <c r="C27" s="162" t="s">
        <v>257</v>
      </c>
      <c r="D27" s="162">
        <v>0.79</v>
      </c>
      <c r="E27" s="162">
        <v>0.79</v>
      </c>
      <c r="F27" s="162">
        <v>0.79</v>
      </c>
      <c r="G27" s="162">
        <v>0.79</v>
      </c>
      <c r="H27" s="162">
        <v>0.79</v>
      </c>
      <c r="I27" s="162"/>
      <c r="J27" s="162"/>
      <c r="K27" s="162"/>
      <c r="L27" s="162"/>
      <c r="M27" s="162"/>
      <c r="N27" s="162"/>
    </row>
    <row r="28" spans="2:14">
      <c r="B28" t="str">
        <f>IF(IF(OR(LEFT(C28,27)=SUP_Biofuels!$N$8,LEFT(C28,20)=SUP_Biofuels!$O$8,LEFT(C28,20)=SUP_Biofuels!$P$8),LEFT(C28,20),C28)="Specific investment ","Specific investment (M€ /MW",IF(OR(LEFT(C28,27)=SUP_Biofuels!$N$8,LEFT(C28,20)=SUP_Biofuels!$O$8,LEFT(C28,20)=SUP_Biofuels!$P$8),LEFT(C28,20),C28))</f>
        <v>Specific investment (M€ /1,000 t Ethanol)</v>
      </c>
      <c r="C28" s="162" t="s">
        <v>1110</v>
      </c>
      <c r="D28" s="197">
        <v>5.0632911392405058</v>
      </c>
      <c r="E28" s="197">
        <v>5.0632911392405058</v>
      </c>
      <c r="F28" s="197">
        <v>2.278481012658228</v>
      </c>
      <c r="G28" s="197">
        <v>2</v>
      </c>
      <c r="H28" s="197">
        <v>1.8987341772151898</v>
      </c>
      <c r="I28" s="167">
        <v>0.75</v>
      </c>
      <c r="J28" s="167">
        <v>1.5</v>
      </c>
      <c r="K28" s="167">
        <v>0.75</v>
      </c>
      <c r="L28" s="167">
        <v>1.5</v>
      </c>
      <c r="M28" s="161" t="s">
        <v>1142</v>
      </c>
      <c r="N28" s="161" t="s">
        <v>1174</v>
      </c>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62" t="s">
        <v>394</v>
      </c>
      <c r="D29" s="938">
        <v>75</v>
      </c>
      <c r="E29" s="938">
        <v>75</v>
      </c>
      <c r="F29" s="938">
        <v>75</v>
      </c>
      <c r="G29" s="938">
        <v>75</v>
      </c>
      <c r="H29" s="938">
        <v>75</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62" t="s">
        <v>251</v>
      </c>
      <c r="D30" s="937">
        <v>25</v>
      </c>
      <c r="E30" s="937">
        <v>25</v>
      </c>
      <c r="F30" s="937">
        <v>25</v>
      </c>
      <c r="G30" s="937">
        <v>25</v>
      </c>
      <c r="H30" s="937">
        <v>25</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Fixed O&amp;M (M€ /1,000 t Ethanol)</v>
      </c>
      <c r="C31" s="162" t="s">
        <v>1108</v>
      </c>
      <c r="D31" s="168">
        <v>0.10126582278481013</v>
      </c>
      <c r="E31" s="168">
        <v>0.10126582278481013</v>
      </c>
      <c r="F31" s="168">
        <v>5.0632911392405063E-2</v>
      </c>
      <c r="G31" s="168">
        <v>5.0999999999999997E-2</v>
      </c>
      <c r="H31" s="168">
        <v>5.0632911392405063E-2</v>
      </c>
      <c r="I31" s="167">
        <v>0.95</v>
      </c>
      <c r="J31" s="167">
        <v>2</v>
      </c>
      <c r="K31" s="167">
        <v>0.95</v>
      </c>
      <c r="L31" s="167">
        <v>2</v>
      </c>
      <c r="M31" s="161" t="s">
        <v>1138</v>
      </c>
      <c r="N31" s="161">
        <v>1</v>
      </c>
    </row>
    <row r="32" spans="2:14">
      <c r="B32" t="str">
        <f>IF(IF(OR(LEFT(C32,27)=SUP_Biofuels!$N$8,LEFT(C32,20)=SUP_Biofuels!$O$8,LEFT(C32,20)=SUP_Biofuels!$P$8),LEFT(C32,20),C32)="Specific investment ","Specific investment (M€ /MW",IF(OR(LEFT(C32,27)=SUP_Biofuels!$N$8,LEFT(C32,20)=SUP_Biofuels!$O$8,LEFT(C32,20)=SUP_Biofuels!$P$8),LEFT(C32,20),C32))</f>
        <v>Variable O&amp;M (M€ /1,000 t Ethanol)</v>
      </c>
      <c r="C32" s="162" t="s">
        <v>1107</v>
      </c>
      <c r="D32" s="168">
        <v>0.20253164556962025</v>
      </c>
      <c r="E32" s="168">
        <v>0.20253164556962025</v>
      </c>
      <c r="F32" s="168">
        <v>0.10126582278481013</v>
      </c>
      <c r="G32" s="168">
        <v>0.1</v>
      </c>
      <c r="H32" s="168">
        <v>0.10126582278481013</v>
      </c>
      <c r="I32" s="167">
        <v>0.95</v>
      </c>
      <c r="J32" s="167">
        <v>2</v>
      </c>
      <c r="K32" s="167">
        <v>0.95</v>
      </c>
      <c r="L32" s="167">
        <v>2</v>
      </c>
      <c r="M32" s="161" t="s">
        <v>1138</v>
      </c>
      <c r="N32" s="161">
        <v>1</v>
      </c>
    </row>
    <row r="33" spans="2:14">
      <c r="B33" t="str">
        <f>IF(IF(OR(LEFT(C33,27)=SUP_Biofuels!$N$8,LEFT(C33,20)=SUP_Biofuels!$O$8,LEFT(C33,20)=SUP_Biofuels!$P$8),LEFT(C33,20),C33)="Specific investment ","Specific investment (M€ /MW",IF(OR(LEFT(C33,27)=SUP_Biofuels!$N$8,LEFT(C33,20)=SUP_Biofuels!$O$8,LEFT(C33,20)=SUP_Biofuels!$P$8),LEFT(C33,20),C33))</f>
        <v>Start-up (M€ /1,000 t Ethanol)</v>
      </c>
      <c r="C33" s="162" t="s">
        <v>1105</v>
      </c>
      <c r="D33" s="163">
        <v>0</v>
      </c>
      <c r="E33" s="162">
        <v>0</v>
      </c>
      <c r="F33" s="162">
        <v>0</v>
      </c>
      <c r="G33" s="162">
        <v>0</v>
      </c>
      <c r="H33" s="162">
        <v>0</v>
      </c>
      <c r="I33" s="162"/>
      <c r="J33" s="162"/>
      <c r="K33" s="162"/>
      <c r="L33" s="162"/>
      <c r="M33" s="161" t="s">
        <v>266</v>
      </c>
      <c r="N33" s="161"/>
    </row>
    <row r="35" spans="2:14">
      <c r="C35" s="886" t="s">
        <v>695</v>
      </c>
    </row>
    <row r="36" spans="2:14">
      <c r="C36" s="885" t="s">
        <v>1173</v>
      </c>
    </row>
    <row r="37" spans="2:14">
      <c r="C37" s="885" t="s">
        <v>1048</v>
      </c>
    </row>
    <row r="38" spans="2:14">
      <c r="C38" s="885" t="s">
        <v>1047</v>
      </c>
    </row>
    <row r="39" spans="2:14">
      <c r="C39" s="885" t="s">
        <v>1172</v>
      </c>
    </row>
    <row r="40" spans="2:14">
      <c r="C40" s="885" t="s">
        <v>1171</v>
      </c>
    </row>
    <row r="41" spans="2:14">
      <c r="C41" s="885" t="s">
        <v>1170</v>
      </c>
    </row>
    <row r="42" spans="2:14">
      <c r="C42" s="885" t="s">
        <v>1169</v>
      </c>
    </row>
    <row r="43" spans="2:14">
      <c r="C43" s="885" t="s">
        <v>1129</v>
      </c>
    </row>
    <row r="45" spans="2:14">
      <c r="C45" s="886" t="s">
        <v>989</v>
      </c>
    </row>
    <row r="46" spans="2:14">
      <c r="C46" s="885" t="s">
        <v>1168</v>
      </c>
    </row>
    <row r="47" spans="2:14">
      <c r="C47" s="885" t="s">
        <v>1167</v>
      </c>
    </row>
    <row r="48" spans="2:14">
      <c r="C48" s="885" t="s">
        <v>1166</v>
      </c>
    </row>
    <row r="49" spans="3:3">
      <c r="C49" s="885" t="s">
        <v>1165</v>
      </c>
    </row>
    <row r="50" spans="3:3">
      <c r="C50" s="885" t="s">
        <v>1164</v>
      </c>
    </row>
    <row r="51" spans="3:3">
      <c r="C51" s="885" t="s">
        <v>1163</v>
      </c>
    </row>
    <row r="52" spans="3:3">
      <c r="C52" s="885" t="s">
        <v>1162</v>
      </c>
    </row>
    <row r="53" spans="3:3">
      <c r="C53" s="885" t="s">
        <v>1161</v>
      </c>
    </row>
    <row r="54" spans="3:3">
      <c r="C54" s="885" t="s">
        <v>1160</v>
      </c>
    </row>
    <row r="55" spans="3:3">
      <c r="C55" s="885" t="s">
        <v>1159</v>
      </c>
    </row>
    <row r="56" spans="3:3">
      <c r="C56" s="885" t="s">
        <v>1158</v>
      </c>
    </row>
    <row r="57" spans="3:3">
      <c r="C57" s="885" t="s">
        <v>1157</v>
      </c>
    </row>
    <row r="58" spans="3:3">
      <c r="C58" s="885" t="s">
        <v>1156</v>
      </c>
    </row>
    <row r="59" spans="3:3">
      <c r="C59" s="885" t="s">
        <v>1155</v>
      </c>
    </row>
    <row r="60" spans="3:3">
      <c r="C60" s="885" t="s">
        <v>1154</v>
      </c>
    </row>
    <row r="61" spans="3:3">
      <c r="C61" s="885" t="s">
        <v>1153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884" t="s">
        <v>966</v>
      </c>
    </row>
    <row r="2" spans="2:14" ht="15" customHeight="1">
      <c r="C2" s="260" t="s">
        <v>296</v>
      </c>
      <c r="D2" s="260" t="s">
        <v>664</v>
      </c>
      <c r="E2" s="260"/>
      <c r="F2" s="260"/>
      <c r="G2" s="260"/>
      <c r="H2" s="260"/>
      <c r="I2" s="260"/>
      <c r="J2" s="260"/>
      <c r="K2" s="260"/>
      <c r="L2" s="260"/>
      <c r="M2" s="260"/>
      <c r="N2" s="260"/>
    </row>
    <row r="3" spans="2:14" ht="15" customHeight="1">
      <c r="C3" s="190"/>
      <c r="D3" s="163">
        <v>2015</v>
      </c>
      <c r="E3" s="163">
        <v>2020</v>
      </c>
      <c r="F3" s="163">
        <v>2030</v>
      </c>
      <c r="G3" s="163">
        <v>2040</v>
      </c>
      <c r="H3" s="163">
        <v>2050</v>
      </c>
      <c r="I3" s="1398" t="s">
        <v>290</v>
      </c>
      <c r="J3" s="1398"/>
      <c r="K3" s="1398" t="s">
        <v>289</v>
      </c>
      <c r="L3" s="1398"/>
      <c r="M3" s="161" t="s">
        <v>288</v>
      </c>
      <c r="N3" s="161" t="s">
        <v>287</v>
      </c>
    </row>
    <row r="4" spans="2:14">
      <c r="C4" s="162"/>
      <c r="D4" s="955"/>
      <c r="E4" s="192"/>
      <c r="F4" s="192"/>
      <c r="G4" s="192"/>
      <c r="H4" s="192"/>
      <c r="I4" s="192" t="s">
        <v>284</v>
      </c>
      <c r="J4" s="192" t="s">
        <v>283</v>
      </c>
      <c r="K4" s="192" t="s">
        <v>284</v>
      </c>
      <c r="L4" s="192" t="s">
        <v>283</v>
      </c>
      <c r="M4" s="188"/>
      <c r="N4" s="188"/>
    </row>
    <row r="5" spans="2:14">
      <c r="C5" s="186" t="s">
        <v>282</v>
      </c>
      <c r="D5" s="934"/>
      <c r="E5" s="934"/>
      <c r="F5" s="934"/>
      <c r="G5" s="934"/>
      <c r="H5" s="934"/>
      <c r="I5" s="934"/>
      <c r="J5" s="934"/>
      <c r="K5" s="934"/>
      <c r="L5" s="934"/>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943">
        <v>100</v>
      </c>
      <c r="E6" s="943">
        <v>100</v>
      </c>
      <c r="F6" s="943">
        <v>200</v>
      </c>
      <c r="G6" s="943">
        <v>250</v>
      </c>
      <c r="H6" s="943">
        <v>300</v>
      </c>
      <c r="I6" s="942">
        <v>0.5</v>
      </c>
      <c r="J6" s="942">
        <v>2</v>
      </c>
      <c r="K6" s="942">
        <v>0.5</v>
      </c>
      <c r="L6" s="942">
        <v>1.25</v>
      </c>
      <c r="M6" s="178" t="s">
        <v>280</v>
      </c>
      <c r="N6" s="178" t="s">
        <v>661</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2">
        <v>65</v>
      </c>
      <c r="E7" s="192">
        <v>65</v>
      </c>
      <c r="F7" s="192">
        <v>130</v>
      </c>
      <c r="G7" s="192">
        <v>165</v>
      </c>
      <c r="H7" s="192">
        <v>195</v>
      </c>
      <c r="I7" s="945">
        <v>0.5</v>
      </c>
      <c r="J7" s="945">
        <v>2</v>
      </c>
      <c r="K7" s="945">
        <v>0.5</v>
      </c>
      <c r="L7" s="945">
        <v>1.25</v>
      </c>
      <c r="M7" s="188" t="s">
        <v>277</v>
      </c>
      <c r="N7" s="188" t="s">
        <v>661</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c r="H8" s="934"/>
      <c r="I8" s="934"/>
      <c r="J8" s="934"/>
      <c r="K8" s="934"/>
      <c r="L8" s="93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54">
        <v>1</v>
      </c>
      <c r="E9" s="954">
        <v>1</v>
      </c>
      <c r="F9" s="954">
        <v>1</v>
      </c>
      <c r="G9" s="954">
        <v>1</v>
      </c>
      <c r="H9" s="954">
        <v>1</v>
      </c>
      <c r="I9" s="953">
        <v>0.9</v>
      </c>
      <c r="J9" s="953">
        <v>1.5</v>
      </c>
      <c r="K9" s="953">
        <v>0.9</v>
      </c>
      <c r="L9" s="953">
        <v>1.2</v>
      </c>
      <c r="M9" s="270"/>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934"/>
      <c r="E10" s="934"/>
      <c r="F10" s="934"/>
      <c r="G10" s="934"/>
      <c r="H10" s="934"/>
      <c r="I10" s="951"/>
      <c r="J10" s="951"/>
      <c r="K10" s="951"/>
      <c r="L10" s="951"/>
      <c r="M10" s="183"/>
      <c r="N10" s="225"/>
    </row>
    <row r="11" spans="2:14">
      <c r="B11" t="str">
        <f>IF(IF(OR(LEFT(C11,27)=SUP_Biofuels!$N$8,LEFT(C11,20)=SUP_Biofuels!$O$8,LEFT(C11,20)=SUP_Biofuels!$P$8),LEFT(C11,20),C11)="Specific investment ","Specific investment (M€ /MW",IF(OR(LEFT(C11,27)=SUP_Biofuels!$N$8,LEFT(C11,20)=SUP_Biofuels!$O$8,LEFT(C11,20)=SUP_Biofuels!$P$8),LEFT(C11,20),C11))</f>
        <v>Methanol Output, MWh/MWh Total Input</v>
      </c>
      <c r="C11" s="180" t="s">
        <v>1201</v>
      </c>
      <c r="D11" s="943">
        <v>0.57999999999999996</v>
      </c>
      <c r="E11" s="943">
        <v>0.57999999999999996</v>
      </c>
      <c r="F11" s="943">
        <v>0.61</v>
      </c>
      <c r="G11" s="943">
        <v>0.63</v>
      </c>
      <c r="H11" s="943">
        <v>0.65</v>
      </c>
      <c r="I11" s="950">
        <v>1</v>
      </c>
      <c r="J11" s="950">
        <v>1.33</v>
      </c>
      <c r="K11" s="950">
        <v>1</v>
      </c>
      <c r="L11" s="950">
        <v>1.33</v>
      </c>
      <c r="M11" s="180" t="s">
        <v>269</v>
      </c>
      <c r="N11" s="178">
        <v>1</v>
      </c>
    </row>
    <row r="12" spans="2:14">
      <c r="B12" t="str">
        <f>IF(IF(OR(LEFT(C12,27)=SUP_Biofuels!$N$8,LEFT(C12,20)=SUP_Biofuels!$O$8,LEFT(C12,20)=SUP_Biofuels!$P$8),LEFT(C12,20),C12)="Specific investment ","Specific investment (M€ /MW",IF(OR(LEFT(C12,27)=SUP_Biofuels!$N$8,LEFT(C12,20)=SUP_Biofuels!$O$8,LEFT(C12,20)=SUP_Biofuels!$P$8),LEFT(C12,20),C12))</f>
        <v>District heat  Output, MWh/MWh Total Input</v>
      </c>
      <c r="C12" s="162" t="s">
        <v>1200</v>
      </c>
      <c r="D12" s="163">
        <v>0.22</v>
      </c>
      <c r="E12" s="163">
        <v>0.22</v>
      </c>
      <c r="F12" s="163">
        <v>0.22</v>
      </c>
      <c r="G12" s="163">
        <v>0.22</v>
      </c>
      <c r="H12" s="163">
        <v>0.22</v>
      </c>
      <c r="I12" s="949">
        <v>0.8</v>
      </c>
      <c r="J12" s="949">
        <v>1.25</v>
      </c>
      <c r="K12" s="949">
        <v>0.8</v>
      </c>
      <c r="L12" s="949">
        <v>1.25</v>
      </c>
      <c r="M12" s="162" t="s">
        <v>269</v>
      </c>
      <c r="N12" s="161">
        <v>1</v>
      </c>
    </row>
    <row r="13" spans="2:14">
      <c r="B13" t="str">
        <f>IF(IF(OR(LEFT(C13,27)=SUP_Biofuels!$N$8,LEFT(C13,20)=SUP_Biofuels!$O$8,LEFT(C13,20)=SUP_Biofuels!$P$8),LEFT(C13,20),C13)="Specific investment ","Specific investment (M€ /MW",IF(OR(LEFT(C13,27)=SUP_Biofuels!$N$8,LEFT(C13,20)=SUP_Biofuels!$O$8,LEFT(C13,20)=SUP_Biofuels!$P$8),LEFT(C13,20),C13))</f>
        <v>Electricity Output, MWh/MWh Total Input</v>
      </c>
      <c r="C13" s="190" t="s">
        <v>1199</v>
      </c>
      <c r="D13" s="192">
        <v>0.02</v>
      </c>
      <c r="E13" s="192">
        <v>0.02</v>
      </c>
      <c r="F13" s="192">
        <v>0.02</v>
      </c>
      <c r="G13" s="192">
        <v>0.02</v>
      </c>
      <c r="H13" s="192">
        <v>0.02</v>
      </c>
      <c r="I13" s="952">
        <v>0.8</v>
      </c>
      <c r="J13" s="952">
        <v>1.25</v>
      </c>
      <c r="K13" s="952">
        <v>0.8</v>
      </c>
      <c r="L13" s="952">
        <v>1.25</v>
      </c>
      <c r="M13" s="190" t="s">
        <v>269</v>
      </c>
      <c r="N13" s="188">
        <v>1</v>
      </c>
    </row>
    <row r="14" spans="2:14">
      <c r="B14">
        <f>IF(IF(OR(LEFT(C14,27)=SUP_Biofuels!$N$8,LEFT(C14,20)=SUP_Biofuels!$O$8,LEFT(C14,20)=SUP_Biofuels!$P$8),LEFT(C14,20),C14)="Specific investment ","Specific investment (M€ /MW",IF(OR(LEFT(C14,27)=SUP_Biofuels!$N$8,LEFT(C14,20)=SUP_Biofuels!$O$8,LEFT(C14,20)=SUP_Biofuels!$P$8),LEFT(C14,20),C14))</f>
        <v>0</v>
      </c>
      <c r="C14" s="207"/>
      <c r="D14" s="934"/>
      <c r="E14" s="934"/>
      <c r="F14" s="934"/>
      <c r="G14" s="934"/>
      <c r="H14" s="934"/>
      <c r="I14" s="951"/>
      <c r="J14" s="951"/>
      <c r="K14" s="951"/>
      <c r="L14" s="951"/>
      <c r="M14" s="934"/>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943">
        <v>4</v>
      </c>
      <c r="E15" s="943">
        <v>4</v>
      </c>
      <c r="F15" s="943">
        <v>0</v>
      </c>
      <c r="G15" s="943">
        <v>0</v>
      </c>
      <c r="H15" s="943">
        <v>0</v>
      </c>
      <c r="I15" s="943"/>
      <c r="J15" s="950"/>
      <c r="K15" s="950"/>
      <c r="L15" s="95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3">
        <v>2</v>
      </c>
      <c r="E16" s="163">
        <v>2</v>
      </c>
      <c r="F16" s="163">
        <v>2</v>
      </c>
      <c r="G16" s="163">
        <v>2</v>
      </c>
      <c r="H16" s="163">
        <v>2</v>
      </c>
      <c r="I16" s="949"/>
      <c r="J16" s="949"/>
      <c r="K16" s="949"/>
      <c r="L16" s="949"/>
      <c r="M16" s="161"/>
      <c r="N16" s="161"/>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3">
        <v>25</v>
      </c>
      <c r="E17" s="163">
        <v>20</v>
      </c>
      <c r="F17" s="163">
        <v>20</v>
      </c>
      <c r="G17" s="163">
        <v>20</v>
      </c>
      <c r="H17" s="163">
        <v>20</v>
      </c>
      <c r="I17" s="163"/>
      <c r="J17" s="163"/>
      <c r="K17" s="163"/>
      <c r="L17" s="163"/>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948" t="s">
        <v>1198</v>
      </c>
      <c r="E18" s="948" t="s">
        <v>1198</v>
      </c>
      <c r="F18" s="948" t="s">
        <v>1198</v>
      </c>
      <c r="G18" s="948" t="s">
        <v>1198</v>
      </c>
      <c r="H18" s="948" t="s">
        <v>1198</v>
      </c>
      <c r="I18" s="192"/>
      <c r="J18" s="192"/>
      <c r="K18" s="192"/>
      <c r="L18" s="192"/>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934"/>
      <c r="J19" s="934"/>
      <c r="K19" s="934"/>
      <c r="L19" s="934"/>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180" t="s">
        <v>263</v>
      </c>
      <c r="D20" s="947">
        <v>5.2580331061343726</v>
      </c>
      <c r="E20" s="947">
        <v>5.2580331061343726</v>
      </c>
      <c r="F20" s="947">
        <v>2.9211295034079843</v>
      </c>
      <c r="G20" s="947">
        <v>2.1212121212121211</v>
      </c>
      <c r="H20" s="947">
        <v>1.4605647517039921</v>
      </c>
      <c r="I20" s="942">
        <v>0.5</v>
      </c>
      <c r="J20" s="942">
        <v>1</v>
      </c>
      <c r="K20" s="942">
        <v>0.8</v>
      </c>
      <c r="L20" s="942">
        <v>1.2</v>
      </c>
      <c r="M20" s="178" t="s">
        <v>255</v>
      </c>
      <c r="N20" s="178" t="s">
        <v>254</v>
      </c>
    </row>
    <row r="21" spans="2:14">
      <c r="B21" t="str">
        <f>IF(IF(OR(LEFT(C21,27)=SUP_Biofuels!$N$8,LEFT(C21,20)=SUP_Biofuels!$O$8,LEFT(C21,20)=SUP_Biofuels!$P$8),LEFT(C21,20),C21)="Specific investment ","Specific investment (M€ /MW",IF(OR(LEFT(C21,27)=SUP_Biofuels!$N$8,LEFT(C21,20)=SUP_Biofuels!$O$8,LEFT(C21,20)=SUP_Biofuels!$P$8),LEFT(C21,20),C21))</f>
        <v>- equipment (%)</v>
      </c>
      <c r="C21" s="162" t="s">
        <v>252</v>
      </c>
      <c r="D21" s="163" t="s">
        <v>1008</v>
      </c>
      <c r="E21" s="163">
        <v>75</v>
      </c>
      <c r="F21" s="163">
        <v>75</v>
      </c>
      <c r="G21" s="163">
        <v>75</v>
      </c>
      <c r="H21" s="163">
        <v>75</v>
      </c>
      <c r="I21" s="941"/>
      <c r="J21" s="941"/>
      <c r="K21" s="941"/>
      <c r="L21" s="941"/>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3">
        <v>25</v>
      </c>
      <c r="E22" s="163">
        <v>25</v>
      </c>
      <c r="F22" s="163">
        <v>25</v>
      </c>
      <c r="G22" s="163">
        <v>25</v>
      </c>
      <c r="H22" s="163">
        <v>25</v>
      </c>
      <c r="I22" s="941"/>
      <c r="J22" s="941"/>
      <c r="K22" s="941"/>
      <c r="L22" s="941"/>
      <c r="M22" s="161"/>
      <c r="N22" s="161"/>
    </row>
    <row r="23" spans="2:14">
      <c r="B23" t="s">
        <v>1390</v>
      </c>
      <c r="C23" s="162" t="s">
        <v>1197</v>
      </c>
      <c r="D23" s="286">
        <v>5.8422590068159676E-2</v>
      </c>
      <c r="E23" s="286">
        <v>5.8422590068159676E-2</v>
      </c>
      <c r="F23" s="286">
        <v>3.8948393378773129E-2</v>
      </c>
      <c r="G23" s="286">
        <v>3.8358266206367474E-2</v>
      </c>
      <c r="H23" s="286">
        <v>3.8948393378773122E-2</v>
      </c>
      <c r="I23" s="941">
        <v>0.9</v>
      </c>
      <c r="J23" s="941">
        <v>1.1000000000000001</v>
      </c>
      <c r="K23" s="941">
        <v>0.9</v>
      </c>
      <c r="L23" s="941">
        <v>1.1000000000000001</v>
      </c>
      <c r="M23" s="161" t="s">
        <v>243</v>
      </c>
      <c r="N23" s="161">
        <v>1</v>
      </c>
    </row>
    <row r="24" spans="2:14">
      <c r="B24" t="s">
        <v>1391</v>
      </c>
      <c r="C24" s="162" t="s">
        <v>1196</v>
      </c>
      <c r="D24" s="946">
        <v>20.404307576043831</v>
      </c>
      <c r="E24" s="946">
        <v>20.404307576043831</v>
      </c>
      <c r="F24" s="946">
        <v>13.60287171736255</v>
      </c>
      <c r="G24" s="946">
        <v>13.602871717362556</v>
      </c>
      <c r="H24" s="946">
        <v>13.602871717362554</v>
      </c>
      <c r="I24" s="941">
        <v>0.9</v>
      </c>
      <c r="J24" s="941">
        <v>1.1000000000000001</v>
      </c>
      <c r="K24" s="941">
        <v>0.9</v>
      </c>
      <c r="L24" s="941">
        <v>1.1000000000000001</v>
      </c>
      <c r="M24" s="161" t="s">
        <v>1195</v>
      </c>
      <c r="N24" s="161">
        <v>1</v>
      </c>
    </row>
    <row r="25" spans="2:14">
      <c r="B25" t="str">
        <f>LEFT(C25,17)</f>
        <v>Start up (M€ /1,0</v>
      </c>
      <c r="C25" s="190" t="s">
        <v>1194</v>
      </c>
      <c r="D25" s="192">
        <v>0</v>
      </c>
      <c r="E25" s="192">
        <v>0</v>
      </c>
      <c r="F25" s="192">
        <v>0</v>
      </c>
      <c r="G25" s="192"/>
      <c r="H25" s="192">
        <v>0</v>
      </c>
      <c r="I25" s="945"/>
      <c r="J25" s="945"/>
      <c r="K25" s="945"/>
      <c r="L25" s="945"/>
      <c r="M25" s="188"/>
      <c r="N25" s="188"/>
    </row>
    <row r="26" spans="2:14">
      <c r="B26" t="str">
        <f>LEFT(C26,19)</f>
        <v>Technology specific</v>
      </c>
      <c r="C26" s="186" t="s">
        <v>260</v>
      </c>
      <c r="D26" s="934"/>
      <c r="E26" s="934"/>
      <c r="F26" s="934"/>
      <c r="G26" s="934"/>
      <c r="H26" s="934"/>
      <c r="I26" s="944"/>
      <c r="J26" s="944"/>
      <c r="K26" s="944"/>
      <c r="L26" s="944"/>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methanol)</v>
      </c>
      <c r="C27" s="180" t="s">
        <v>258</v>
      </c>
      <c r="D27" s="943">
        <v>20.100000000000001</v>
      </c>
      <c r="E27" s="943">
        <v>20.100000000000001</v>
      </c>
      <c r="F27" s="943">
        <v>20.100000000000001</v>
      </c>
      <c r="G27" s="943">
        <v>20.100000000000001</v>
      </c>
      <c r="H27" s="943">
        <v>20.100000000000001</v>
      </c>
      <c r="I27" s="942"/>
      <c r="J27" s="942"/>
      <c r="K27" s="942"/>
      <c r="L27" s="942"/>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3">
        <v>0.79</v>
      </c>
      <c r="E28" s="163">
        <v>0.79</v>
      </c>
      <c r="F28" s="163">
        <v>0.79</v>
      </c>
      <c r="G28" s="163">
        <v>0.79</v>
      </c>
      <c r="H28" s="163">
        <v>0.79</v>
      </c>
      <c r="I28" s="941"/>
      <c r="J28" s="941"/>
      <c r="K28" s="941"/>
      <c r="L28" s="941"/>
      <c r="M28" s="161"/>
      <c r="N28" s="161"/>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Methanol)</v>
      </c>
      <c r="C29" s="162" t="s">
        <v>256</v>
      </c>
      <c r="D29" s="290">
        <v>3.4177215189873418</v>
      </c>
      <c r="E29" s="290">
        <v>3.4177215189873418</v>
      </c>
      <c r="F29" s="290">
        <v>1.8987341772151898</v>
      </c>
      <c r="G29" s="290">
        <v>1.4</v>
      </c>
      <c r="H29" s="290">
        <v>0.94936708860759489</v>
      </c>
      <c r="I29" s="941">
        <v>0.5</v>
      </c>
      <c r="J29" s="941">
        <v>1</v>
      </c>
      <c r="K29" s="941">
        <v>0.8</v>
      </c>
      <c r="L29" s="941">
        <v>1.2</v>
      </c>
      <c r="M29" s="161" t="s">
        <v>255</v>
      </c>
      <c r="N29" s="161" t="s">
        <v>254</v>
      </c>
    </row>
    <row r="30" spans="2:14">
      <c r="B30" t="str">
        <f>IF(IF(OR(LEFT(C30,27)=SUP_Biofuels!$N$8,LEFT(C30,20)=SUP_Biofuels!$O$8,LEFT(C30,20)=SUP_Biofuels!$P$8),LEFT(C30,20),C30)="Specific investment ","Specific investment (M€ /MW",IF(OR(LEFT(C30,27)=SUP_Biofuels!$N$8,LEFT(C30,20)=SUP_Biofuels!$O$8,LEFT(C30,20)=SUP_Biofuels!$P$8),LEFT(C30,20),C30))</f>
        <v>Fixed O&amp;M (M€ /1,000 t Methanol)</v>
      </c>
      <c r="C30" s="162" t="s">
        <v>246</v>
      </c>
      <c r="D30" s="286">
        <v>3.7974683544303792E-2</v>
      </c>
      <c r="E30" s="286">
        <v>3.7974683544303792E-2</v>
      </c>
      <c r="F30" s="286">
        <v>2.5316455696202531E-2</v>
      </c>
      <c r="G30" s="286">
        <v>2.5316455696202531E-2</v>
      </c>
      <c r="H30" s="286">
        <v>2.5316455696202531E-2</v>
      </c>
      <c r="I30" s="941">
        <v>0.9</v>
      </c>
      <c r="J30" s="941">
        <v>1.1000000000000001</v>
      </c>
      <c r="K30" s="941">
        <v>0.9</v>
      </c>
      <c r="L30" s="941">
        <v>1.1000000000000001</v>
      </c>
      <c r="M30" s="161" t="s">
        <v>243</v>
      </c>
      <c r="N30" s="161">
        <v>1</v>
      </c>
    </row>
    <row r="31" spans="2:14">
      <c r="B31" t="str">
        <f>IF(IF(OR(LEFT(C31,27)=SUP_Biofuels!$N$8,LEFT(C31,20)=SUP_Biofuels!$O$8,LEFT(C31,20)=SUP_Biofuels!$P$8),LEFT(C31,20),C31)="Specific investment ","Specific investment (M€ /MW",IF(OR(LEFT(C31,27)=SUP_Biofuels!$N$8,LEFT(C31,20)=SUP_Biofuels!$O$8,LEFT(C31,20)=SUP_Biofuels!$P$8),LEFT(C31,20),C31))</f>
        <v>Variable O&amp;M (M€ /1,000 t Methanol)</v>
      </c>
      <c r="C31" s="162" t="s">
        <v>244</v>
      </c>
      <c r="D31" s="286">
        <v>0.11392405063291139</v>
      </c>
      <c r="E31" s="286">
        <v>0.11392405063291139</v>
      </c>
      <c r="F31" s="286">
        <v>7.5949367088607583E-2</v>
      </c>
      <c r="G31" s="286">
        <v>7.5949367088607583E-2</v>
      </c>
      <c r="H31" s="286">
        <v>7.5949367088607583E-2</v>
      </c>
      <c r="I31" s="941">
        <v>0.9</v>
      </c>
      <c r="J31" s="941">
        <v>1.1000000000000001</v>
      </c>
      <c r="K31" s="941">
        <v>0.9</v>
      </c>
      <c r="L31" s="941">
        <v>1.1000000000000001</v>
      </c>
      <c r="M31" s="161" t="s">
        <v>1195</v>
      </c>
      <c r="N31" s="161">
        <v>1</v>
      </c>
    </row>
    <row r="32" spans="2:14">
      <c r="B32" t="str">
        <f>IF(IF(OR(LEFT(C32,27)=SUP_Biofuels!$N$8,LEFT(C32,20)=SUP_Biofuels!$O$8,LEFT(C32,20)=SUP_Biofuels!$P$8),LEFT(C32,20),C32)="Specific investment ","Specific investment (M€ /MW",IF(OR(LEFT(C32,27)=SUP_Biofuels!$N$8,LEFT(C32,20)=SUP_Biofuels!$O$8,LEFT(C32,20)=SUP_Biofuels!$P$8),LEFT(C32,20),C32))</f>
        <v>Start up (M€ /1,000 t Methanoll)</v>
      </c>
      <c r="C32" s="162" t="s">
        <v>1194</v>
      </c>
      <c r="D32" s="163">
        <v>0</v>
      </c>
      <c r="E32" s="163">
        <v>0</v>
      </c>
      <c r="F32" s="163">
        <v>0</v>
      </c>
      <c r="G32" s="163">
        <v>0</v>
      </c>
      <c r="H32" s="163">
        <v>0</v>
      </c>
      <c r="I32" s="163"/>
      <c r="J32" s="163"/>
      <c r="K32" s="163"/>
      <c r="L32" s="163"/>
      <c r="M32" s="161"/>
      <c r="N32" s="161"/>
    </row>
    <row r="33" spans="2:3">
      <c r="B33">
        <f>IF(IF(OR(LEFT(C33,27)=SUP_Biofuels!$N$8,LEFT(C33,20)=SUP_Biofuels!$O$8,LEFT(C33,20)=SUP_Biofuels!$P$8),LEFT(C33,20),C33)="Specific investment ","Specific investment (M€ /MW",IF(OR(LEFT(C33,27)=SUP_Biofuels!$N$8,LEFT(C33,20)=SUP_Biofuels!$O$8,LEFT(C33,20)=SUP_Biofuels!$P$8),LEFT(C33,20),C33))</f>
        <v>0</v>
      </c>
    </row>
    <row r="34" spans="2:3">
      <c r="B34" t="str">
        <f>IF(IF(OR(LEFT(C34,27)=SUP_Biofuels!$N$8,LEFT(C34,20)=SUP_Biofuels!$O$8,LEFT(C34,20)=SUP_Biofuels!$P$8),LEFT(C34,20),C34)="Specific investment ","Specific investment (M€ /MW",IF(OR(LEFT(C34,27)=SUP_Biofuels!$N$8,LEFT(C34,20)=SUP_Biofuels!$O$8,LEFT(C34,20)=SUP_Biofuels!$P$8),LEFT(C34,20),C34))</f>
        <v>Notes:</v>
      </c>
      <c r="C34" s="886" t="s">
        <v>695</v>
      </c>
    </row>
    <row r="35" spans="2:3">
      <c r="B35" t="str">
        <f>IF(IF(OR(LEFT(C35,27)=SUP_Biofuels!$N$8,LEFT(C35,20)=SUP_Biofuels!$O$8,LEFT(C35,20)=SUP_Biofuels!$P$8),LEFT(C35,20),C35)="Specific investment ","Specific investment (M€ /MW",IF(OR(LEFT(C35,27)=SUP_Biofuels!$N$8,LEFT(C35,20)=SUP_Biofuels!$O$8,LEFT(C35,20)=SUP_Biofuels!$P$8),LEFT(C35,20),C35))</f>
        <v>A.     The plant size range is assumed based on the proposed Värmlands plant and the NREL nth plant.</v>
      </c>
      <c r="C35" s="885" t="s">
        <v>1193</v>
      </c>
    </row>
    <row r="36" spans="2:3">
      <c r="C36" s="885" t="s">
        <v>1192</v>
      </c>
    </row>
    <row r="37" spans="2:3">
      <c r="C37" s="885" t="s">
        <v>1191</v>
      </c>
    </row>
    <row r="38" spans="2:3">
      <c r="C38" s="885" t="s">
        <v>1190</v>
      </c>
    </row>
    <row r="39" spans="2:3">
      <c r="C39" s="885" t="s">
        <v>1189</v>
      </c>
    </row>
    <row r="40" spans="2:3">
      <c r="C40" s="885" t="s">
        <v>1188</v>
      </c>
    </row>
    <row r="41" spans="2:3">
      <c r="C41" s="885" t="s">
        <v>1187</v>
      </c>
    </row>
    <row r="43" spans="2:3">
      <c r="C43" s="886" t="s">
        <v>989</v>
      </c>
    </row>
    <row r="44" spans="2:3">
      <c r="C44" s="885" t="s">
        <v>1186</v>
      </c>
    </row>
    <row r="45" spans="2:3">
      <c r="C45" s="885" t="s">
        <v>1185</v>
      </c>
    </row>
    <row r="46" spans="2:3">
      <c r="C46" s="885" t="s">
        <v>1184</v>
      </c>
    </row>
    <row r="47" spans="2:3">
      <c r="C47" s="885" t="s">
        <v>1183</v>
      </c>
    </row>
    <row r="48" spans="2:3">
      <c r="C48" s="885" t="s">
        <v>1182</v>
      </c>
    </row>
    <row r="49" spans="3:3">
      <c r="C49" s="885" t="s">
        <v>1181</v>
      </c>
    </row>
    <row r="50" spans="3:3">
      <c r="C50" s="885" t="s">
        <v>1180</v>
      </c>
    </row>
    <row r="51" spans="3:3">
      <c r="C51" s="885" t="s">
        <v>1179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R15" sqref="R15"/>
    </sheetView>
  </sheetViews>
  <sheetFormatPr defaultColWidth="9.109375" defaultRowHeight="14.4"/>
  <cols>
    <col min="2" max="2" width="35.88671875" bestFit="1" customWidth="1"/>
    <col min="3" max="3" width="27.44140625" customWidth="1"/>
    <col min="4" max="13" width="7" customWidth="1"/>
  </cols>
  <sheetData>
    <row r="1" spans="2:14">
      <c r="I1" s="884" t="s">
        <v>966</v>
      </c>
    </row>
    <row r="2" spans="2:14" ht="15" customHeight="1">
      <c r="C2" s="260" t="s">
        <v>296</v>
      </c>
      <c r="D2" s="1291" t="s">
        <v>295</v>
      </c>
      <c r="E2" s="1291"/>
      <c r="F2" s="1291"/>
      <c r="G2" s="1291"/>
      <c r="H2" s="1291"/>
      <c r="I2" s="1291"/>
      <c r="J2" s="1291"/>
      <c r="K2" s="1291"/>
      <c r="L2" s="1291"/>
      <c r="M2" s="1291"/>
      <c r="N2" s="1291"/>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180">
        <v>5</v>
      </c>
      <c r="E6" s="180">
        <v>50</v>
      </c>
      <c r="F6" s="180">
        <v>100</v>
      </c>
      <c r="G6" s="180">
        <v>125</v>
      </c>
      <c r="H6" s="180">
        <v>150</v>
      </c>
      <c r="I6" s="206">
        <v>0.5</v>
      </c>
      <c r="J6" s="179">
        <v>1.5</v>
      </c>
      <c r="K6" s="179">
        <v>0.5</v>
      </c>
      <c r="L6" s="179">
        <v>1.5</v>
      </c>
      <c r="M6" s="218" t="s">
        <v>280</v>
      </c>
      <c r="N6" s="178" t="s">
        <v>279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3</v>
      </c>
      <c r="E7" s="190">
        <v>33</v>
      </c>
      <c r="F7" s="190">
        <v>65</v>
      </c>
      <c r="G7" s="190">
        <v>83</v>
      </c>
      <c r="H7" s="190">
        <v>100</v>
      </c>
      <c r="I7" s="208">
        <v>0.5</v>
      </c>
      <c r="J7" s="189">
        <v>1.5</v>
      </c>
      <c r="K7" s="189">
        <v>0.5</v>
      </c>
      <c r="L7" s="189">
        <v>1.5</v>
      </c>
      <c r="M7" s="217" t="s">
        <v>277</v>
      </c>
      <c r="N7" s="188" t="s">
        <v>276</v>
      </c>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CO2 Consumption, t/t Methanol</v>
      </c>
      <c r="C9" s="180" t="s">
        <v>274</v>
      </c>
      <c r="D9" s="180">
        <v>1.37</v>
      </c>
      <c r="E9" s="180">
        <v>1.37</v>
      </c>
      <c r="F9" s="180">
        <v>1.37</v>
      </c>
      <c r="G9" s="180">
        <v>1.37</v>
      </c>
      <c r="H9" s="180">
        <v>1.37</v>
      </c>
      <c r="I9" s="206">
        <v>1</v>
      </c>
      <c r="J9" s="206">
        <v>1.1000000000000001</v>
      </c>
      <c r="K9" s="206">
        <v>1</v>
      </c>
      <c r="L9" s="206">
        <v>1.1000000000000001</v>
      </c>
      <c r="M9" s="178"/>
      <c r="N9" s="178">
        <v>5</v>
      </c>
    </row>
    <row r="10" spans="2:14">
      <c r="B10" t="str">
        <f>IF(IF(OR(LEFT(C10,27)=SUP_Biofuels!$N$8,LEFT(C10,20)=SUP_Biofuels!$O$8,LEFT(C10,20)=SUP_Biofuels!$P$8),LEFT(C10,20),C10)="Specific investment ","Specific investment (M€ /MW",IF(OR(LEFT(C10,27)=SUP_Biofuels!$N$8,LEFT(C10,20)=SUP_Biofuels!$O$8,LEFT(C10,20)=SUP_Biofuels!$P$8),LEFT(C10,20),C10))</f>
        <v>Hydrogen Consumption, t/t Methanol</v>
      </c>
      <c r="C10" s="162" t="s">
        <v>273</v>
      </c>
      <c r="D10" s="162">
        <v>0.192</v>
      </c>
      <c r="E10" s="162">
        <v>0.192</v>
      </c>
      <c r="F10" s="162">
        <v>0.192</v>
      </c>
      <c r="G10" s="162">
        <v>0.192</v>
      </c>
      <c r="H10" s="162">
        <v>0.192</v>
      </c>
      <c r="I10" s="205">
        <v>1</v>
      </c>
      <c r="J10" s="205">
        <v>1.1000000000000001</v>
      </c>
      <c r="K10" s="205">
        <v>1</v>
      </c>
      <c r="L10" s="205">
        <v>1.1000000000000001</v>
      </c>
      <c r="M10" s="161"/>
      <c r="N10" s="161">
        <v>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90" t="s">
        <v>104</v>
      </c>
      <c r="D11" s="190">
        <v>1</v>
      </c>
      <c r="E11" s="190">
        <v>1</v>
      </c>
      <c r="F11" s="190">
        <v>1</v>
      </c>
      <c r="G11" s="190">
        <v>1</v>
      </c>
      <c r="H11" s="190">
        <v>1</v>
      </c>
      <c r="I11" s="208">
        <v>0.9</v>
      </c>
      <c r="J11" s="208">
        <v>1.2</v>
      </c>
      <c r="K11" s="208">
        <v>0.95</v>
      </c>
      <c r="L11" s="208">
        <v>1.1000000000000001</v>
      </c>
      <c r="M11" s="188" t="s">
        <v>272</v>
      </c>
      <c r="N11" s="188" t="s">
        <v>265</v>
      </c>
    </row>
    <row r="12" spans="2:14">
      <c r="B12" t="str">
        <f>IF(IF(OR(LEFT(C12,27)=SUP_Biofuels!$N$8,LEFT(C12,20)=SUP_Biofuels!$O$8,LEFT(C12,20)=SUP_Biofuels!$P$8),LEFT(C12,20),C12)="Specific investment ","Specific investment (M€ /MW",IF(OR(LEFT(C12,27)=SUP_Biofuels!$N$8,LEFT(C12,20)=SUP_Biofuels!$O$8,LEFT(C12,20)=SUP_Biofuels!$P$8),LEFT(C12,20),C12))</f>
        <v>Outputs</v>
      </c>
      <c r="C12" s="186" t="s">
        <v>271</v>
      </c>
      <c r="D12" s="185"/>
      <c r="E12" s="185"/>
      <c r="F12" s="185"/>
      <c r="G12" s="185"/>
      <c r="H12" s="185"/>
      <c r="I12" s="213"/>
      <c r="J12" s="213"/>
      <c r="K12" s="213"/>
      <c r="L12" s="213"/>
      <c r="M12" s="183"/>
      <c r="N12" s="225"/>
    </row>
    <row r="13" spans="2:14">
      <c r="B13" t="str">
        <f>IF(IF(OR(LEFT(C13,27)=SUP_Biofuels!$N$8,LEFT(C13,20)=SUP_Biofuels!$O$8,LEFT(C13,20)=SUP_Biofuels!$P$8),LEFT(C13,20),C13)="Specific investment ","Specific investment (M€ /MW",IF(OR(LEFT(C13,27)=SUP_Biofuels!$N$8,LEFT(C13,20)=SUP_Biofuels!$O$8,LEFT(C13,20)=SUP_Biofuels!$P$8),LEFT(C13,20),C13))</f>
        <v>Methanol Output, MWh/MWh Input</v>
      </c>
      <c r="C13" s="180" t="s">
        <v>270</v>
      </c>
      <c r="D13" s="180">
        <v>0.57999999999999996</v>
      </c>
      <c r="E13" s="180">
        <v>0.57999999999999996</v>
      </c>
      <c r="F13" s="180">
        <v>0.61</v>
      </c>
      <c r="G13" s="180">
        <v>0.63</v>
      </c>
      <c r="H13" s="180">
        <v>0.65</v>
      </c>
      <c r="I13" s="206">
        <v>1</v>
      </c>
      <c r="J13" s="206">
        <v>1.33</v>
      </c>
      <c r="K13" s="206">
        <v>1</v>
      </c>
      <c r="L13" s="206">
        <v>1.33</v>
      </c>
      <c r="M13" s="178" t="s">
        <v>269</v>
      </c>
      <c r="N13" s="178" t="s">
        <v>265</v>
      </c>
    </row>
    <row r="14" spans="2:14">
      <c r="B14" t="str">
        <f>IF(IF(OR(LEFT(C14,27)=SUP_Biofuels!$N$8,LEFT(C14,20)=SUP_Biofuels!$O$8,LEFT(C14,20)=SUP_Biofuels!$P$8),LEFT(C14,20),C14)="Specific investment ","Specific investment (M€ /MW",IF(OR(LEFT(C14,27)=SUP_Biofuels!$N$8,LEFT(C14,20)=SUP_Biofuels!$O$8,LEFT(C14,20)=SUP_Biofuels!$P$8),LEFT(C14,20),C14))</f>
        <v>District Heating Output, MWh/MWh Total input</v>
      </c>
      <c r="C14" s="190" t="s">
        <v>109</v>
      </c>
      <c r="D14" s="190">
        <v>0.25</v>
      </c>
      <c r="E14" s="190">
        <v>0.25</v>
      </c>
      <c r="F14" s="190">
        <v>0.25</v>
      </c>
      <c r="G14" s="190">
        <v>0.25</v>
      </c>
      <c r="H14" s="190">
        <v>0.25</v>
      </c>
      <c r="I14" s="208">
        <v>0</v>
      </c>
      <c r="J14" s="208">
        <v>1</v>
      </c>
      <c r="K14" s="208">
        <v>0</v>
      </c>
      <c r="L14" s="208">
        <v>1</v>
      </c>
      <c r="M14" s="188" t="s">
        <v>266</v>
      </c>
      <c r="N14" s="188" t="s">
        <v>265</v>
      </c>
    </row>
    <row r="15" spans="2:14">
      <c r="B15">
        <f>IF(IF(OR(LEFT(C15,27)=SUP_Biofuels!$N$8,LEFT(C15,20)=SUP_Biofuels!$O$8,LEFT(C15,20)=SUP_Biofuels!$P$8),LEFT(C15,20),C15)="Specific investment ","Specific investment (M€ /MW",IF(OR(LEFT(C15,27)=SUP_Biofuels!$N$8,LEFT(C15,20)=SUP_Biofuels!$O$8,LEFT(C15,20)=SUP_Biofuels!$P$8),LEFT(C15,20),C15))</f>
        <v>0</v>
      </c>
      <c r="C15" s="207"/>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80">
        <v>4</v>
      </c>
      <c r="E16" s="180">
        <v>4</v>
      </c>
      <c r="F16" s="180">
        <v>0</v>
      </c>
      <c r="G16" s="180">
        <v>0</v>
      </c>
      <c r="H16" s="180">
        <v>0</v>
      </c>
      <c r="I16" s="206"/>
      <c r="J16" s="206"/>
      <c r="K16" s="206"/>
      <c r="L16" s="206"/>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205"/>
      <c r="J17" s="205"/>
      <c r="K17" s="205"/>
      <c r="L17" s="205"/>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20</v>
      </c>
      <c r="F18" s="162">
        <v>20</v>
      </c>
      <c r="G18" s="162">
        <v>20</v>
      </c>
      <c r="H18" s="162">
        <v>20</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90">
        <v>2</v>
      </c>
      <c r="E19" s="190">
        <v>2</v>
      </c>
      <c r="F19" s="190">
        <v>2</v>
      </c>
      <c r="G19" s="190">
        <v>2</v>
      </c>
      <c r="H19" s="190">
        <v>2</v>
      </c>
      <c r="I19" s="190"/>
      <c r="J19" s="190"/>
      <c r="K19" s="190"/>
      <c r="L19" s="190"/>
      <c r="M19" s="188"/>
      <c r="N19" s="188"/>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263</v>
      </c>
      <c r="D21" s="201">
        <v>4.5134328358208959</v>
      </c>
      <c r="E21" s="201">
        <v>4.5134328358208951</v>
      </c>
      <c r="F21" s="201">
        <v>3.0089552238805966</v>
      </c>
      <c r="G21" s="201">
        <v>2.256716417910448</v>
      </c>
      <c r="H21" s="201">
        <v>1.5044776119402985</v>
      </c>
      <c r="I21" s="179">
        <v>0.5</v>
      </c>
      <c r="J21" s="179">
        <v>1</v>
      </c>
      <c r="K21" s="179">
        <v>0.8</v>
      </c>
      <c r="L21" s="179">
        <v>1.2</v>
      </c>
      <c r="M21" s="178" t="s">
        <v>255</v>
      </c>
      <c r="N21" s="178" t="s">
        <v>254</v>
      </c>
    </row>
    <row r="22" spans="2:14">
      <c r="B22" t="str">
        <f>IF(IF(OR(LEFT(C22,27)=SUP_Biofuels!$N$8,LEFT(C22,20)=SUP_Biofuels!$O$8,LEFT(C22,20)=SUP_Biofuels!$P$8),LEFT(C22,20),C22)="Specific investment ","Specific investment (M€ /MW",IF(OR(LEFT(C22,27)=SUP_Biofuels!$N$8,LEFT(C22,20)=SUP_Biofuels!$O$8,LEFT(C22,20)=SUP_Biofuels!$P$8),LEFT(C22,20),C22))</f>
        <v>- equipment (%)</v>
      </c>
      <c r="C22" s="162" t="s">
        <v>252</v>
      </c>
      <c r="D22" s="163" t="s">
        <v>1008</v>
      </c>
      <c r="E22" s="163">
        <v>75</v>
      </c>
      <c r="F22" s="163">
        <v>75</v>
      </c>
      <c r="G22" s="163">
        <v>75</v>
      </c>
      <c r="H22" s="163">
        <v>75</v>
      </c>
      <c r="I22" s="167"/>
      <c r="J22" s="167"/>
      <c r="K22" s="167"/>
      <c r="L22" s="167"/>
      <c r="M22" s="161"/>
      <c r="N22" s="161"/>
    </row>
    <row r="23" spans="2:14">
      <c r="B23" t="str">
        <f>LEFT(C23,17)</f>
        <v xml:space="preserve"> -installation (%</v>
      </c>
      <c r="C23" s="162" t="s">
        <v>251</v>
      </c>
      <c r="D23" s="163">
        <v>25</v>
      </c>
      <c r="E23" s="163">
        <v>25</v>
      </c>
      <c r="F23" s="163">
        <v>25</v>
      </c>
      <c r="G23" s="163">
        <v>25</v>
      </c>
      <c r="H23" s="163">
        <v>25</v>
      </c>
      <c r="I23" s="167"/>
      <c r="J23" s="167"/>
      <c r="K23" s="167"/>
      <c r="L23" s="167"/>
      <c r="M23" s="161"/>
      <c r="N23" s="161"/>
    </row>
    <row r="24" spans="2:14">
      <c r="B24" t="str">
        <f>LEFT(C24,17)</f>
        <v>Fixed O&amp;M (M€ /MW</v>
      </c>
      <c r="C24" s="162" t="s">
        <v>262</v>
      </c>
      <c r="D24" s="168">
        <v>5.2656716417910455E-2</v>
      </c>
      <c r="E24" s="168">
        <v>5.2656716417910449E-2</v>
      </c>
      <c r="F24" s="168">
        <v>5.2656716417910449E-2</v>
      </c>
      <c r="G24" s="168">
        <v>5.2656716417910449E-2</v>
      </c>
      <c r="H24" s="168">
        <v>5.2656716417910455E-2</v>
      </c>
      <c r="I24" s="167">
        <v>0.9</v>
      </c>
      <c r="J24" s="167">
        <v>1.1000000000000001</v>
      </c>
      <c r="K24" s="167">
        <v>0.9</v>
      </c>
      <c r="L24" s="167">
        <v>1.1000000000000001</v>
      </c>
      <c r="M24" s="161" t="s">
        <v>243</v>
      </c>
      <c r="N24" s="161">
        <v>1</v>
      </c>
    </row>
    <row r="25" spans="2:14">
      <c r="B25" t="str">
        <f>LEFT(C25,19)</f>
        <v>Variable O&amp;M (€ /MW</v>
      </c>
      <c r="C25" s="162" t="s">
        <v>247</v>
      </c>
      <c r="D25" s="197">
        <v>6.2686567164179117</v>
      </c>
      <c r="E25" s="197">
        <v>6.2686567164179108</v>
      </c>
      <c r="F25" s="197">
        <v>6.2686567164179108</v>
      </c>
      <c r="G25" s="197">
        <v>6.2686567164179108</v>
      </c>
      <c r="H25" s="197">
        <v>6.2686567164179117</v>
      </c>
      <c r="I25" s="167">
        <v>0.9</v>
      </c>
      <c r="J25" s="167">
        <v>1.1000000000000001</v>
      </c>
      <c r="K25" s="167">
        <v>0.9</v>
      </c>
      <c r="L25" s="167">
        <v>1.1000000000000001</v>
      </c>
      <c r="M25" s="161" t="s">
        <v>243</v>
      </c>
      <c r="N25" s="161">
        <v>1</v>
      </c>
    </row>
    <row r="26" spans="2:14">
      <c r="B26" t="str">
        <f>IF(IF(OR(LEFT(C26,27)=SUP_Biofuels!$N$8,LEFT(C26,20)=SUP_Biofuels!$O$8,LEFT(C26,20)=SUP_Biofuels!$P$8),LEFT(C26,20),C26)="Specific investment ","Specific investment (M€ /MW",IF(OR(LEFT(C26,27)=SUP_Biofuels!$N$8,LEFT(C26,20)=SUP_Biofuels!$O$8,LEFT(C26,20)=SUP_Biofuels!$P$8),LEFT(C26,20),C26))</f>
        <v>Start up (M€ /1,000 t Methanol)</v>
      </c>
      <c r="C26" s="190" t="s">
        <v>240</v>
      </c>
      <c r="D26" s="192">
        <v>0</v>
      </c>
      <c r="E26" s="190">
        <v>0</v>
      </c>
      <c r="F26" s="190">
        <v>0</v>
      </c>
      <c r="G26" s="190">
        <v>0</v>
      </c>
      <c r="H26" s="190">
        <v>0</v>
      </c>
      <c r="I26" s="189"/>
      <c r="J26" s="189"/>
      <c r="K26" s="189"/>
      <c r="L26" s="189"/>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Specific energy content (GJ/ton) methanol)</v>
      </c>
      <c r="C28" s="180" t="s">
        <v>258</v>
      </c>
      <c r="D28" s="180">
        <v>20.100000000000001</v>
      </c>
      <c r="E28" s="180">
        <v>20.100000000000001</v>
      </c>
      <c r="F28" s="180">
        <v>20.100000000000001</v>
      </c>
      <c r="G28" s="180">
        <v>20.100000000000001</v>
      </c>
      <c r="H28" s="180">
        <v>20.100000000000001</v>
      </c>
      <c r="I28" s="179"/>
      <c r="J28" s="179"/>
      <c r="K28" s="179"/>
      <c r="L28" s="179"/>
      <c r="M28" s="178"/>
      <c r="N28" s="178"/>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7"/>
      <c r="J29" s="167"/>
      <c r="K29" s="167"/>
      <c r="L29" s="167"/>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Methanol)</v>
      </c>
      <c r="C30" s="162" t="s">
        <v>256</v>
      </c>
      <c r="D30" s="176">
        <v>3</v>
      </c>
      <c r="E30" s="176">
        <v>3</v>
      </c>
      <c r="F30" s="176">
        <v>2</v>
      </c>
      <c r="G30" s="176">
        <v>1.5</v>
      </c>
      <c r="H30" s="176">
        <v>1</v>
      </c>
      <c r="I30" s="167">
        <v>0.5</v>
      </c>
      <c r="J30" s="167">
        <v>1</v>
      </c>
      <c r="K30" s="167">
        <v>0.8</v>
      </c>
      <c r="L30" s="167">
        <v>1.2</v>
      </c>
      <c r="M30" s="161" t="s">
        <v>255</v>
      </c>
      <c r="N30" s="161" t="s">
        <v>254</v>
      </c>
    </row>
    <row r="31" spans="2:14">
      <c r="B31" t="str">
        <f>IF(IF(OR(LEFT(C31,27)=SUP_Biofuels!$N$8,LEFT(C31,20)=SUP_Biofuels!$O$8,LEFT(C31,20)=SUP_Biofuels!$P$8),LEFT(C31,20),C31)="Specific investment ","Specific investment (M€ /MW",IF(OR(LEFT(C31,27)=SUP_Biofuels!$N$8,LEFT(C31,20)=SUP_Biofuels!$O$8,LEFT(C31,20)=SUP_Biofuels!$P$8),LEFT(C31,20),C31))</f>
        <v>- equipment (%)</v>
      </c>
      <c r="C31" s="162" t="s">
        <v>252</v>
      </c>
      <c r="D31" s="163" t="s">
        <v>1008</v>
      </c>
      <c r="E31" s="163">
        <v>75</v>
      </c>
      <c r="F31" s="163">
        <v>75</v>
      </c>
      <c r="G31" s="163">
        <v>75</v>
      </c>
      <c r="H31" s="163">
        <v>75</v>
      </c>
      <c r="I31" s="167"/>
      <c r="J31" s="167"/>
      <c r="K31" s="167"/>
      <c r="L31" s="167"/>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3">
        <v>25</v>
      </c>
      <c r="F32" s="163">
        <v>25</v>
      </c>
      <c r="G32" s="163">
        <v>25</v>
      </c>
      <c r="H32" s="163">
        <v>25</v>
      </c>
      <c r="I32" s="167"/>
      <c r="J32" s="167"/>
      <c r="K32" s="167"/>
      <c r="L32" s="167"/>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Methanol)</v>
      </c>
      <c r="C33" s="162" t="s">
        <v>246</v>
      </c>
      <c r="D33" s="168">
        <v>3.5000000000000003E-2</v>
      </c>
      <c r="E33" s="168">
        <v>3.5000000000000003E-2</v>
      </c>
      <c r="F33" s="168">
        <v>3.5000000000000003E-2</v>
      </c>
      <c r="G33" s="168">
        <v>3.5000000000000003E-2</v>
      </c>
      <c r="H33" s="168">
        <v>3.5000000000000003E-2</v>
      </c>
      <c r="I33" s="167">
        <v>0.9</v>
      </c>
      <c r="J33" s="167">
        <v>1.1000000000000001</v>
      </c>
      <c r="K33" s="167">
        <v>0.9</v>
      </c>
      <c r="L33" s="167">
        <v>1.1000000000000001</v>
      </c>
      <c r="M33" s="161" t="s">
        <v>243</v>
      </c>
      <c r="N33" s="161">
        <v>1</v>
      </c>
    </row>
    <row r="34" spans="2:14">
      <c r="C34" s="162" t="s">
        <v>244</v>
      </c>
      <c r="D34" s="168">
        <v>3.5000000000000003E-2</v>
      </c>
      <c r="E34" s="168">
        <v>3.5000000000000003E-2</v>
      </c>
      <c r="F34" s="168">
        <v>3.5000000000000003E-2</v>
      </c>
      <c r="G34" s="168">
        <v>3.5000000000000003E-2</v>
      </c>
      <c r="H34" s="168">
        <v>3.5000000000000003E-2</v>
      </c>
      <c r="I34" s="167">
        <v>0.9</v>
      </c>
      <c r="J34" s="167">
        <v>1.1000000000000001</v>
      </c>
      <c r="K34" s="167">
        <v>0.9</v>
      </c>
      <c r="L34" s="167">
        <v>1.1000000000000001</v>
      </c>
      <c r="M34" s="161" t="s">
        <v>243</v>
      </c>
      <c r="N34" s="161">
        <v>1</v>
      </c>
    </row>
    <row r="35" spans="2:14">
      <c r="C35" s="162" t="s">
        <v>240</v>
      </c>
      <c r="D35" s="163">
        <v>0</v>
      </c>
      <c r="E35" s="162">
        <v>0</v>
      </c>
      <c r="F35" s="162">
        <v>0</v>
      </c>
      <c r="G35" s="162"/>
      <c r="H35" s="162">
        <v>0</v>
      </c>
      <c r="I35" s="162"/>
      <c r="J35" s="162"/>
      <c r="K35" s="162"/>
      <c r="L35" s="162"/>
      <c r="M35" s="161"/>
      <c r="N35" s="161"/>
    </row>
    <row r="37" spans="2:14">
      <c r="C37" s="886" t="s">
        <v>695</v>
      </c>
    </row>
    <row r="38" spans="2:14">
      <c r="C38" s="885" t="s">
        <v>1222</v>
      </c>
    </row>
    <row r="39" spans="2:14">
      <c r="C39" s="885" t="s">
        <v>1192</v>
      </c>
    </row>
    <row r="40" spans="2:14">
      <c r="C40" s="885" t="s">
        <v>1221</v>
      </c>
    </row>
    <row r="41" spans="2:14">
      <c r="C41" s="885" t="s">
        <v>1220</v>
      </c>
    </row>
    <row r="42" spans="2:14">
      <c r="C42" s="885" t="s">
        <v>1219</v>
      </c>
    </row>
    <row r="43" spans="2:14">
      <c r="C43" s="885" t="s">
        <v>1218</v>
      </c>
    </row>
    <row r="44" spans="2:14">
      <c r="C44" s="885" t="s">
        <v>1217</v>
      </c>
    </row>
    <row r="45" spans="2:14">
      <c r="C45" s="885" t="s">
        <v>1216</v>
      </c>
    </row>
    <row r="46" spans="2:14">
      <c r="C46" s="885" t="s">
        <v>1215</v>
      </c>
    </row>
    <row r="48" spans="2:14">
      <c r="C48" s="886" t="s">
        <v>989</v>
      </c>
    </row>
    <row r="49" spans="3:3">
      <c r="C49" s="885" t="s">
        <v>1214</v>
      </c>
    </row>
    <row r="50" spans="3:3">
      <c r="C50" s="885" t="s">
        <v>1213</v>
      </c>
    </row>
    <row r="51" spans="3:3">
      <c r="C51" s="885" t="s">
        <v>1212</v>
      </c>
    </row>
    <row r="52" spans="3:3">
      <c r="C52" s="885" t="s">
        <v>1211</v>
      </c>
    </row>
    <row r="53" spans="3:3">
      <c r="C53" s="885" t="s">
        <v>1210</v>
      </c>
    </row>
    <row r="54" spans="3:3">
      <c r="C54" s="885" t="s">
        <v>1209</v>
      </c>
    </row>
    <row r="55" spans="3:3">
      <c r="C55" s="885" t="s">
        <v>1208</v>
      </c>
    </row>
    <row r="56" spans="3:3">
      <c r="C56" s="885" t="s">
        <v>1207</v>
      </c>
    </row>
    <row r="57" spans="3:3">
      <c r="C57" s="885" t="s">
        <v>1206</v>
      </c>
    </row>
    <row r="58" spans="3:3">
      <c r="C58" s="885" t="s">
        <v>1205</v>
      </c>
    </row>
    <row r="59" spans="3:3">
      <c r="C59" s="885" t="s">
        <v>1204</v>
      </c>
    </row>
    <row r="60" spans="3:3">
      <c r="C60" s="885" t="s">
        <v>1203</v>
      </c>
    </row>
    <row r="61" spans="3:3">
      <c r="C61" s="885" t="s">
        <v>1202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884" t="s">
        <v>966</v>
      </c>
    </row>
    <row r="2" spans="2:13" ht="15" customHeight="1">
      <c r="B2" s="260" t="s">
        <v>296</v>
      </c>
      <c r="C2" s="1291" t="s">
        <v>371</v>
      </c>
      <c r="D2" s="1291"/>
      <c r="E2" s="1291"/>
      <c r="F2" s="1291"/>
      <c r="G2" s="1291"/>
      <c r="H2" s="1291"/>
      <c r="I2" s="1291"/>
      <c r="J2" s="1291"/>
      <c r="K2" s="1291"/>
      <c r="L2" s="1291"/>
      <c r="M2" s="1291"/>
    </row>
    <row r="3" spans="2:13" ht="15" customHeight="1">
      <c r="B3" s="162"/>
      <c r="C3" s="162">
        <v>2015</v>
      </c>
      <c r="D3" s="162">
        <v>2020</v>
      </c>
      <c r="E3" s="162">
        <v>2030</v>
      </c>
      <c r="F3" s="162">
        <v>2040</v>
      </c>
      <c r="G3" s="162">
        <v>2050</v>
      </c>
      <c r="H3" s="1292" t="s">
        <v>290</v>
      </c>
      <c r="I3" s="1292"/>
      <c r="J3" s="1292" t="s">
        <v>289</v>
      </c>
      <c r="K3" s="1292"/>
      <c r="L3" s="161" t="s">
        <v>288</v>
      </c>
      <c r="M3" s="161" t="s">
        <v>287</v>
      </c>
    </row>
    <row r="4" spans="2:13">
      <c r="B4" s="190"/>
      <c r="C4" s="190"/>
      <c r="D4" s="190"/>
      <c r="E4" s="190"/>
      <c r="F4" s="190"/>
      <c r="G4" s="190"/>
      <c r="H4" s="188" t="s">
        <v>284</v>
      </c>
      <c r="I4" s="188" t="s">
        <v>283</v>
      </c>
      <c r="J4" s="188" t="s">
        <v>284</v>
      </c>
      <c r="K4" s="188" t="s">
        <v>283</v>
      </c>
      <c r="L4" s="188"/>
      <c r="M4" s="188"/>
    </row>
    <row r="5" spans="2:13">
      <c r="B5" s="186" t="s">
        <v>282</v>
      </c>
      <c r="C5" s="185"/>
      <c r="D5" s="185"/>
      <c r="E5" s="185"/>
      <c r="F5" s="185"/>
      <c r="G5" s="185"/>
      <c r="H5" s="185"/>
      <c r="I5" s="185"/>
      <c r="J5" s="185"/>
      <c r="K5" s="185"/>
      <c r="L5" s="183"/>
      <c r="M5" s="225"/>
    </row>
    <row r="6" spans="2:13">
      <c r="B6" s="180" t="s">
        <v>381</v>
      </c>
      <c r="C6" s="180">
        <v>70</v>
      </c>
      <c r="D6" s="180">
        <v>100</v>
      </c>
      <c r="E6" s="180">
        <v>250</v>
      </c>
      <c r="F6" s="180">
        <v>500</v>
      </c>
      <c r="G6" s="180">
        <v>700</v>
      </c>
      <c r="H6" s="179">
        <v>0.75</v>
      </c>
      <c r="I6" s="179">
        <v>1.25</v>
      </c>
      <c r="J6" s="179">
        <v>0.75</v>
      </c>
      <c r="K6" s="179">
        <v>1.25</v>
      </c>
      <c r="L6" s="178" t="s">
        <v>280</v>
      </c>
      <c r="M6" s="178" t="s">
        <v>382</v>
      </c>
    </row>
    <row r="7" spans="2:13">
      <c r="B7" s="190" t="s">
        <v>278</v>
      </c>
      <c r="C7" s="261">
        <v>2.3148148148148149</v>
      </c>
      <c r="D7" s="261">
        <v>3.306878306878307</v>
      </c>
      <c r="E7" s="261">
        <v>8.2671957671957657</v>
      </c>
      <c r="F7" s="261">
        <v>16.534391534391531</v>
      </c>
      <c r="G7" s="261">
        <v>23.148148148148149</v>
      </c>
      <c r="H7" s="189">
        <v>0.75</v>
      </c>
      <c r="I7" s="189">
        <v>1.25</v>
      </c>
      <c r="J7" s="189">
        <v>0.75</v>
      </c>
      <c r="K7" s="189">
        <v>1.25</v>
      </c>
      <c r="L7" s="188" t="s">
        <v>383</v>
      </c>
      <c r="M7" s="188" t="s">
        <v>382</v>
      </c>
    </row>
    <row r="8" spans="2:13">
      <c r="B8" s="186" t="s">
        <v>384</v>
      </c>
      <c r="C8" s="185"/>
      <c r="D8" s="185"/>
      <c r="E8" s="185"/>
      <c r="F8" s="185"/>
      <c r="G8" s="185"/>
      <c r="H8" s="185"/>
      <c r="I8" s="185"/>
      <c r="J8" s="185"/>
      <c r="K8" s="185"/>
      <c r="L8" s="183"/>
      <c r="M8" s="225"/>
    </row>
    <row r="9" spans="2:13">
      <c r="B9" s="180" t="s">
        <v>385</v>
      </c>
      <c r="C9" s="180">
        <v>0.53</v>
      </c>
      <c r="D9" s="180">
        <v>0.53</v>
      </c>
      <c r="E9" s="180">
        <v>0.53</v>
      </c>
      <c r="F9" s="180">
        <v>0.53</v>
      </c>
      <c r="G9" s="180">
        <v>0.53</v>
      </c>
      <c r="H9" s="206">
        <v>0.8</v>
      </c>
      <c r="I9" s="206">
        <v>1.2</v>
      </c>
      <c r="J9" s="206">
        <v>0.8</v>
      </c>
      <c r="K9" s="206">
        <v>1.2</v>
      </c>
      <c r="L9" s="178" t="s">
        <v>386</v>
      </c>
      <c r="M9" s="178">
        <v>2</v>
      </c>
    </row>
    <row r="10" spans="2:13">
      <c r="B10" s="162" t="s">
        <v>119</v>
      </c>
      <c r="C10" s="162">
        <v>0.46</v>
      </c>
      <c r="D10" s="162">
        <v>0.46</v>
      </c>
      <c r="E10" s="162">
        <v>0.46</v>
      </c>
      <c r="F10" s="162">
        <v>0.46</v>
      </c>
      <c r="G10" s="162">
        <v>0.46</v>
      </c>
      <c r="H10" s="205">
        <v>0.8</v>
      </c>
      <c r="I10" s="205">
        <v>1.2</v>
      </c>
      <c r="J10" s="205">
        <v>0.8</v>
      </c>
      <c r="K10" s="205">
        <v>1.2</v>
      </c>
      <c r="L10" s="161" t="s">
        <v>387</v>
      </c>
      <c r="M10" s="161">
        <v>2</v>
      </c>
    </row>
    <row r="11" spans="2:13">
      <c r="B11" s="190" t="s">
        <v>96</v>
      </c>
      <c r="C11" s="190">
        <v>0.01</v>
      </c>
      <c r="D11" s="190">
        <v>0.01</v>
      </c>
      <c r="E11" s="190">
        <v>0.01</v>
      </c>
      <c r="F11" s="190">
        <v>0.01</v>
      </c>
      <c r="G11" s="190">
        <v>0.01</v>
      </c>
      <c r="H11" s="208">
        <v>0.5</v>
      </c>
      <c r="I11" s="208">
        <v>1.5</v>
      </c>
      <c r="J11" s="208">
        <v>0.5</v>
      </c>
      <c r="K11" s="208">
        <v>1.5</v>
      </c>
      <c r="L11" s="188" t="s">
        <v>269</v>
      </c>
      <c r="M11" s="188">
        <v>2</v>
      </c>
    </row>
    <row r="12" spans="2:13">
      <c r="B12" s="186" t="s">
        <v>271</v>
      </c>
      <c r="C12" s="185"/>
      <c r="D12" s="185"/>
      <c r="E12" s="185"/>
      <c r="F12" s="185"/>
      <c r="G12" s="185"/>
      <c r="H12" s="213"/>
      <c r="I12" s="213"/>
      <c r="J12" s="213"/>
      <c r="K12" s="213"/>
      <c r="L12" s="183"/>
      <c r="M12" s="225"/>
    </row>
    <row r="13" spans="2:13">
      <c r="B13" s="180" t="s">
        <v>388</v>
      </c>
      <c r="C13" s="180">
        <v>0.89</v>
      </c>
      <c r="D13" s="180">
        <v>0.89</v>
      </c>
      <c r="E13" s="180">
        <v>0.89</v>
      </c>
      <c r="F13" s="180">
        <v>0.89</v>
      </c>
      <c r="G13" s="180">
        <v>0.89</v>
      </c>
      <c r="H13" s="179">
        <v>0.9</v>
      </c>
      <c r="I13" s="179">
        <v>1.1000000000000001</v>
      </c>
      <c r="J13" s="179">
        <v>0.95</v>
      </c>
      <c r="K13" s="179">
        <v>1.05</v>
      </c>
      <c r="L13" s="178" t="s">
        <v>389</v>
      </c>
      <c r="M13" s="178">
        <v>2</v>
      </c>
    </row>
    <row r="14" spans="2:13">
      <c r="B14" s="190" t="s">
        <v>109</v>
      </c>
      <c r="C14" s="272">
        <v>0.1</v>
      </c>
      <c r="D14" s="272">
        <v>0.1</v>
      </c>
      <c r="E14" s="272">
        <v>0.1</v>
      </c>
      <c r="F14" s="272">
        <v>0.1</v>
      </c>
      <c r="G14" s="272">
        <v>0.1</v>
      </c>
      <c r="H14" s="208">
        <v>0.5</v>
      </c>
      <c r="I14" s="208">
        <v>1.5</v>
      </c>
      <c r="J14" s="208">
        <v>0.5</v>
      </c>
      <c r="K14" s="208">
        <v>1.5</v>
      </c>
      <c r="L14" s="188" t="s">
        <v>389</v>
      </c>
      <c r="M14" s="188">
        <v>2</v>
      </c>
    </row>
    <row r="15" spans="2:13">
      <c r="B15" s="207"/>
      <c r="C15" s="185"/>
      <c r="D15" s="185"/>
      <c r="E15" s="185"/>
      <c r="F15" s="185"/>
      <c r="G15" s="185"/>
      <c r="H15" s="213"/>
      <c r="I15" s="213"/>
      <c r="J15" s="213"/>
      <c r="K15" s="213"/>
      <c r="L15" s="183"/>
      <c r="M15" s="225"/>
    </row>
    <row r="16" spans="2:13">
      <c r="B16" s="180" t="s">
        <v>59</v>
      </c>
      <c r="C16" s="180">
        <v>4</v>
      </c>
      <c r="D16" s="180">
        <v>4</v>
      </c>
      <c r="E16" s="180">
        <v>0</v>
      </c>
      <c r="F16" s="180">
        <v>0</v>
      </c>
      <c r="G16" s="180">
        <v>0</v>
      </c>
      <c r="H16" s="180"/>
      <c r="I16" s="180"/>
      <c r="J16" s="180"/>
      <c r="K16" s="180"/>
      <c r="L16" s="178" t="s">
        <v>255</v>
      </c>
      <c r="M16" s="178"/>
    </row>
    <row r="17" spans="2:13">
      <c r="B17" s="162" t="s">
        <v>92</v>
      </c>
      <c r="C17" s="162">
        <v>2</v>
      </c>
      <c r="D17" s="162">
        <v>2</v>
      </c>
      <c r="E17" s="162">
        <v>2</v>
      </c>
      <c r="F17" s="162">
        <v>2</v>
      </c>
      <c r="G17" s="162">
        <v>2</v>
      </c>
      <c r="H17" s="162"/>
      <c r="I17" s="162"/>
      <c r="J17" s="162"/>
      <c r="K17" s="162"/>
      <c r="L17" s="161"/>
      <c r="M17" s="161"/>
    </row>
    <row r="18" spans="2:13">
      <c r="B18" s="162" t="s">
        <v>58</v>
      </c>
      <c r="C18" s="162">
        <v>25</v>
      </c>
      <c r="D18" s="162">
        <v>25</v>
      </c>
      <c r="E18" s="162">
        <v>25</v>
      </c>
      <c r="F18" s="162">
        <v>25</v>
      </c>
      <c r="G18" s="162">
        <v>25</v>
      </c>
      <c r="H18" s="162"/>
      <c r="I18" s="162"/>
      <c r="J18" s="162"/>
      <c r="K18" s="162"/>
      <c r="L18" s="161"/>
      <c r="M18" s="161"/>
    </row>
    <row r="19" spans="2:13">
      <c r="B19" s="190" t="s">
        <v>60</v>
      </c>
      <c r="C19" s="190">
        <v>1</v>
      </c>
      <c r="D19" s="190">
        <v>1</v>
      </c>
      <c r="E19" s="190">
        <v>1</v>
      </c>
      <c r="F19" s="190">
        <v>1</v>
      </c>
      <c r="G19" s="190">
        <v>1</v>
      </c>
      <c r="H19" s="190"/>
      <c r="I19" s="190"/>
      <c r="J19" s="190"/>
      <c r="K19" s="190"/>
      <c r="L19" s="188"/>
      <c r="M19" s="188"/>
    </row>
    <row r="20" spans="2:13">
      <c r="B20" s="186" t="s">
        <v>264</v>
      </c>
      <c r="C20" s="185"/>
      <c r="D20" s="185"/>
      <c r="E20" s="185"/>
      <c r="F20" s="185"/>
      <c r="G20" s="185"/>
      <c r="H20" s="185"/>
      <c r="I20" s="185"/>
      <c r="J20" s="185"/>
      <c r="K20" s="185"/>
      <c r="L20" s="183"/>
      <c r="M20" s="225"/>
    </row>
    <row r="21" spans="2:13">
      <c r="B21" s="180" t="s">
        <v>392</v>
      </c>
      <c r="C21" s="201">
        <v>1.0886400000000001</v>
      </c>
      <c r="D21" s="201">
        <v>0.90720000000000001</v>
      </c>
      <c r="E21" s="201">
        <v>0.75600000000000012</v>
      </c>
      <c r="F21" s="201">
        <v>0.60480000000000012</v>
      </c>
      <c r="G21" s="201">
        <v>0.4536</v>
      </c>
      <c r="H21" s="179">
        <v>0.5</v>
      </c>
      <c r="I21" s="179">
        <v>1.5</v>
      </c>
      <c r="J21" s="179">
        <v>0.5</v>
      </c>
      <c r="K21" s="179">
        <v>1.5</v>
      </c>
      <c r="L21" s="178" t="s">
        <v>393</v>
      </c>
      <c r="M21" s="178">
        <v>1</v>
      </c>
    </row>
    <row r="22" spans="2:13">
      <c r="B22" s="162" t="s">
        <v>394</v>
      </c>
      <c r="C22" s="162">
        <v>75</v>
      </c>
      <c r="D22" s="162">
        <v>75</v>
      </c>
      <c r="E22" s="162">
        <v>75</v>
      </c>
      <c r="F22" s="162">
        <v>75</v>
      </c>
      <c r="G22" s="162">
        <v>75</v>
      </c>
      <c r="H22" s="167"/>
      <c r="I22" s="167"/>
      <c r="J22" s="167"/>
      <c r="K22" s="167"/>
      <c r="L22" s="161"/>
      <c r="M22" s="161"/>
    </row>
    <row r="23" spans="2:13">
      <c r="B23" s="162" t="s">
        <v>251</v>
      </c>
      <c r="C23" s="163">
        <v>25</v>
      </c>
      <c r="D23" s="162">
        <v>25</v>
      </c>
      <c r="E23" s="162">
        <v>25</v>
      </c>
      <c r="F23" s="162">
        <v>25</v>
      </c>
      <c r="G23" s="162">
        <v>25</v>
      </c>
      <c r="H23" s="167"/>
      <c r="I23" s="167"/>
      <c r="J23" s="167"/>
      <c r="K23" s="167"/>
      <c r="L23" s="161"/>
      <c r="M23" s="161"/>
    </row>
    <row r="24" spans="2:13">
      <c r="B24" s="162" t="s">
        <v>395</v>
      </c>
      <c r="C24" s="286">
        <v>4.3545599999999997E-2</v>
      </c>
      <c r="D24" s="168">
        <v>3.6288000000000001E-2</v>
      </c>
      <c r="E24" s="168">
        <v>3.0240000000000006E-2</v>
      </c>
      <c r="F24" s="168">
        <v>2.4192000000000005E-2</v>
      </c>
      <c r="G24" s="168">
        <v>1.8144E-2</v>
      </c>
      <c r="H24" s="167">
        <v>0.9</v>
      </c>
      <c r="I24" s="167">
        <v>1.1000000000000001</v>
      </c>
      <c r="J24" s="167">
        <v>0.9</v>
      </c>
      <c r="K24" s="167">
        <v>1.1000000000000001</v>
      </c>
      <c r="L24" s="161"/>
      <c r="M24" s="161">
        <v>1</v>
      </c>
    </row>
    <row r="25" spans="2:13">
      <c r="B25" s="162" t="s">
        <v>396</v>
      </c>
      <c r="C25" s="197">
        <v>5.1840000000000002</v>
      </c>
      <c r="D25" s="197">
        <v>4.32</v>
      </c>
      <c r="E25" s="197">
        <v>3.6000000000000005</v>
      </c>
      <c r="F25" s="197">
        <v>2.8800000000000003</v>
      </c>
      <c r="G25" s="197">
        <v>2.16</v>
      </c>
      <c r="H25" s="167">
        <v>0.9</v>
      </c>
      <c r="I25" s="167">
        <v>1.1000000000000001</v>
      </c>
      <c r="J25" s="167">
        <v>0.9</v>
      </c>
      <c r="K25" s="167">
        <v>1.1000000000000001</v>
      </c>
      <c r="L25" s="161"/>
      <c r="M25" s="161">
        <v>1</v>
      </c>
    </row>
    <row r="26" spans="2:13">
      <c r="B26" s="190" t="s">
        <v>397</v>
      </c>
      <c r="C26" s="190">
        <v>0</v>
      </c>
      <c r="D26" s="190">
        <v>0</v>
      </c>
      <c r="E26" s="190">
        <v>0</v>
      </c>
      <c r="F26" s="190">
        <v>0</v>
      </c>
      <c r="G26" s="190">
        <v>0</v>
      </c>
      <c r="H26" s="189"/>
      <c r="I26" s="189"/>
      <c r="J26" s="189"/>
      <c r="K26" s="189"/>
      <c r="L26" s="188"/>
      <c r="M26" s="188"/>
    </row>
    <row r="27" spans="2:13">
      <c r="B27" s="186" t="s">
        <v>260</v>
      </c>
      <c r="C27" s="185"/>
      <c r="D27" s="185"/>
      <c r="E27" s="185"/>
      <c r="F27" s="185"/>
      <c r="G27" s="185"/>
      <c r="H27" s="184"/>
      <c r="I27" s="184"/>
      <c r="J27" s="184"/>
      <c r="K27" s="184"/>
      <c r="L27" s="183"/>
      <c r="M27" s="225"/>
    </row>
    <row r="28" spans="2:13">
      <c r="B28" s="180" t="s">
        <v>398</v>
      </c>
      <c r="C28" s="180">
        <v>50.7</v>
      </c>
      <c r="D28" s="180">
        <v>50.7</v>
      </c>
      <c r="E28" s="180">
        <v>50.7</v>
      </c>
      <c r="F28" s="180">
        <v>50.7</v>
      </c>
      <c r="G28" s="180">
        <v>50.7</v>
      </c>
      <c r="H28" s="179"/>
      <c r="I28" s="179"/>
      <c r="J28" s="179"/>
      <c r="K28" s="179"/>
      <c r="L28" s="178"/>
      <c r="M28" s="178"/>
    </row>
    <row r="29" spans="2:13">
      <c r="B29" s="162" t="s">
        <v>399</v>
      </c>
      <c r="C29" s="162">
        <v>3.5999999999999997E-2</v>
      </c>
      <c r="D29" s="162">
        <v>0.03</v>
      </c>
      <c r="E29" s="162">
        <v>2.5000000000000001E-2</v>
      </c>
      <c r="F29" s="162">
        <v>0.02</v>
      </c>
      <c r="G29" s="162">
        <v>1.4999999999999999E-2</v>
      </c>
      <c r="H29" s="167">
        <v>0.5</v>
      </c>
      <c r="I29" s="167">
        <v>1.5</v>
      </c>
      <c r="J29" s="167">
        <v>0.5</v>
      </c>
      <c r="K29" s="167">
        <v>1.5</v>
      </c>
      <c r="L29" s="161" t="s">
        <v>393</v>
      </c>
      <c r="M29" s="161">
        <v>1</v>
      </c>
    </row>
    <row r="30" spans="2:13">
      <c r="B30" s="162" t="s">
        <v>394</v>
      </c>
      <c r="C30" s="162">
        <v>75</v>
      </c>
      <c r="D30" s="162">
        <v>75</v>
      </c>
      <c r="E30" s="162">
        <v>75</v>
      </c>
      <c r="F30" s="162">
        <v>75</v>
      </c>
      <c r="G30" s="162">
        <v>75</v>
      </c>
      <c r="H30" s="167"/>
      <c r="I30" s="167"/>
      <c r="J30" s="167"/>
      <c r="K30" s="167"/>
      <c r="L30" s="161"/>
      <c r="M30" s="161"/>
    </row>
    <row r="31" spans="2:13">
      <c r="B31" s="162" t="s">
        <v>251</v>
      </c>
      <c r="C31" s="163">
        <v>25</v>
      </c>
      <c r="D31" s="162">
        <v>25</v>
      </c>
      <c r="E31" s="162">
        <v>25</v>
      </c>
      <c r="F31" s="162">
        <v>25</v>
      </c>
      <c r="G31" s="162">
        <v>25</v>
      </c>
      <c r="H31" s="167"/>
      <c r="I31" s="167"/>
      <c r="J31" s="167"/>
      <c r="K31" s="167"/>
      <c r="L31" s="161"/>
      <c r="M31" s="161"/>
    </row>
    <row r="32" spans="2:13">
      <c r="B32" s="162" t="s">
        <v>400</v>
      </c>
      <c r="C32" s="290">
        <v>0.14399999999999999</v>
      </c>
      <c r="D32" s="197">
        <v>0.12</v>
      </c>
      <c r="E32" s="197">
        <v>0.1</v>
      </c>
      <c r="F32" s="197">
        <v>0.08</v>
      </c>
      <c r="G32" s="197">
        <v>0.06</v>
      </c>
      <c r="H32" s="167">
        <v>0.9</v>
      </c>
      <c r="I32" s="167">
        <v>1.1000000000000001</v>
      </c>
      <c r="J32" s="167">
        <v>0.9</v>
      </c>
      <c r="K32" s="167">
        <v>1.1000000000000001</v>
      </c>
      <c r="L32" s="161"/>
      <c r="M32" s="161">
        <v>1</v>
      </c>
    </row>
    <row r="33" spans="2:13">
      <c r="B33" s="162" t="s">
        <v>401</v>
      </c>
      <c r="C33" s="197">
        <v>0.14399999999999999</v>
      </c>
      <c r="D33" s="197">
        <v>0.12</v>
      </c>
      <c r="E33" s="197">
        <v>0.1</v>
      </c>
      <c r="F33" s="197">
        <v>0.08</v>
      </c>
      <c r="G33" s="197">
        <v>0.06</v>
      </c>
      <c r="H33" s="167">
        <v>0.9</v>
      </c>
      <c r="I33" s="167">
        <v>1.1000000000000001</v>
      </c>
      <c r="J33" s="167">
        <v>0.9</v>
      </c>
      <c r="K33" s="167">
        <v>1.1000000000000001</v>
      </c>
      <c r="L33" s="161"/>
      <c r="M33" s="161">
        <v>1</v>
      </c>
    </row>
    <row r="34" spans="2:13">
      <c r="B34" s="162" t="s">
        <v>397</v>
      </c>
      <c r="C34" s="162">
        <v>0</v>
      </c>
      <c r="D34" s="162">
        <v>0</v>
      </c>
      <c r="E34" s="162">
        <v>0</v>
      </c>
      <c r="F34" s="162">
        <v>0</v>
      </c>
      <c r="G34" s="162">
        <v>0</v>
      </c>
      <c r="H34" s="205"/>
      <c r="I34" s="205"/>
      <c r="J34" s="205"/>
      <c r="K34" s="205"/>
      <c r="L34" s="161"/>
      <c r="M34" s="161"/>
    </row>
    <row r="36" spans="2:13">
      <c r="B36" s="886" t="s">
        <v>695</v>
      </c>
    </row>
    <row r="37" spans="2:13">
      <c r="B37" s="885" t="s">
        <v>1239</v>
      </c>
    </row>
    <row r="38" spans="2:13">
      <c r="B38" s="885" t="s">
        <v>1238</v>
      </c>
    </row>
    <row r="39" spans="2:13">
      <c r="B39" s="885" t="s">
        <v>1237</v>
      </c>
    </row>
    <row r="40" spans="2:13">
      <c r="B40" s="885" t="s">
        <v>1236</v>
      </c>
    </row>
    <row r="41" spans="2:13">
      <c r="B41" s="885" t="s">
        <v>1235</v>
      </c>
    </row>
    <row r="42" spans="2:13">
      <c r="B42" s="885" t="s">
        <v>1234</v>
      </c>
    </row>
    <row r="43" spans="2:13">
      <c r="B43" s="885" t="s">
        <v>1233</v>
      </c>
    </row>
    <row r="44" spans="2:13">
      <c r="B44" s="885" t="s">
        <v>1232</v>
      </c>
    </row>
    <row r="45" spans="2:13">
      <c r="B45" s="885" t="s">
        <v>1231</v>
      </c>
    </row>
    <row r="47" spans="2:13">
      <c r="B47" s="886" t="s">
        <v>989</v>
      </c>
    </row>
    <row r="48" spans="2:13">
      <c r="B48" s="885" t="s">
        <v>1230</v>
      </c>
    </row>
    <row r="49" spans="2:2">
      <c r="B49" s="885" t="s">
        <v>1229</v>
      </c>
    </row>
    <row r="50" spans="2:2">
      <c r="B50" s="885" t="s">
        <v>1228</v>
      </c>
    </row>
    <row r="51" spans="2:2">
      <c r="B51" s="885" t="s">
        <v>1227</v>
      </c>
    </row>
    <row r="52" spans="2:2">
      <c r="B52" s="885" t="s">
        <v>1226</v>
      </c>
    </row>
    <row r="53" spans="2:2">
      <c r="B53" s="885" t="s">
        <v>1225</v>
      </c>
    </row>
    <row r="54" spans="2:2">
      <c r="B54" s="885" t="s">
        <v>1224</v>
      </c>
    </row>
    <row r="55" spans="2:2">
      <c r="B55" s="885" t="s">
        <v>1223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B24" sqref="B24"/>
    </sheetView>
  </sheetViews>
  <sheetFormatPr defaultColWidth="9.109375" defaultRowHeight="14.4"/>
  <cols>
    <col min="2" max="2" width="35.88671875" bestFit="1" customWidth="1"/>
    <col min="3" max="3" width="25.44140625" customWidth="1"/>
    <col min="4" max="13" width="7.109375" customWidth="1"/>
  </cols>
  <sheetData>
    <row r="1" spans="2:14">
      <c r="I1" s="884" t="s">
        <v>966</v>
      </c>
    </row>
    <row r="2" spans="2:14">
      <c r="C2" s="260" t="s">
        <v>296</v>
      </c>
      <c r="D2" s="260" t="s">
        <v>1262</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62"/>
      <c r="D4" s="162"/>
      <c r="E4" s="162"/>
      <c r="F4" s="162"/>
      <c r="G4" s="162"/>
      <c r="H4" s="162"/>
      <c r="I4" s="161" t="s">
        <v>284</v>
      </c>
      <c r="J4" s="161" t="s">
        <v>283</v>
      </c>
      <c r="K4" s="161" t="s">
        <v>284</v>
      </c>
      <c r="L4" s="161" t="s">
        <v>283</v>
      </c>
      <c r="M4" s="161"/>
      <c r="N4" s="161"/>
    </row>
    <row r="5" spans="2:14">
      <c r="C5" s="260" t="s">
        <v>282</v>
      </c>
      <c r="D5" s="162"/>
      <c r="E5" s="162"/>
      <c r="F5" s="162"/>
      <c r="G5" s="162"/>
      <c r="H5" s="162"/>
      <c r="I5" s="162"/>
      <c r="J5" s="162"/>
      <c r="K5" s="162"/>
      <c r="L5" s="162"/>
      <c r="M5" s="161"/>
      <c r="N5" s="161"/>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62" t="s">
        <v>1152</v>
      </c>
      <c r="D6" s="956" t="s">
        <v>1136</v>
      </c>
      <c r="E6" s="956">
        <v>120</v>
      </c>
      <c r="F6" s="956">
        <v>180</v>
      </c>
      <c r="G6" s="956">
        <v>250</v>
      </c>
      <c r="H6" s="956">
        <v>300</v>
      </c>
      <c r="I6" s="941">
        <v>0.5</v>
      </c>
      <c r="J6" s="941">
        <v>1.25</v>
      </c>
      <c r="K6" s="941">
        <v>0.75</v>
      </c>
      <c r="L6" s="941">
        <v>1.25</v>
      </c>
      <c r="M6" s="161" t="s">
        <v>280</v>
      </c>
      <c r="N6" s="161"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956" t="s">
        <v>1136</v>
      </c>
      <c r="E7" s="956">
        <v>145</v>
      </c>
      <c r="F7" s="956">
        <v>220</v>
      </c>
      <c r="G7" s="956">
        <v>300</v>
      </c>
      <c r="H7" s="956">
        <v>360</v>
      </c>
      <c r="I7" s="941">
        <v>0.5</v>
      </c>
      <c r="J7" s="941">
        <v>1.25</v>
      </c>
      <c r="K7" s="941">
        <v>0.75</v>
      </c>
      <c r="L7" s="941">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260" t="s">
        <v>384</v>
      </c>
      <c r="D8" s="956"/>
      <c r="E8" s="956"/>
      <c r="F8" s="956"/>
      <c r="G8" s="956"/>
      <c r="H8" s="956"/>
      <c r="I8" s="941"/>
      <c r="J8" s="163"/>
      <c r="K8" s="163"/>
      <c r="L8" s="163"/>
      <c r="M8" s="161"/>
      <c r="N8" s="161"/>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956" t="s">
        <v>1136</v>
      </c>
      <c r="E9" s="956">
        <v>0.95</v>
      </c>
      <c r="F9" s="956">
        <v>0.95</v>
      </c>
      <c r="G9" s="956">
        <v>0.95</v>
      </c>
      <c r="H9" s="956">
        <v>0.95</v>
      </c>
      <c r="I9" s="941">
        <v>0.9</v>
      </c>
      <c r="J9" s="949">
        <v>1.5</v>
      </c>
      <c r="K9" s="949">
        <v>0.9</v>
      </c>
      <c r="L9" s="949">
        <v>1.25</v>
      </c>
      <c r="M9" s="161" t="s">
        <v>266</v>
      </c>
      <c r="N9" s="161">
        <v>4</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956" t="s">
        <v>1136</v>
      </c>
      <c r="E10" s="956">
        <v>0.05</v>
      </c>
      <c r="F10" s="956">
        <v>0.05</v>
      </c>
      <c r="G10" s="956">
        <v>0.05</v>
      </c>
      <c r="H10" s="956">
        <v>0.05</v>
      </c>
      <c r="I10" s="941">
        <v>0.75</v>
      </c>
      <c r="J10" s="949">
        <v>1.25</v>
      </c>
      <c r="K10" s="949">
        <v>0.75</v>
      </c>
      <c r="L10" s="949">
        <v>1.25</v>
      </c>
      <c r="M10" s="161" t="s">
        <v>266</v>
      </c>
      <c r="N10" s="161">
        <v>4</v>
      </c>
    </row>
    <row r="11" spans="2:14">
      <c r="B11" t="str">
        <f>IF(IF(OR(LEFT(C11,27)=SUP_Biofuels!$N$8,LEFT(C11,20)=SUP_Biofuels!$O$8,LEFT(C11,20)=SUP_Biofuels!$P$8),LEFT(C11,20),C11)="Specific investment ","Specific investment (M€ /MW",IF(OR(LEFT(C11,27)=SUP_Biofuels!$N$8,LEFT(C11,20)=SUP_Biofuels!$O$8,LEFT(C11,20)=SUP_Biofuels!$P$8),LEFT(C11,20),C11))</f>
        <v>Outputs</v>
      </c>
      <c r="C11" s="260" t="s">
        <v>271</v>
      </c>
      <c r="D11" s="956"/>
      <c r="E11" s="956"/>
      <c r="F11" s="956"/>
      <c r="G11" s="956"/>
      <c r="H11" s="956"/>
      <c r="I11" s="941"/>
      <c r="J11" s="949"/>
      <c r="K11" s="949"/>
      <c r="L11" s="949"/>
      <c r="M11" s="161"/>
      <c r="N11" s="161"/>
    </row>
    <row r="12" spans="2:14">
      <c r="B12" t="str">
        <f>IF(IF(OR(LEFT(C12,27)=SUP_Biofuels!$N$8,LEFT(C12,20)=SUP_Biofuels!$O$8,LEFT(C12,20)=SUP_Biofuels!$P$8),LEFT(C12,20),C12)="Specific investment ","Specific investment (M€ /MW",IF(OR(LEFT(C12,27)=SUP_Biofuels!$N$8,LEFT(C12,20)=SUP_Biofuels!$O$8,LEFT(C12,20)=SUP_Biofuels!$P$8),LEFT(C12,20),C12))</f>
        <v>Bio Oil Output, MWh/MWh Total Input</v>
      </c>
      <c r="C12" s="162" t="s">
        <v>115</v>
      </c>
      <c r="D12" s="956" t="s">
        <v>1136</v>
      </c>
      <c r="E12" s="956">
        <v>0.82</v>
      </c>
      <c r="F12" s="956">
        <v>0.82</v>
      </c>
      <c r="G12" s="956">
        <v>0.82</v>
      </c>
      <c r="H12" s="956">
        <v>0.82</v>
      </c>
      <c r="I12" s="941">
        <v>0.9</v>
      </c>
      <c r="J12" s="949">
        <v>1.1000000000000001</v>
      </c>
      <c r="K12" s="949">
        <v>0.9</v>
      </c>
      <c r="L12" s="949">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Co-products  Output MWh/MWh Total Input</v>
      </c>
      <c r="C13" s="162" t="s">
        <v>1261</v>
      </c>
      <c r="D13" s="956" t="s">
        <v>1136</v>
      </c>
      <c r="E13" s="956">
        <v>0</v>
      </c>
      <c r="F13" s="956">
        <v>0</v>
      </c>
      <c r="G13" s="956">
        <v>0</v>
      </c>
      <c r="H13" s="956">
        <v>0</v>
      </c>
      <c r="I13" s="941">
        <v>0.9</v>
      </c>
      <c r="J13" s="941">
        <v>1.1000000000000001</v>
      </c>
      <c r="K13" s="941">
        <v>0.9</v>
      </c>
      <c r="L13" s="941">
        <v>1.1000000000000001</v>
      </c>
      <c r="M13" s="161" t="s">
        <v>266</v>
      </c>
      <c r="N13" s="161">
        <v>4</v>
      </c>
    </row>
    <row r="14" spans="2:14">
      <c r="B14">
        <f>IF(IF(OR(LEFT(C14,27)=SUP_Biofuels!$N$8,LEFT(C14,20)=SUP_Biofuels!$O$8,LEFT(C14,20)=SUP_Biofuels!$P$8),LEFT(C14,20),C14)="Specific investment ","Specific investment (M€ /MW",IF(OR(LEFT(C14,27)=SUP_Biofuels!$N$8,LEFT(C14,20)=SUP_Biofuels!$O$8,LEFT(C14,20)=SUP_Biofuels!$P$8),LEFT(C14,20),C14))</f>
        <v>0</v>
      </c>
      <c r="C14" s="162"/>
      <c r="D14" s="956"/>
      <c r="E14" s="956"/>
      <c r="F14" s="956"/>
      <c r="G14" s="956"/>
      <c r="H14" s="956"/>
      <c r="I14" s="941"/>
      <c r="J14" s="941"/>
      <c r="K14" s="941"/>
      <c r="L14" s="941"/>
      <c r="M14" s="161"/>
      <c r="N14" s="161"/>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62" t="s">
        <v>59</v>
      </c>
      <c r="D15" s="956" t="s">
        <v>1136</v>
      </c>
      <c r="E15" s="956">
        <v>4</v>
      </c>
      <c r="F15" s="956">
        <v>0</v>
      </c>
      <c r="G15" s="956">
        <v>0</v>
      </c>
      <c r="H15" s="956">
        <v>0</v>
      </c>
      <c r="I15" s="941"/>
      <c r="J15" s="941"/>
      <c r="K15" s="941"/>
      <c r="L15" s="941"/>
      <c r="M15" s="161"/>
      <c r="N15" s="161"/>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956">
        <v>4</v>
      </c>
      <c r="E16" s="956">
        <v>4</v>
      </c>
      <c r="F16" s="956">
        <v>4</v>
      </c>
      <c r="G16" s="956">
        <v>4</v>
      </c>
      <c r="H16" s="956">
        <v>4</v>
      </c>
      <c r="I16" s="167"/>
      <c r="J16" s="167"/>
      <c r="K16" s="167"/>
      <c r="L16" s="167"/>
      <c r="M16" s="161" t="s">
        <v>272</v>
      </c>
      <c r="N16" s="161">
        <v>8</v>
      </c>
    </row>
    <row r="17" spans="2:19">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956" t="s">
        <v>1260</v>
      </c>
      <c r="E17" s="956" t="s">
        <v>1260</v>
      </c>
      <c r="F17" s="956" t="s">
        <v>1260</v>
      </c>
      <c r="G17" s="956" t="s">
        <v>1260</v>
      </c>
      <c r="H17" s="956" t="s">
        <v>1260</v>
      </c>
      <c r="I17" s="167"/>
      <c r="J17" s="167"/>
      <c r="K17" s="167"/>
      <c r="L17" s="167"/>
      <c r="M17" s="161"/>
      <c r="N17" s="161"/>
    </row>
    <row r="18" spans="2:19">
      <c r="B18" t="str">
        <f>IF(IF(OR(LEFT(C18,27)=SUP_Biofuels!$N$8,LEFT(C18,20)=SUP_Biofuels!$O$8,LEFT(C18,20)=SUP_Biofuels!$P$8),LEFT(C18,20),C18)="Specific investment ","Specific investment (M€ /MW",IF(OR(LEFT(C18,27)=SUP_Biofuels!$N$8,LEFT(C18,20)=SUP_Biofuels!$O$8,LEFT(C18,20)=SUP_Biofuels!$P$8),LEFT(C18,20),C18))</f>
        <v>Construction time (years)</v>
      </c>
      <c r="C18" s="162" t="s">
        <v>60</v>
      </c>
      <c r="D18" s="956">
        <v>2</v>
      </c>
      <c r="E18" s="956">
        <v>2</v>
      </c>
      <c r="F18" s="956">
        <v>2</v>
      </c>
      <c r="G18" s="956">
        <v>2</v>
      </c>
      <c r="H18" s="956">
        <v>2</v>
      </c>
      <c r="I18" s="167"/>
      <c r="J18" s="167"/>
      <c r="K18" s="167"/>
      <c r="L18" s="167"/>
      <c r="M18" s="161"/>
      <c r="N18" s="161"/>
    </row>
    <row r="19" spans="2:19">
      <c r="B19" t="str">
        <f>IF(IF(OR(LEFT(C19,27)=SUP_Biofuels!$N$8,LEFT(C19,20)=SUP_Biofuels!$O$8,LEFT(C19,20)=SUP_Biofuels!$P$8),LEFT(C19,20),C19)="Specific investment ","Specific investment (M€ /MW",IF(OR(LEFT(C19,27)=SUP_Biofuels!$N$8,LEFT(C19,20)=SUP_Biofuels!$O$8,LEFT(C19,20)=SUP_Biofuels!$P$8),LEFT(C19,20),C19))</f>
        <v xml:space="preserve">Financial data                                 </v>
      </c>
      <c r="C19" s="260" t="s">
        <v>264</v>
      </c>
      <c r="D19" s="956"/>
      <c r="E19" s="956"/>
      <c r="F19" s="956"/>
      <c r="G19" s="956"/>
      <c r="H19" s="956"/>
      <c r="I19" s="167"/>
      <c r="J19" s="167"/>
      <c r="K19" s="167"/>
      <c r="L19" s="167"/>
      <c r="M19" s="161"/>
      <c r="N19" s="161"/>
    </row>
    <row r="20" spans="2:19">
      <c r="B20" t="str">
        <f>IF(IF(OR(LEFT(C20,27)=SUP_Biofuels!$N$8,LEFT(C20,20)=SUP_Biofuels!$O$8,LEFT(C20,20)=SUP_Biofuels!$P$8),LEFT(C20,20),C20)="Specific investment ","Specific investment (M€ /MW",IF(OR(LEFT(C20,27)=SUP_Biofuels!$N$8,LEFT(C20,20)=SUP_Biofuels!$O$8,LEFT(C20,20)=SUP_Biofuels!$P$8),LEFT(C20,20),C20))</f>
        <v>Specific investment (M€ /MW</v>
      </c>
      <c r="C20" s="162" t="s">
        <v>1147</v>
      </c>
      <c r="D20" s="956" t="s">
        <v>1136</v>
      </c>
      <c r="E20" s="958">
        <v>2.1972752043596731</v>
      </c>
      <c r="F20" s="958">
        <v>1.6479564032697545</v>
      </c>
      <c r="G20" s="958">
        <v>1.2359673024523161</v>
      </c>
      <c r="H20" s="958">
        <v>1.0986376021798363</v>
      </c>
      <c r="I20" s="167">
        <v>0.75</v>
      </c>
      <c r="J20" s="167">
        <v>1.25</v>
      </c>
      <c r="K20" s="167">
        <v>0.75</v>
      </c>
      <c r="L20" s="167">
        <v>1.25</v>
      </c>
      <c r="M20" s="161" t="s">
        <v>1142</v>
      </c>
      <c r="N20" s="161" t="s">
        <v>1141</v>
      </c>
      <c r="P20" t="str">
        <f>LEFT(C20,27)</f>
        <v>Specific investment (M€ /MW</v>
      </c>
      <c r="S20" t="str">
        <f>SUP_Biofuels!$N$8</f>
        <v>Specific investment (M€ /MW</v>
      </c>
    </row>
    <row r="21" spans="2:19">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956" t="s">
        <v>1136</v>
      </c>
      <c r="E21" s="956">
        <v>75</v>
      </c>
      <c r="F21" s="956">
        <v>75</v>
      </c>
      <c r="G21" s="956">
        <v>75</v>
      </c>
      <c r="H21" s="956">
        <v>75</v>
      </c>
      <c r="I21" s="167"/>
      <c r="J21" s="167"/>
      <c r="K21" s="167"/>
      <c r="L21" s="167"/>
      <c r="M21" s="161"/>
      <c r="N21" s="161"/>
    </row>
    <row r="22" spans="2:19">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956" t="s">
        <v>1136</v>
      </c>
      <c r="E22" s="956">
        <v>25</v>
      </c>
      <c r="F22" s="956">
        <v>25</v>
      </c>
      <c r="G22" s="956">
        <v>25</v>
      </c>
      <c r="H22" s="956">
        <v>25</v>
      </c>
      <c r="I22" s="167"/>
      <c r="J22" s="167"/>
      <c r="K22" s="167"/>
      <c r="L22" s="167"/>
      <c r="M22" s="161"/>
      <c r="N22" s="161"/>
    </row>
    <row r="23" spans="2:19">
      <c r="B23" t="str">
        <f>LEFT(C23,17)</f>
        <v>Fixed O&amp;M (M€ /MW</v>
      </c>
      <c r="C23" s="162" t="s">
        <v>1259</v>
      </c>
      <c r="D23" s="956" t="s">
        <v>1136</v>
      </c>
      <c r="E23" s="957">
        <v>6.2779291553133512E-2</v>
      </c>
      <c r="F23" s="957">
        <v>6.2779291553133498E-2</v>
      </c>
      <c r="G23" s="957">
        <v>6.2779291553133498E-2</v>
      </c>
      <c r="H23" s="957">
        <v>6.2779291553133498E-2</v>
      </c>
      <c r="I23" s="167">
        <v>0.75</v>
      </c>
      <c r="J23" s="167">
        <v>1.25</v>
      </c>
      <c r="K23" s="167">
        <v>0.75</v>
      </c>
      <c r="L23" s="167">
        <v>1.25</v>
      </c>
      <c r="M23" s="161" t="s">
        <v>1138</v>
      </c>
      <c r="N23" s="161">
        <v>6</v>
      </c>
    </row>
    <row r="24" spans="2:19">
      <c r="B24" t="str">
        <f>LEFT(C24,19)</f>
        <v>Variable O&amp;M (€ /MW</v>
      </c>
      <c r="C24" s="162" t="s">
        <v>247</v>
      </c>
      <c r="D24" s="956" t="s">
        <v>1136</v>
      </c>
      <c r="E24" s="957">
        <v>14.013234721681588</v>
      </c>
      <c r="F24" s="957">
        <v>14.013234721681586</v>
      </c>
      <c r="G24" s="957">
        <v>14.013234721681586</v>
      </c>
      <c r="H24" s="957">
        <v>14.013234721681588</v>
      </c>
      <c r="I24" s="167">
        <v>0.75</v>
      </c>
      <c r="J24" s="167">
        <v>1.25</v>
      </c>
      <c r="K24" s="167">
        <v>0.75</v>
      </c>
      <c r="L24" s="167">
        <v>1.25</v>
      </c>
      <c r="M24" s="161" t="s">
        <v>1138</v>
      </c>
      <c r="N24" s="161">
        <v>6</v>
      </c>
    </row>
    <row r="25" spans="2:19">
      <c r="B25" t="str">
        <f>IF(IF(OR(LEFT(C25,27)=SUP_Biofuels!$N$8,LEFT(C25,20)=SUP_Biofuels!$O$8,LEFT(C25,20)=SUP_Biofuels!$P$8),LEFT(C25,20),C25)="Specific investment ","Specific investment (M€ /MW",IF(OR(LEFT(C25,27)=SUP_Biofuels!$N$8,LEFT(C25,20)=SUP_Biofuels!$O$8,LEFT(C25,20)=SUP_Biofuels!$P$8),LEFT(C25,20),C25))</f>
        <v>Start up (€ /MW  Bio Oil)</v>
      </c>
      <c r="C25" s="162" t="s">
        <v>1258</v>
      </c>
      <c r="D25" s="956" t="s">
        <v>1136</v>
      </c>
      <c r="E25" s="956">
        <v>0</v>
      </c>
      <c r="F25" s="956">
        <v>0</v>
      </c>
      <c r="G25" s="956">
        <v>0</v>
      </c>
      <c r="H25" s="956">
        <v>0</v>
      </c>
      <c r="I25" s="167"/>
      <c r="J25" s="205"/>
      <c r="K25" s="205"/>
      <c r="L25" s="205"/>
      <c r="M25" s="161"/>
      <c r="N25" s="161"/>
    </row>
    <row r="26" spans="2:19">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260" t="s">
        <v>260</v>
      </c>
      <c r="D26" s="956"/>
      <c r="E26" s="956"/>
      <c r="F26" s="956"/>
      <c r="G26" s="956"/>
      <c r="H26" s="956"/>
      <c r="I26" s="167"/>
      <c r="J26" s="205"/>
      <c r="K26" s="205"/>
      <c r="L26" s="205"/>
      <c r="M26" s="161"/>
      <c r="N26" s="161"/>
    </row>
    <row r="27" spans="2:19">
      <c r="B27" t="str">
        <f>IF(IF(OR(LEFT(C27,27)=SUP_Biofuels!$N$8,LEFT(C27,20)=SUP_Biofuels!$O$8,LEFT(C27,20)=SUP_Biofuels!$P$8),LEFT(C27,20),C27)="Specific investment ","Specific investment (M€ /MW",IF(OR(LEFT(C27,27)=SUP_Biofuels!$N$8,LEFT(C27,20)=SUP_Biofuels!$O$8,LEFT(C27,20)=SUP_Biofuels!$P$8),LEFT(C27,20),C27))</f>
        <v>Specific energy content (GJ/ton) HTL)</v>
      </c>
      <c r="C27" s="162" t="s">
        <v>1257</v>
      </c>
      <c r="D27" s="956">
        <v>36.700000000000003</v>
      </c>
      <c r="E27" s="956">
        <v>36.700000000000003</v>
      </c>
      <c r="F27" s="956">
        <v>36.700000000000003</v>
      </c>
      <c r="G27" s="956">
        <v>36.700000000000003</v>
      </c>
      <c r="H27" s="956">
        <v>36.700000000000003</v>
      </c>
      <c r="I27" s="167"/>
      <c r="J27" s="205"/>
      <c r="K27" s="205"/>
      <c r="L27" s="205"/>
      <c r="M27" s="161"/>
      <c r="N27" s="161"/>
    </row>
    <row r="28" spans="2:19">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956">
        <v>1.05</v>
      </c>
      <c r="E28" s="956">
        <v>1.05</v>
      </c>
      <c r="F28" s="956">
        <v>1.05</v>
      </c>
      <c r="G28" s="956">
        <v>1.05</v>
      </c>
      <c r="H28" s="956">
        <v>1.05</v>
      </c>
      <c r="I28" s="167"/>
      <c r="J28" s="162"/>
      <c r="K28" s="162"/>
      <c r="L28" s="162"/>
      <c r="M28" s="161"/>
      <c r="N28" s="161"/>
    </row>
    <row r="29" spans="2:19">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1256</v>
      </c>
      <c r="D29" s="956" t="s">
        <v>1136</v>
      </c>
      <c r="E29" s="958">
        <v>2.6666666666666665</v>
      </c>
      <c r="F29" s="958">
        <v>2</v>
      </c>
      <c r="G29" s="958">
        <v>1.5</v>
      </c>
      <c r="H29" s="958">
        <v>1.3333333333333333</v>
      </c>
      <c r="I29" s="167">
        <v>0.75</v>
      </c>
      <c r="J29" s="167">
        <v>1.25</v>
      </c>
      <c r="K29" s="167">
        <v>0.75</v>
      </c>
      <c r="L29" s="167">
        <v>1.25</v>
      </c>
      <c r="M29" s="161" t="s">
        <v>1142</v>
      </c>
      <c r="N29" s="161" t="s">
        <v>1141</v>
      </c>
    </row>
    <row r="30" spans="2:19">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956" t="s">
        <v>1136</v>
      </c>
      <c r="E30" s="956">
        <v>75</v>
      </c>
      <c r="F30" s="956">
        <v>75</v>
      </c>
      <c r="G30" s="956">
        <v>75</v>
      </c>
      <c r="H30" s="956">
        <v>75</v>
      </c>
      <c r="I30" s="167"/>
      <c r="J30" s="167"/>
      <c r="K30" s="167"/>
      <c r="L30" s="167"/>
      <c r="M30" s="161"/>
      <c r="N30" s="161"/>
    </row>
    <row r="31" spans="2:19">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956" t="s">
        <v>1136</v>
      </c>
      <c r="E31" s="956">
        <v>25</v>
      </c>
      <c r="F31" s="956">
        <v>25</v>
      </c>
      <c r="G31" s="956">
        <v>25</v>
      </c>
      <c r="H31" s="956">
        <v>25</v>
      </c>
      <c r="I31" s="167"/>
      <c r="J31" s="167"/>
      <c r="K31" s="167"/>
      <c r="L31" s="167"/>
      <c r="M31" s="161"/>
      <c r="N31" s="161"/>
    </row>
    <row r="32" spans="2:19">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956" t="s">
        <v>1136</v>
      </c>
      <c r="E32" s="957">
        <v>7.6190476190476183E-2</v>
      </c>
      <c r="F32" s="957">
        <v>7.6190476190476183E-2</v>
      </c>
      <c r="G32" s="957">
        <v>7.6190476190476183E-2</v>
      </c>
      <c r="H32" s="957">
        <v>7.6190476190476183E-2</v>
      </c>
      <c r="I32" s="167">
        <v>0.75</v>
      </c>
      <c r="J32" s="167">
        <v>1.25</v>
      </c>
      <c r="K32" s="167">
        <v>0.75</v>
      </c>
      <c r="L32" s="167">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956" t="s">
        <v>1136</v>
      </c>
      <c r="E33" s="957">
        <v>0.14285714285714285</v>
      </c>
      <c r="F33" s="957">
        <v>0.14285714285714285</v>
      </c>
      <c r="G33" s="957">
        <v>0.14285714285714285</v>
      </c>
      <c r="H33" s="957">
        <v>0.14285714285714285</v>
      </c>
      <c r="I33" s="167">
        <v>0.75</v>
      </c>
      <c r="J33" s="167">
        <v>1.25</v>
      </c>
      <c r="K33" s="167">
        <v>0.75</v>
      </c>
      <c r="L33" s="167">
        <v>1.25</v>
      </c>
      <c r="M33" s="161" t="s">
        <v>1138</v>
      </c>
      <c r="N33" s="161">
        <v>6</v>
      </c>
    </row>
    <row r="34" spans="2:14">
      <c r="C34" s="162" t="s">
        <v>1255</v>
      </c>
      <c r="D34" s="956" t="s">
        <v>1136</v>
      </c>
      <c r="E34" s="956">
        <v>0</v>
      </c>
      <c r="F34" s="956">
        <v>0</v>
      </c>
      <c r="G34" s="956"/>
      <c r="H34" s="956">
        <v>0</v>
      </c>
      <c r="I34" s="205"/>
      <c r="J34" s="205"/>
      <c r="K34" s="205"/>
      <c r="L34" s="205"/>
      <c r="M34" s="161"/>
      <c r="N34" s="161"/>
    </row>
    <row r="36" spans="2:14">
      <c r="C36" s="886" t="s">
        <v>695</v>
      </c>
    </row>
    <row r="37" spans="2:14">
      <c r="C37" s="885" t="s">
        <v>1135</v>
      </c>
    </row>
    <row r="38" spans="2:14">
      <c r="C38" s="885" t="s">
        <v>1192</v>
      </c>
    </row>
    <row r="39" spans="2:14">
      <c r="C39" s="885" t="s">
        <v>1254</v>
      </c>
    </row>
    <row r="40" spans="2:14">
      <c r="C40" s="885" t="s">
        <v>1133</v>
      </c>
    </row>
    <row r="41" spans="2:14">
      <c r="C41" s="885" t="s">
        <v>1132</v>
      </c>
    </row>
    <row r="42" spans="2:14">
      <c r="C42" s="885" t="s">
        <v>1253</v>
      </c>
    </row>
    <row r="43" spans="2:14">
      <c r="C43" s="885" t="s">
        <v>1252</v>
      </c>
    </row>
    <row r="44" spans="2:14">
      <c r="C44" s="885" t="s">
        <v>1129</v>
      </c>
    </row>
    <row r="46" spans="2:14">
      <c r="C46" s="886" t="s">
        <v>989</v>
      </c>
    </row>
    <row r="47" spans="2:14">
      <c r="C47" s="885" t="s">
        <v>1251</v>
      </c>
    </row>
    <row r="48" spans="2:14">
      <c r="C48" s="885" t="s">
        <v>1250</v>
      </c>
    </row>
    <row r="49" spans="3:3">
      <c r="C49" s="885" t="s">
        <v>1249</v>
      </c>
    </row>
    <row r="50" spans="3:3">
      <c r="C50" s="885" t="s">
        <v>1248</v>
      </c>
    </row>
    <row r="51" spans="3:3">
      <c r="C51" s="885" t="s">
        <v>1247</v>
      </c>
    </row>
    <row r="52" spans="3:3">
      <c r="C52" s="885" t="s">
        <v>1246</v>
      </c>
    </row>
    <row r="53" spans="3:3">
      <c r="C53" s="885" t="s">
        <v>1245</v>
      </c>
    </row>
    <row r="54" spans="3:3">
      <c r="C54" s="885" t="s">
        <v>1244</v>
      </c>
    </row>
    <row r="55" spans="3:3">
      <c r="C55" s="885" t="s">
        <v>1243</v>
      </c>
    </row>
    <row r="56" spans="3:3">
      <c r="C56" s="885" t="s">
        <v>1242</v>
      </c>
    </row>
    <row r="57" spans="3:3">
      <c r="C57" s="885" t="s">
        <v>1241</v>
      </c>
    </row>
    <row r="58" spans="3:3">
      <c r="C58" s="885" t="s">
        <v>1240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workbookViewId="0">
      <selection activeCell="E21" sqref="E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884" t="s">
        <v>966</v>
      </c>
    </row>
    <row r="2" spans="2:14">
      <c r="C2" s="260" t="s">
        <v>296</v>
      </c>
      <c r="D2" s="260" t="s">
        <v>1275</v>
      </c>
      <c r="E2" s="260"/>
      <c r="F2" s="260"/>
      <c r="G2" s="260"/>
      <c r="H2" s="260"/>
      <c r="I2" s="260"/>
      <c r="J2" s="260"/>
      <c r="K2" s="260"/>
      <c r="L2" s="260"/>
      <c r="M2" s="260"/>
      <c r="N2" s="260"/>
    </row>
    <row r="3" spans="2:14">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78" t="s">
        <v>1136</v>
      </c>
      <c r="E6" s="178">
        <v>40</v>
      </c>
      <c r="F6" s="178">
        <v>80</v>
      </c>
      <c r="G6" s="178">
        <v>120</v>
      </c>
      <c r="H6" s="178">
        <v>160</v>
      </c>
      <c r="I6" s="218">
        <v>0.5</v>
      </c>
      <c r="J6" s="218">
        <v>1.25</v>
      </c>
      <c r="K6" s="218">
        <v>0.75</v>
      </c>
      <c r="L6" s="218">
        <v>1.25</v>
      </c>
      <c r="M6" s="178" t="s">
        <v>280</v>
      </c>
      <c r="N6" s="178" t="s">
        <v>1274</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1151</v>
      </c>
      <c r="D7" s="188" t="s">
        <v>1136</v>
      </c>
      <c r="E7" s="968">
        <v>56.878761904761902</v>
      </c>
      <c r="F7" s="968">
        <v>113.7575238095238</v>
      </c>
      <c r="G7" s="968">
        <v>170.63628571428572</v>
      </c>
      <c r="H7" s="968">
        <v>227.51504761904761</v>
      </c>
      <c r="I7" s="217">
        <v>0.5</v>
      </c>
      <c r="J7" s="217">
        <v>1.25</v>
      </c>
      <c r="K7" s="217">
        <v>0.75</v>
      </c>
      <c r="L7" s="217">
        <v>1.25</v>
      </c>
      <c r="M7" s="188" t="s">
        <v>277</v>
      </c>
      <c r="N7" s="188" t="s">
        <v>1274</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t="s">
        <v>285</v>
      </c>
      <c r="H8" s="934"/>
      <c r="I8" s="944"/>
      <c r="J8" s="944"/>
      <c r="K8" s="944"/>
      <c r="L8" s="94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80" t="s">
        <v>112</v>
      </c>
      <c r="D9" s="178" t="s">
        <v>1136</v>
      </c>
      <c r="E9" s="178">
        <v>0.99</v>
      </c>
      <c r="F9" s="178">
        <v>0.99</v>
      </c>
      <c r="G9" s="178">
        <v>0.99</v>
      </c>
      <c r="H9" s="178">
        <v>0.99</v>
      </c>
      <c r="I9" s="218">
        <v>0.9</v>
      </c>
      <c r="J9" s="218">
        <v>1.5</v>
      </c>
      <c r="K9" s="218">
        <v>0.9</v>
      </c>
      <c r="L9" s="218">
        <v>1.25</v>
      </c>
      <c r="M9" s="178" t="s">
        <v>269</v>
      </c>
      <c r="N9" s="178">
        <v>5</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90" t="s">
        <v>96</v>
      </c>
      <c r="D10" s="188" t="s">
        <v>1136</v>
      </c>
      <c r="E10" s="188">
        <v>0.01</v>
      </c>
      <c r="F10" s="188">
        <v>0.01</v>
      </c>
      <c r="G10" s="188">
        <v>0.01</v>
      </c>
      <c r="H10" s="188">
        <v>0.01</v>
      </c>
      <c r="I10" s="217">
        <v>0.75</v>
      </c>
      <c r="J10" s="217">
        <v>1.25</v>
      </c>
      <c r="K10" s="217">
        <v>0.75</v>
      </c>
      <c r="L10" s="217">
        <v>1.25</v>
      </c>
      <c r="M10" s="188" t="s">
        <v>269</v>
      </c>
      <c r="N10" s="188">
        <v>5</v>
      </c>
    </row>
    <row r="11" spans="2:14">
      <c r="B11" t="str">
        <f>IF(IF(OR(LEFT(C11,27)=SUP_Biofuels!$N$8,LEFT(C11,20)=SUP_Biofuels!$O$8,LEFT(C11,20)=SUP_Biofuels!$P$8),LEFT(C11,20),C11)="Specific investment ","Specific investment (M€ /MW",IF(OR(LEFT(C11,27)=SUP_Biofuels!$N$8,LEFT(C11,20)=SUP_Biofuels!$O$8,LEFT(C11,20)=SUP_Biofuels!$P$8),LEFT(C11,20),C11))</f>
        <v>Outputs</v>
      </c>
      <c r="C11" s="186" t="s">
        <v>271</v>
      </c>
      <c r="D11" s="934"/>
      <c r="E11" s="934"/>
      <c r="F11" s="934"/>
      <c r="G11" s="934"/>
      <c r="H11" s="934"/>
      <c r="I11" s="944"/>
      <c r="J11" s="944"/>
      <c r="K11" s="944"/>
      <c r="L11" s="944"/>
      <c r="M11" s="183"/>
      <c r="N11" s="225"/>
    </row>
    <row r="12" spans="2:14">
      <c r="B12" t="str">
        <f>IF(IF(OR(LEFT(C12,27)=SUP_Biofuels!$N$8,LEFT(C12,20)=SUP_Biofuels!$O$8,LEFT(C12,20)=SUP_Biofuels!$P$8),LEFT(C12,20),C12)="Specific investment ","Specific investment (M€ /MW",IF(OR(LEFT(C12,27)=SUP_Biofuels!$N$8,LEFT(C12,20)=SUP_Biofuels!$O$8,LEFT(C12,20)=SUP_Biofuels!$P$8),LEFT(C12,20),C12))</f>
        <v>Gasoline fraction, MWh/MWh Total Input</v>
      </c>
      <c r="C12" s="180" t="s">
        <v>116</v>
      </c>
      <c r="D12" s="178" t="s">
        <v>1136</v>
      </c>
      <c r="E12" s="178">
        <v>0.38</v>
      </c>
      <c r="F12" s="178">
        <v>0.39</v>
      </c>
      <c r="G12" s="178">
        <v>0.4</v>
      </c>
      <c r="H12" s="178">
        <v>0.41</v>
      </c>
      <c r="I12" s="218">
        <v>0.9</v>
      </c>
      <c r="J12" s="218">
        <v>1.1000000000000001</v>
      </c>
      <c r="K12" s="218">
        <v>0.9</v>
      </c>
      <c r="L12" s="218">
        <v>1.1000000000000001</v>
      </c>
      <c r="M12" s="178" t="s">
        <v>269</v>
      </c>
      <c r="N12" s="178">
        <v>5</v>
      </c>
    </row>
    <row r="13" spans="2:14">
      <c r="B13" t="str">
        <f>IF(IF(OR(LEFT(C13,27)=SUP_Biofuels!$N$8,LEFT(C13,20)=SUP_Biofuels!$O$8,LEFT(C13,20)=SUP_Biofuels!$P$8),LEFT(C13,20),C13)="Specific investment ","Specific investment (M€ /MW",IF(OR(LEFT(C13,27)=SUP_Biofuels!$N$8,LEFT(C13,20)=SUP_Biofuels!$O$8,LEFT(C13,20)=SUP_Biofuels!$P$8),LEFT(C13,20),C13))</f>
        <v>Diesel fraction, MWh/MWh Total Input</v>
      </c>
      <c r="C13" s="268" t="s">
        <v>117</v>
      </c>
      <c r="D13" s="270" t="s">
        <v>1136</v>
      </c>
      <c r="E13" s="270">
        <v>0.17</v>
      </c>
      <c r="F13" s="270">
        <v>0.18</v>
      </c>
      <c r="G13" s="270">
        <v>0.18</v>
      </c>
      <c r="H13" s="270">
        <v>0.19</v>
      </c>
      <c r="I13" s="218">
        <v>0.9</v>
      </c>
      <c r="J13" s="218">
        <v>1.1000000000000001</v>
      </c>
      <c r="K13" s="218">
        <v>0.9</v>
      </c>
      <c r="L13" s="218">
        <v>1.1000000000000001</v>
      </c>
      <c r="M13" s="178" t="s">
        <v>269</v>
      </c>
      <c r="N13" s="178">
        <v>5</v>
      </c>
    </row>
    <row r="14" spans="2:14">
      <c r="B14" t="str">
        <f>IF(IF(OR(LEFT(C14,27)=SUP_Biofuels!$N$8,LEFT(C14,20)=SUP_Biofuels!$O$8,LEFT(C14,20)=SUP_Biofuels!$P$8),LEFT(C14,20),C14)="Specific investment ","Specific investment (M€ /MW",IF(OR(LEFT(C14,27)=SUP_Biofuels!$N$8,LEFT(C14,20)=SUP_Biofuels!$O$8,LEFT(C14,20)=SUP_Biofuels!$P$8),LEFT(C14,20),C14))</f>
        <v>Co-products  Output MWh/MWh Total Input</v>
      </c>
      <c r="C14" s="190" t="s">
        <v>1261</v>
      </c>
      <c r="D14" s="188" t="s">
        <v>1136</v>
      </c>
      <c r="E14" s="188">
        <v>0</v>
      </c>
      <c r="F14" s="188">
        <v>0</v>
      </c>
      <c r="G14" s="188">
        <v>0</v>
      </c>
      <c r="H14" s="188">
        <v>0</v>
      </c>
      <c r="I14" s="217">
        <v>0.9</v>
      </c>
      <c r="J14" s="217">
        <v>1.1000000000000001</v>
      </c>
      <c r="K14" s="217">
        <v>0.9</v>
      </c>
      <c r="L14" s="217">
        <v>1.1000000000000001</v>
      </c>
      <c r="M14" s="188" t="s">
        <v>269</v>
      </c>
      <c r="N14" s="188">
        <v>5</v>
      </c>
    </row>
    <row r="15" spans="2:14">
      <c r="B15">
        <f>IF(IF(OR(LEFT(C15,27)=SUP_Biofuels!$N$8,LEFT(C15,20)=SUP_Biofuels!$O$8,LEFT(C15,20)=SUP_Biofuels!$P$8),LEFT(C15,20),C15)="Specific investment ","Specific investment (M€ /MW",IF(OR(LEFT(C15,27)=SUP_Biofuels!$N$8,LEFT(C15,20)=SUP_Biofuels!$O$8,LEFT(C15,20)=SUP_Biofuels!$P$8),LEFT(C15,20),C15))</f>
        <v>0</v>
      </c>
      <c r="C15" s="207"/>
      <c r="D15" s="934"/>
      <c r="E15" s="934"/>
      <c r="F15" s="934"/>
      <c r="G15" s="934"/>
      <c r="H15" s="934"/>
      <c r="I15" s="944"/>
      <c r="J15" s="944"/>
      <c r="K15" s="944"/>
      <c r="L15" s="944"/>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78" t="s">
        <v>1136</v>
      </c>
      <c r="E16" s="178">
        <v>4</v>
      </c>
      <c r="F16" s="178">
        <v>4</v>
      </c>
      <c r="G16" s="178">
        <v>0</v>
      </c>
      <c r="H16" s="178">
        <v>0</v>
      </c>
      <c r="I16" s="942"/>
      <c r="J16" s="942"/>
      <c r="K16" s="942"/>
      <c r="L16" s="942"/>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1" t="s">
        <v>1136</v>
      </c>
      <c r="E17" s="161">
        <v>2</v>
      </c>
      <c r="F17" s="161">
        <v>3</v>
      </c>
      <c r="G17" s="161">
        <v>4</v>
      </c>
      <c r="H17" s="161">
        <v>5</v>
      </c>
      <c r="I17" s="167"/>
      <c r="J17" s="167"/>
      <c r="K17" s="167"/>
      <c r="L17" s="962"/>
      <c r="M17" s="161"/>
      <c r="N17" s="161">
        <v>5</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1" t="s">
        <v>1136</v>
      </c>
      <c r="E18" s="161" t="s">
        <v>1260</v>
      </c>
      <c r="F18" s="161" t="s">
        <v>1260</v>
      </c>
      <c r="G18" s="161" t="s">
        <v>1260</v>
      </c>
      <c r="H18" s="161" t="s">
        <v>1260</v>
      </c>
      <c r="I18" s="167"/>
      <c r="J18" s="167"/>
      <c r="K18" s="167"/>
      <c r="L18" s="962"/>
      <c r="M18" s="161"/>
      <c r="N18" s="162"/>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88" t="s">
        <v>1136</v>
      </c>
      <c r="E19" s="188">
        <v>2</v>
      </c>
      <c r="F19" s="188">
        <v>2</v>
      </c>
      <c r="G19" s="188">
        <v>2</v>
      </c>
      <c r="H19" s="188">
        <v>2</v>
      </c>
      <c r="I19" s="189"/>
      <c r="J19" s="189"/>
      <c r="K19" s="189"/>
      <c r="L19" s="217"/>
      <c r="M19" s="188"/>
      <c r="N19" s="188">
        <v>5</v>
      </c>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934"/>
      <c r="E20" s="934"/>
      <c r="F20" s="934"/>
      <c r="G20" s="934"/>
      <c r="H20" s="934"/>
      <c r="I20" s="184"/>
      <c r="J20" s="184"/>
      <c r="K20" s="184"/>
      <c r="L20" s="967"/>
      <c r="M20" s="183"/>
      <c r="N20" s="966"/>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1147</v>
      </c>
      <c r="D21" s="178" t="s">
        <v>1136</v>
      </c>
      <c r="E21" s="1124">
        <f>SUM(E36:E37)</f>
        <v>2.7822558139534888</v>
      </c>
      <c r="F21" s="1124">
        <f>SUM(F36:F37)</f>
        <v>2.1191515116279076</v>
      </c>
      <c r="G21" s="1124">
        <f>SUM(G36:G37)</f>
        <v>1.887065005813954</v>
      </c>
      <c r="H21" s="1124">
        <f>SUM(H36:H37)</f>
        <v>1.7620953488372098</v>
      </c>
      <c r="I21" s="218">
        <v>0.75</v>
      </c>
      <c r="J21" s="218">
        <v>1.25</v>
      </c>
      <c r="K21" s="218">
        <v>0.75</v>
      </c>
      <c r="L21" s="218">
        <v>1.25</v>
      </c>
      <c r="M21" s="178" t="s">
        <v>1272</v>
      </c>
      <c r="N21" s="178" t="s">
        <v>1271</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1" t="s">
        <v>1136</v>
      </c>
      <c r="E22" s="161">
        <v>75</v>
      </c>
      <c r="F22" s="161">
        <v>75</v>
      </c>
      <c r="G22" s="161">
        <v>75</v>
      </c>
      <c r="H22" s="161">
        <v>75</v>
      </c>
      <c r="I22" s="962"/>
      <c r="J22" s="962"/>
      <c r="K22" s="962"/>
      <c r="L22" s="962"/>
      <c r="M22" s="161"/>
      <c r="N22" s="161"/>
    </row>
    <row r="23" spans="2:14">
      <c r="B23" t="str">
        <f>LEFT(C23,17)</f>
        <v xml:space="preserve"> -installation (%</v>
      </c>
      <c r="C23" s="162" t="s">
        <v>251</v>
      </c>
      <c r="D23" s="161" t="s">
        <v>1136</v>
      </c>
      <c r="E23" s="161">
        <v>25</v>
      </c>
      <c r="F23" s="161">
        <v>25</v>
      </c>
      <c r="G23" s="161">
        <v>25</v>
      </c>
      <c r="H23" s="161">
        <v>25</v>
      </c>
      <c r="I23" s="962"/>
      <c r="J23" s="962"/>
      <c r="K23" s="962"/>
      <c r="L23" s="962"/>
      <c r="M23" s="161"/>
      <c r="N23" s="161"/>
    </row>
    <row r="24" spans="2:14">
      <c r="B24" t="str">
        <f>LEFT(C24,17)</f>
        <v>Fixed O&amp;M (M€ /MW</v>
      </c>
      <c r="C24" s="162" t="s">
        <v>1146</v>
      </c>
      <c r="D24" s="161" t="s">
        <v>1136</v>
      </c>
      <c r="E24" s="1065">
        <f>E76/1.2</f>
        <v>0.11554578175185083</v>
      </c>
      <c r="F24" s="1065">
        <f t="shared" ref="F24:H25" si="0">E24</f>
        <v>0.11554578175185083</v>
      </c>
      <c r="G24" s="1065">
        <f t="shared" si="0"/>
        <v>0.11554578175185083</v>
      </c>
      <c r="H24" s="1065">
        <f t="shared" si="0"/>
        <v>0.11554578175185083</v>
      </c>
      <c r="I24" s="962">
        <v>0.75</v>
      </c>
      <c r="J24" s="962">
        <v>1.25</v>
      </c>
      <c r="K24" s="962">
        <v>0.75</v>
      </c>
      <c r="L24" s="962">
        <v>1.25</v>
      </c>
      <c r="M24" s="161" t="s">
        <v>243</v>
      </c>
      <c r="N24" s="161">
        <v>5</v>
      </c>
    </row>
    <row r="25" spans="2:14">
      <c r="B25" t="str">
        <f>LEFT(C25,19)</f>
        <v>Variable O&amp;M (€ /MW</v>
      </c>
      <c r="C25" s="162" t="s">
        <v>1145</v>
      </c>
      <c r="D25" s="161" t="s">
        <v>1136</v>
      </c>
      <c r="E25" s="1065">
        <f>E79/1.2</f>
        <v>6.0180094662422299</v>
      </c>
      <c r="F25" s="1065">
        <f t="shared" si="0"/>
        <v>6.0180094662422299</v>
      </c>
      <c r="G25" s="1065">
        <f t="shared" si="0"/>
        <v>6.0180094662422299</v>
      </c>
      <c r="H25" s="1065">
        <f t="shared" si="0"/>
        <v>6.0180094662422299</v>
      </c>
      <c r="I25" s="962">
        <v>0.75</v>
      </c>
      <c r="J25" s="962">
        <v>1.25</v>
      </c>
      <c r="K25" s="962">
        <v>0.75</v>
      </c>
      <c r="L25" s="962">
        <v>1.25</v>
      </c>
      <c r="M25" s="161" t="s">
        <v>243</v>
      </c>
      <c r="N25" s="161">
        <v>5</v>
      </c>
    </row>
    <row r="26" spans="2:14">
      <c r="B26" t="str">
        <f>IF(IF(OR(LEFT(C26,27)=SUP_Biofuels!$N$8,LEFT(C26,20)=SUP_Biofuels!$O$8,LEFT(C26,20)=SUP_Biofuels!$P$8),LEFT(C26,20),C26)="Specific investment ","Specific investment (M€ /MW",IF(OR(LEFT(C26,27)=SUP_Biofuels!$N$8,LEFT(C26,20)=SUP_Biofuels!$O$8,LEFT(C26,20)=SUP_Biofuels!$P$8),LEFT(C26,20),C26))</f>
        <v>Start up (€ /l Bio Oil)</v>
      </c>
      <c r="C26" s="190" t="s">
        <v>1269</v>
      </c>
      <c r="D26" s="188" t="s">
        <v>1136</v>
      </c>
      <c r="E26" s="188">
        <v>0</v>
      </c>
      <c r="F26" s="188">
        <v>0</v>
      </c>
      <c r="G26" s="188">
        <v>0</v>
      </c>
      <c r="H26" s="188">
        <v>0</v>
      </c>
      <c r="I26" s="217"/>
      <c r="J26" s="217"/>
      <c r="K26" s="217"/>
      <c r="L26" s="217"/>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934"/>
      <c r="E27" s="934"/>
      <c r="F27" s="934"/>
      <c r="G27" s="934"/>
      <c r="H27" s="934"/>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80" t="s">
        <v>1057</v>
      </c>
      <c r="D28" s="178">
        <v>43</v>
      </c>
      <c r="E28" s="178">
        <v>43</v>
      </c>
      <c r="F28" s="178">
        <v>43</v>
      </c>
      <c r="G28" s="178">
        <v>43</v>
      </c>
      <c r="H28" s="178">
        <v>43</v>
      </c>
      <c r="I28" s="218"/>
      <c r="J28" s="218"/>
      <c r="K28" s="218"/>
      <c r="L28" s="218"/>
      <c r="M28" s="178"/>
      <c r="N28" s="180"/>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1">
        <v>0.78</v>
      </c>
      <c r="E29" s="161">
        <v>0.78</v>
      </c>
      <c r="F29" s="161">
        <v>0.78</v>
      </c>
      <c r="G29" s="161">
        <v>0.78</v>
      </c>
      <c r="H29" s="161">
        <v>0.78</v>
      </c>
      <c r="I29" s="962"/>
      <c r="J29" s="962"/>
      <c r="K29" s="962"/>
      <c r="L29" s="962"/>
      <c r="M29" s="161"/>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/l1000 t Bio Oil)</v>
      </c>
      <c r="C30" s="162" t="s">
        <v>1273</v>
      </c>
      <c r="D30" s="161" t="s">
        <v>1136</v>
      </c>
      <c r="E30" s="964">
        <v>3.9562500000000003</v>
      </c>
      <c r="F30" s="964">
        <v>2.2418750000000003</v>
      </c>
      <c r="G30" s="964">
        <v>1.64184375</v>
      </c>
      <c r="H30" s="964">
        <v>1.3187500000000001</v>
      </c>
      <c r="I30" s="962">
        <v>0.75</v>
      </c>
      <c r="J30" s="962">
        <v>1.25</v>
      </c>
      <c r="K30" s="962">
        <v>0.75</v>
      </c>
      <c r="L30" s="962">
        <v>1.25</v>
      </c>
      <c r="M30" s="161" t="s">
        <v>1272</v>
      </c>
      <c r="N30" s="161" t="s">
        <v>1271</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1" t="s">
        <v>1136</v>
      </c>
      <c r="E31" s="161">
        <v>75</v>
      </c>
      <c r="F31" s="161">
        <v>75</v>
      </c>
      <c r="G31" s="161">
        <v>75</v>
      </c>
      <c r="H31" s="161">
        <v>75</v>
      </c>
      <c r="I31" s="962"/>
      <c r="J31" s="962"/>
      <c r="K31" s="962"/>
      <c r="L31" s="9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1" t="s">
        <v>1136</v>
      </c>
      <c r="E32" s="161">
        <v>25</v>
      </c>
      <c r="F32" s="161">
        <v>25</v>
      </c>
      <c r="G32" s="161">
        <v>25</v>
      </c>
      <c r="H32" s="161">
        <v>25</v>
      </c>
      <c r="I32" s="962"/>
      <c r="J32" s="962"/>
      <c r="K32" s="962"/>
      <c r="L32" s="9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Bio Oil)</v>
      </c>
      <c r="C33" s="162" t="s">
        <v>1140</v>
      </c>
      <c r="D33" s="161" t="s">
        <v>1136</v>
      </c>
      <c r="E33" s="963">
        <v>3.9E-2</v>
      </c>
      <c r="F33" s="963">
        <v>3.9E-2</v>
      </c>
      <c r="G33" s="963">
        <v>3.9E-2</v>
      </c>
      <c r="H33" s="963">
        <v>3.9E-2</v>
      </c>
      <c r="I33" s="962">
        <v>0.75</v>
      </c>
      <c r="J33" s="962">
        <v>1.25</v>
      </c>
      <c r="K33" s="962">
        <v>0.75</v>
      </c>
      <c r="L33" s="962">
        <v>1.25</v>
      </c>
      <c r="M33" s="161" t="s">
        <v>243</v>
      </c>
      <c r="N33" s="161">
        <v>5</v>
      </c>
    </row>
    <row r="34" spans="2:14">
      <c r="C34" s="162" t="s">
        <v>1270</v>
      </c>
      <c r="D34" s="161" t="s">
        <v>1136</v>
      </c>
      <c r="E34" s="963">
        <v>1.5600000000000001E-2</v>
      </c>
      <c r="F34" s="963">
        <v>1.5600000000000001E-2</v>
      </c>
      <c r="G34" s="963">
        <v>1.5600000000000001E-2</v>
      </c>
      <c r="H34" s="963">
        <v>1.5600000000000001E-2</v>
      </c>
      <c r="I34" s="962">
        <v>0.75</v>
      </c>
      <c r="J34" s="962">
        <v>1.25</v>
      </c>
      <c r="K34" s="962">
        <v>0.75</v>
      </c>
      <c r="L34" s="962">
        <v>1.25</v>
      </c>
      <c r="M34" s="161" t="s">
        <v>243</v>
      </c>
      <c r="N34" s="161">
        <v>5</v>
      </c>
    </row>
    <row r="35" spans="2:14">
      <c r="C35" s="162" t="s">
        <v>1269</v>
      </c>
      <c r="D35" s="161" t="s">
        <v>1136</v>
      </c>
      <c r="E35" s="161">
        <v>0</v>
      </c>
      <c r="F35" s="161">
        <v>0</v>
      </c>
      <c r="G35" s="161">
        <v>0</v>
      </c>
      <c r="H35" s="161">
        <v>0</v>
      </c>
      <c r="I35" s="961"/>
      <c r="J35" s="961"/>
      <c r="K35" s="961"/>
      <c r="L35" s="961"/>
      <c r="M35" s="161"/>
      <c r="N35" s="161"/>
    </row>
    <row r="36" spans="2:14">
      <c r="C36" s="1121" t="s">
        <v>1498</v>
      </c>
      <c r="D36" s="1121"/>
      <c r="E36" s="1121">
        <f>E38*0.45</f>
        <v>1.25201511627907</v>
      </c>
      <c r="F36" s="1121">
        <f>E36</f>
        <v>1.25201511627907</v>
      </c>
      <c r="G36" s="1121">
        <f>F36</f>
        <v>1.25201511627907</v>
      </c>
      <c r="H36" s="1121">
        <f>G36</f>
        <v>1.25201511627907</v>
      </c>
      <c r="I36" s="959"/>
      <c r="J36" s="959"/>
      <c r="K36" s="959"/>
      <c r="L36" s="959"/>
      <c r="M36" s="224"/>
      <c r="N36" s="224"/>
    </row>
    <row r="37" spans="2:14">
      <c r="B37" s="1120"/>
      <c r="C37" s="1121" t="s">
        <v>1496</v>
      </c>
      <c r="D37" s="1122"/>
      <c r="E37" s="1122">
        <f>E38*0.55</f>
        <v>1.5302406976744189</v>
      </c>
      <c r="F37" s="1122">
        <f>$E$37*F38/$E$38</f>
        <v>0.86713639534883757</v>
      </c>
      <c r="G37" s="1122">
        <f>$E$37*G38/$E$38</f>
        <v>0.63504988953488384</v>
      </c>
      <c r="H37" s="1122">
        <f>$E$37*H38/$E$38</f>
        <v>0.51008023255813961</v>
      </c>
      <c r="I37" s="959"/>
      <c r="J37" s="959"/>
      <c r="K37" s="959"/>
      <c r="L37" s="959"/>
      <c r="M37" s="1118"/>
      <c r="N37" s="1118"/>
    </row>
    <row r="38" spans="2:14">
      <c r="B38" s="1120" t="s">
        <v>1497</v>
      </c>
      <c r="C38" s="1123" t="s">
        <v>1147</v>
      </c>
      <c r="D38" s="1122"/>
      <c r="E38" s="1124">
        <v>2.7822558139534888</v>
      </c>
      <c r="F38" s="1124">
        <v>1.5766116279069771</v>
      </c>
      <c r="G38" s="1124">
        <v>1.1546361627906978</v>
      </c>
      <c r="H38" s="1124">
        <v>0.92741860465116288</v>
      </c>
      <c r="I38" s="959"/>
      <c r="J38" s="959"/>
      <c r="K38" s="959"/>
      <c r="L38" s="959"/>
      <c r="M38" s="1118"/>
      <c r="N38" s="1118"/>
    </row>
    <row r="39" spans="2:14">
      <c r="C39" t="s">
        <v>695</v>
      </c>
    </row>
    <row r="40" spans="2:14">
      <c r="C40" t="s">
        <v>1268</v>
      </c>
    </row>
    <row r="41" spans="2:14">
      <c r="C41" t="s">
        <v>1048</v>
      </c>
      <c r="L41" s="224"/>
      <c r="M41" s="224"/>
    </row>
    <row r="42" spans="2:14">
      <c r="C42" t="s">
        <v>1267</v>
      </c>
    </row>
    <row r="43" spans="2:14">
      <c r="C43" t="s">
        <v>1266</v>
      </c>
    </row>
    <row r="44" spans="2:14">
      <c r="C44" t="s">
        <v>1265</v>
      </c>
    </row>
    <row r="45" spans="2:14">
      <c r="C45" t="s">
        <v>1264</v>
      </c>
    </row>
    <row r="46" spans="2:14">
      <c r="C46" t="s">
        <v>1263</v>
      </c>
    </row>
    <row r="48" spans="2:14" ht="25.8">
      <c r="B48" s="1059" t="s">
        <v>1392</v>
      </c>
    </row>
    <row r="57" spans="2:9">
      <c r="B57" t="s">
        <v>1393</v>
      </c>
      <c r="E57" s="1061" t="s">
        <v>1396</v>
      </c>
      <c r="F57" s="1061" t="s">
        <v>1397</v>
      </c>
      <c r="G57" s="1061" t="s">
        <v>1398</v>
      </c>
      <c r="I57" s="1061"/>
    </row>
    <row r="58" spans="2:9">
      <c r="E58" t="s">
        <v>1395</v>
      </c>
      <c r="F58" t="s">
        <v>1395</v>
      </c>
      <c r="G58" t="s">
        <v>1395</v>
      </c>
    </row>
    <row r="59" spans="2:9">
      <c r="C59" t="s">
        <v>1394</v>
      </c>
      <c r="E59">
        <v>211</v>
      </c>
      <c r="F59">
        <v>612</v>
      </c>
      <c r="G59">
        <v>199</v>
      </c>
    </row>
    <row r="60" spans="2:9">
      <c r="C60" t="s">
        <v>1403</v>
      </c>
      <c r="E60">
        <v>2000</v>
      </c>
      <c r="F60">
        <v>3425</v>
      </c>
      <c r="G60">
        <v>2000</v>
      </c>
    </row>
    <row r="61" spans="2:9">
      <c r="C61" t="s">
        <v>1402</v>
      </c>
      <c r="E61">
        <f>E60*6.118/1000000*8000</f>
        <v>97.888000000000005</v>
      </c>
      <c r="F61">
        <f>F60*6.118/1000000*8000</f>
        <v>167.63320000000002</v>
      </c>
      <c r="G61">
        <f>G60*6.118/1000000*8000</f>
        <v>97.888000000000005</v>
      </c>
    </row>
    <row r="62" spans="2:9">
      <c r="C62" t="s">
        <v>1401</v>
      </c>
      <c r="E62">
        <f>E60*1.69944444/24</f>
        <v>141.62037000000001</v>
      </c>
      <c r="F62">
        <f>F60*1.69944444/24</f>
        <v>242.524883625</v>
      </c>
      <c r="G62">
        <f>G60*1.69944444/24</f>
        <v>141.62037000000001</v>
      </c>
    </row>
    <row r="64" spans="2:9">
      <c r="C64" t="s">
        <v>1399</v>
      </c>
      <c r="D64" s="1062">
        <v>2020</v>
      </c>
      <c r="E64">
        <f>E12+E13</f>
        <v>0.55000000000000004</v>
      </c>
      <c r="F64">
        <f>E64</f>
        <v>0.55000000000000004</v>
      </c>
      <c r="G64">
        <f>F64</f>
        <v>0.55000000000000004</v>
      </c>
    </row>
    <row r="65" spans="3:7">
      <c r="C65" t="s">
        <v>1400</v>
      </c>
      <c r="D65" s="1062">
        <v>2020</v>
      </c>
      <c r="E65">
        <f>E12</f>
        <v>0.38</v>
      </c>
      <c r="F65">
        <f>E65</f>
        <v>0.38</v>
      </c>
      <c r="G65">
        <f>F65</f>
        <v>0.38</v>
      </c>
    </row>
    <row r="66" spans="3:7">
      <c r="C66" s="1062" t="s">
        <v>144</v>
      </c>
      <c r="D66" s="1062">
        <v>2020</v>
      </c>
      <c r="E66">
        <f t="shared" ref="E66:G67" si="1">E$62*E64</f>
        <v>77.891203500000017</v>
      </c>
      <c r="F66">
        <f t="shared" si="1"/>
        <v>133.38868599375002</v>
      </c>
      <c r="G66">
        <f t="shared" si="1"/>
        <v>77.891203500000017</v>
      </c>
    </row>
    <row r="67" spans="3:7">
      <c r="C67" s="1062" t="s">
        <v>1409</v>
      </c>
      <c r="D67" s="1062">
        <v>2020</v>
      </c>
      <c r="E67">
        <f t="shared" si="1"/>
        <v>53.815740600000005</v>
      </c>
      <c r="F67">
        <f t="shared" si="1"/>
        <v>92.1594557775</v>
      </c>
      <c r="G67">
        <f t="shared" si="1"/>
        <v>53.815740600000005</v>
      </c>
    </row>
    <row r="68" spans="3:7">
      <c r="C68" t="s">
        <v>1404</v>
      </c>
      <c r="D68" s="1062">
        <v>2020</v>
      </c>
      <c r="E68">
        <f t="shared" ref="E68:G69" si="2">E$59/(E$62*E64)</f>
        <v>2.7089066610711692</v>
      </c>
      <c r="F68">
        <f t="shared" si="2"/>
        <v>4.5880952754019599</v>
      </c>
      <c r="G68">
        <f t="shared" si="2"/>
        <v>2.5548456187353681</v>
      </c>
    </row>
    <row r="69" spans="3:7">
      <c r="C69" t="s">
        <v>1405</v>
      </c>
      <c r="D69" s="1062">
        <v>2020</v>
      </c>
      <c r="E69">
        <f t="shared" si="2"/>
        <v>3.9207859568135346</v>
      </c>
      <c r="F69">
        <f t="shared" si="2"/>
        <v>6.6406642143975736</v>
      </c>
      <c r="G69">
        <f t="shared" si="2"/>
        <v>3.6978028692222433</v>
      </c>
    </row>
    <row r="70" spans="3:7">
      <c r="C70" s="1060" t="s">
        <v>1406</v>
      </c>
      <c r="D70" t="s">
        <v>1404</v>
      </c>
      <c r="E70">
        <f t="shared" ref="E70:G71" si="3">E68*6.5</f>
        <v>17.607893296962601</v>
      </c>
      <c r="F70">
        <f t="shared" si="3"/>
        <v>29.82261929011274</v>
      </c>
      <c r="G70">
        <f t="shared" si="3"/>
        <v>16.606496521779892</v>
      </c>
    </row>
    <row r="71" spans="3:7">
      <c r="C71" s="1060" t="s">
        <v>1406</v>
      </c>
      <c r="D71" t="s">
        <v>1405</v>
      </c>
      <c r="E71">
        <f>E69*6.5</f>
        <v>25.485108719287975</v>
      </c>
      <c r="F71">
        <f t="shared" si="3"/>
        <v>43.164317393584227</v>
      </c>
      <c r="G71">
        <f t="shared" si="3"/>
        <v>24.035718649944581</v>
      </c>
    </row>
    <row r="75" spans="3:7">
      <c r="C75" t="s">
        <v>1407</v>
      </c>
      <c r="D75" t="s">
        <v>1408</v>
      </c>
      <c r="E75">
        <v>10.8</v>
      </c>
      <c r="G75">
        <v>10.8</v>
      </c>
    </row>
    <row r="76" spans="3:7">
      <c r="C76" t="s">
        <v>1407</v>
      </c>
      <c r="D76" t="s">
        <v>1415</v>
      </c>
      <c r="E76">
        <f>E75/(E62*E64)</f>
        <v>0.13865493810222099</v>
      </c>
      <c r="G76">
        <f>G75/(G62*G64)</f>
        <v>0.13865493810222099</v>
      </c>
    </row>
    <row r="77" spans="3:7">
      <c r="C77" t="s">
        <v>1407</v>
      </c>
      <c r="D77" t="s">
        <v>1414</v>
      </c>
      <c r="E77" s="1">
        <f>E76*6.5</f>
        <v>0.9012570976644364</v>
      </c>
      <c r="F77" s="1"/>
      <c r="G77" s="1">
        <f>G76*6.5</f>
        <v>0.9012570976644364</v>
      </c>
    </row>
    <row r="78" spans="3:7">
      <c r="C78" t="s">
        <v>1410</v>
      </c>
      <c r="D78" t="s">
        <v>1411</v>
      </c>
      <c r="E78">
        <v>4.5</v>
      </c>
      <c r="G78">
        <v>4.5</v>
      </c>
    </row>
    <row r="79" spans="3:7">
      <c r="C79" t="s">
        <v>1410</v>
      </c>
      <c r="D79" t="s">
        <v>1412</v>
      </c>
      <c r="E79" s="1">
        <f>E78*1000000/(8000*E66)</f>
        <v>7.2216113594906757</v>
      </c>
      <c r="F79" s="1"/>
      <c r="G79" s="1">
        <f>G78*1000000/(8000*G66)</f>
        <v>7.2216113594906757</v>
      </c>
    </row>
    <row r="80" spans="3:7">
      <c r="C80" t="s">
        <v>1410</v>
      </c>
      <c r="D80" t="s">
        <v>1413</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D28" sqref="D28"/>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884" t="s">
        <v>966</v>
      </c>
    </row>
    <row r="2" spans="2:17" ht="15" customHeight="1">
      <c r="C2" s="983" t="s">
        <v>296</v>
      </c>
      <c r="D2" s="984" t="s">
        <v>1290</v>
      </c>
      <c r="E2" s="984" t="s">
        <v>1290</v>
      </c>
      <c r="F2" s="984"/>
      <c r="G2" s="984"/>
      <c r="H2" s="984"/>
      <c r="I2" s="984"/>
      <c r="J2" s="984"/>
      <c r="K2" s="984"/>
      <c r="L2" s="984"/>
      <c r="M2" s="984"/>
      <c r="N2" s="984"/>
      <c r="O2" s="984"/>
    </row>
    <row r="3" spans="2:17" ht="22.5" customHeight="1">
      <c r="C3" s="982"/>
      <c r="D3" s="983">
        <v>2015</v>
      </c>
      <c r="E3" s="983">
        <v>2020</v>
      </c>
      <c r="F3" s="983">
        <v>2030</v>
      </c>
      <c r="G3" s="983">
        <v>2040</v>
      </c>
      <c r="H3" s="983">
        <v>2050</v>
      </c>
      <c r="I3" s="1403" t="s">
        <v>290</v>
      </c>
      <c r="J3" s="1403"/>
      <c r="K3" s="1403"/>
      <c r="L3" s="1403" t="s">
        <v>289</v>
      </c>
      <c r="M3" s="1403"/>
      <c r="N3" s="983" t="s">
        <v>288</v>
      </c>
      <c r="O3" s="983" t="s">
        <v>287</v>
      </c>
    </row>
    <row r="4" spans="2:17">
      <c r="C4" s="983"/>
      <c r="D4" s="982"/>
      <c r="E4" s="982"/>
      <c r="F4" s="982"/>
      <c r="G4" s="983"/>
      <c r="H4" s="982"/>
      <c r="I4" s="1403" t="s">
        <v>284</v>
      </c>
      <c r="J4" s="1403"/>
      <c r="K4" s="983" t="s">
        <v>283</v>
      </c>
      <c r="L4" s="983" t="s">
        <v>284</v>
      </c>
      <c r="M4" s="983" t="s">
        <v>283</v>
      </c>
      <c r="N4" s="982"/>
      <c r="O4" s="982"/>
    </row>
    <row r="5" spans="2:17">
      <c r="C5" s="1402" t="s">
        <v>282</v>
      </c>
      <c r="D5" s="1402"/>
      <c r="E5" s="1402"/>
      <c r="F5" s="1402"/>
      <c r="G5" s="1402"/>
      <c r="H5" s="1402"/>
      <c r="I5" s="1402"/>
      <c r="J5" s="1402"/>
      <c r="K5" s="1402"/>
      <c r="L5" s="1402"/>
      <c r="M5" s="1402"/>
      <c r="N5" s="1402"/>
      <c r="O5" s="1402"/>
    </row>
    <row r="6" spans="2:17" ht="20.399999999999999">
      <c r="B6" t="str">
        <f>IF(IF(OR(LEFT(C6,27)=SUP_Biofuels!$N$8,LEFT(C6,20)=SUP_Biofuels!$O$8,LEFT(C6,20)=SUP_Biofuels!$P$8),LEFT(C6,20),C6)="Specific investment ","Specific investment (M€ /MW",IF(OR(LEFT(C6,27)=SUP_Biofuels!$N$8,LEFT(C6,20)=SUP_Biofuels!$O$8,LEFT(C6,20)=SUP_Biofuels!$P$8),LEFT(C6,20),C6))</f>
        <v>Typical total plant size 1,000 t liquid fuels/year</v>
      </c>
      <c r="C6" s="981" t="s">
        <v>1289</v>
      </c>
      <c r="D6" s="972" t="s">
        <v>1136</v>
      </c>
      <c r="E6" s="972">
        <v>40</v>
      </c>
      <c r="F6" s="972">
        <v>80</v>
      </c>
      <c r="G6" s="972">
        <v>120</v>
      </c>
      <c r="H6" s="972">
        <v>160</v>
      </c>
      <c r="I6" s="1399">
        <v>0.5</v>
      </c>
      <c r="J6" s="1399"/>
      <c r="K6" s="980">
        <v>1.25</v>
      </c>
      <c r="L6" s="980">
        <v>0.75</v>
      </c>
      <c r="M6" s="980">
        <v>1.25</v>
      </c>
      <c r="N6" s="972" t="s">
        <v>280</v>
      </c>
      <c r="O6" s="972" t="s">
        <v>1274</v>
      </c>
    </row>
    <row r="7" spans="2:17">
      <c r="B7" t="str">
        <f>IF(IF(OR(LEFT(C7,27)=SUP_Biofuels!$N$8,LEFT(C7,20)=SUP_Biofuels!$O$8,LEFT(C7,20)=SUP_Biofuels!$P$8),LEFT(C7,20),C7)="Specific investment ","Specific investment (M€ /MW",IF(OR(LEFT(C7,27)=SUP_Biofuels!$N$8,LEFT(C7,20)=SUP_Biofuels!$O$8,LEFT(C7,20)=SUP_Biofuels!$P$8),LEFT(C7,20),C7))</f>
        <v>Typical total plant size. MW</v>
      </c>
      <c r="C7" s="981" t="s">
        <v>1151</v>
      </c>
      <c r="D7" s="972" t="s">
        <v>1136</v>
      </c>
      <c r="E7" s="972">
        <v>57</v>
      </c>
      <c r="F7" s="972">
        <v>114</v>
      </c>
      <c r="G7" s="972">
        <v>171</v>
      </c>
      <c r="H7" s="972">
        <v>228</v>
      </c>
      <c r="I7" s="1399">
        <v>0.5</v>
      </c>
      <c r="J7" s="1399"/>
      <c r="K7" s="980">
        <v>1.25</v>
      </c>
      <c r="L7" s="980">
        <v>0.75</v>
      </c>
      <c r="M7" s="980">
        <v>1.25</v>
      </c>
      <c r="N7" s="972" t="s">
        <v>277</v>
      </c>
      <c r="O7" s="972" t="s">
        <v>1274</v>
      </c>
    </row>
    <row r="8" spans="2:17">
      <c r="B8" t="str">
        <f>IF(IF(OR(LEFT(C8,27)=SUP_Biofuels!$N$8,LEFT(C8,20)=SUP_Biofuels!$O$8,LEFT(C8,20)=SUP_Biofuels!$P$8),LEFT(C8,20),C8)="Specific investment ","Specific investment (M€ /MW",IF(OR(LEFT(C8,27)=SUP_Biofuels!$N$8,LEFT(C8,20)=SUP_Biofuels!$O$8,LEFT(C8,20)=SUP_Biofuels!$P$8),LEFT(C8,20),C8))</f>
        <v xml:space="preserve"> Inputs</v>
      </c>
      <c r="C8" s="1404" t="s">
        <v>384</v>
      </c>
      <c r="D8" s="1404"/>
      <c r="E8" s="1404"/>
      <c r="F8" s="1404"/>
      <c r="G8" s="1404"/>
      <c r="H8" s="1404"/>
      <c r="I8" s="1404"/>
      <c r="J8" s="1404"/>
      <c r="K8" s="1404"/>
      <c r="L8" s="1404"/>
      <c r="M8" s="1404"/>
      <c r="N8" s="1404"/>
      <c r="O8" s="1404"/>
    </row>
    <row r="9" spans="2:17" ht="20.399999999999999">
      <c r="B9" t="str">
        <f>IF(IF(OR(LEFT(C9,27)=SUP_Biofuels!$N$8,LEFT(C9,20)=SUP_Biofuels!$O$8,LEFT(C9,20)=SUP_Biofuels!$P$8),LEFT(C9,20),C9)="Specific investment ","Specific investment (M€ /MW",IF(OR(LEFT(C9,27)=SUP_Biofuels!$N$8,LEFT(C9,20)=SUP_Biofuels!$O$8,LEFT(C9,20)=SUP_Biofuels!$P$8),LEFT(C9,20),C9))</f>
        <v>Feedstock Consumption, MWh/MWh Total Input</v>
      </c>
      <c r="C9" s="981" t="s">
        <v>112</v>
      </c>
      <c r="D9" s="972" t="s">
        <v>1136</v>
      </c>
      <c r="E9" s="972">
        <v>0.77</v>
      </c>
      <c r="F9" s="972">
        <v>0.77</v>
      </c>
      <c r="G9" s="972">
        <v>0.77</v>
      </c>
      <c r="H9" s="972">
        <v>0.77</v>
      </c>
      <c r="I9" s="1399">
        <v>0.9</v>
      </c>
      <c r="J9" s="1399"/>
      <c r="K9" s="980">
        <v>1.5</v>
      </c>
      <c r="L9" s="980">
        <v>0.9</v>
      </c>
      <c r="M9" s="980">
        <v>1.25</v>
      </c>
      <c r="N9" s="972" t="s">
        <v>272</v>
      </c>
      <c r="O9" s="972">
        <v>1</v>
      </c>
    </row>
    <row r="10" spans="2:17" ht="20.399999999999999">
      <c r="B10" t="str">
        <f>IF(IF(OR(LEFT(C10,27)=SUP_Biofuels!$N$8,LEFT(C10,20)=SUP_Biofuels!$O$8,LEFT(C10,20)=SUP_Biofuels!$P$8),LEFT(C10,20),C10)="Specific investment ","Specific investment (M€ /MW",IF(OR(LEFT(C10,27)=SUP_Biofuels!$N$8,LEFT(C10,20)=SUP_Biofuels!$O$8,LEFT(C10,20)=SUP_Biofuels!$P$8),LEFT(C10,20),C10))</f>
        <v>Hydrogen Consumption, MWh/MWh Total Input</v>
      </c>
      <c r="C10" s="981" t="s">
        <v>119</v>
      </c>
      <c r="D10" s="972" t="s">
        <v>1136</v>
      </c>
      <c r="E10" s="972">
        <v>0.23</v>
      </c>
      <c r="F10" s="972">
        <v>0.23</v>
      </c>
      <c r="G10" s="972">
        <v>0.23</v>
      </c>
      <c r="H10" s="972">
        <v>0.23</v>
      </c>
      <c r="I10" s="1399">
        <v>0.75</v>
      </c>
      <c r="J10" s="1399"/>
      <c r="K10" s="980">
        <v>1.25</v>
      </c>
      <c r="L10" s="980">
        <v>0.75</v>
      </c>
      <c r="M10" s="980">
        <v>1.25</v>
      </c>
      <c r="N10" s="972" t="s">
        <v>272</v>
      </c>
      <c r="O10" s="972">
        <v>1</v>
      </c>
    </row>
    <row r="11" spans="2:17">
      <c r="B11" t="str">
        <f>IF(IF(OR(LEFT(C11,27)=SUP_Biofuels!$N$8,LEFT(C11,20)=SUP_Biofuels!$O$8,LEFT(C11,20)=SUP_Biofuels!$P$8),LEFT(C11,20),C11)="Specific investment ","Specific investment (M€ /MW",IF(OR(LEFT(C11,27)=SUP_Biofuels!$N$8,LEFT(C11,20)=SUP_Biofuels!$O$8,LEFT(C11,20)=SUP_Biofuels!$P$8),LEFT(C11,20),C11))</f>
        <v>Outputs</v>
      </c>
      <c r="C11" s="1404" t="s">
        <v>271</v>
      </c>
      <c r="D11" s="1404"/>
      <c r="E11" s="1404"/>
      <c r="F11" s="1404"/>
      <c r="G11" s="1404"/>
      <c r="H11" s="1404"/>
      <c r="I11" s="1404"/>
      <c r="J11" s="1404"/>
      <c r="K11" s="1404"/>
      <c r="L11" s="1404"/>
      <c r="M11" s="1404"/>
      <c r="N11" s="1404"/>
      <c r="O11" s="1404"/>
    </row>
    <row r="12" spans="2:17" ht="20.399999999999999">
      <c r="B12" t="str">
        <f>IF(IF(OR(LEFT(C12,27)=SUP_Biofuels!$N$8,LEFT(C12,20)=SUP_Biofuels!$O$8,LEFT(C12,20)=SUP_Biofuels!$P$8),LEFT(C12,20),C12)="Specific investment ","Specific investment (M€ /MW",IF(OR(LEFT(C12,27)=SUP_Biofuels!$N$8,LEFT(C12,20)=SUP_Biofuels!$O$8,LEFT(C12,20)=SUP_Biofuels!$P$8),LEFT(C12,20),C12))</f>
        <v>Liquid Fuel Output, MWh/MWh Total Input</v>
      </c>
      <c r="C12" s="981" t="s">
        <v>118</v>
      </c>
      <c r="D12" s="972" t="s">
        <v>1136</v>
      </c>
      <c r="E12" s="972">
        <v>0.38</v>
      </c>
      <c r="F12" s="972">
        <v>0.38</v>
      </c>
      <c r="G12" s="972">
        <v>0.38</v>
      </c>
      <c r="H12" s="972">
        <v>0.38</v>
      </c>
      <c r="I12" s="980">
        <v>0.9</v>
      </c>
      <c r="J12" s="1399">
        <v>1.1000000000000001</v>
      </c>
      <c r="K12" s="1399"/>
      <c r="L12" s="980">
        <v>0.9</v>
      </c>
      <c r="M12" s="980">
        <v>1.1000000000000001</v>
      </c>
      <c r="N12" s="972" t="s">
        <v>272</v>
      </c>
      <c r="O12" s="972">
        <v>1</v>
      </c>
    </row>
    <row r="13" spans="2:17">
      <c r="B13" t="str">
        <f>IF(IF(OR(LEFT(C13,27)=SUP_Biofuels!$N$8,LEFT(C13,20)=SUP_Biofuels!$O$8,LEFT(C13,20)=SUP_Biofuels!$P$8),LEFT(C13,20),C13)="Specific investment ","Specific investment (M€ /MW",IF(OR(LEFT(C13,27)=SUP_Biofuels!$N$8,LEFT(C13,20)=SUP_Biofuels!$O$8,LEFT(C13,20)=SUP_Biofuels!$P$8),LEFT(C13,20),C13))</f>
        <v>Biochar, Output, MWh/MWh Total Input</v>
      </c>
      <c r="C13" s="981" t="s">
        <v>120</v>
      </c>
      <c r="D13" s="972" t="s">
        <v>1136</v>
      </c>
      <c r="E13" s="972">
        <v>0.13</v>
      </c>
      <c r="F13" s="972">
        <v>0.13</v>
      </c>
      <c r="G13" s="972">
        <v>0.13</v>
      </c>
      <c r="H13" s="972">
        <v>0.13</v>
      </c>
      <c r="I13" s="980">
        <v>0.9</v>
      </c>
      <c r="J13" s="1399">
        <v>1.1000000000000001</v>
      </c>
      <c r="K13" s="1399"/>
      <c r="L13" s="980">
        <v>0.9</v>
      </c>
      <c r="M13" s="980">
        <v>1.1000000000000001</v>
      </c>
      <c r="N13" s="972" t="s">
        <v>272</v>
      </c>
      <c r="O13" s="972">
        <v>1</v>
      </c>
    </row>
    <row r="14" spans="2:17">
      <c r="B14" t="str">
        <f>IF(IF(OR(LEFT(C14,27)=SUP_Biofuels!$N$8,LEFT(C14,20)=SUP_Biofuels!$O$8,LEFT(C14,20)=SUP_Biofuels!$P$8),LEFT(C14,20),C14)="Specific investment ","Specific investment (M€ /MW",IF(OR(LEFT(C14,27)=SUP_Biofuels!$N$8,LEFT(C14,20)=SUP_Biofuels!$O$8,LEFT(C14,20)=SUP_Biofuels!$P$8),LEFT(C14,20),C14))</f>
        <v>Gas Output, MWh/MWh Total Input</v>
      </c>
      <c r="C14" s="981" t="s">
        <v>121</v>
      </c>
      <c r="D14" s="972" t="s">
        <v>1136</v>
      </c>
      <c r="E14" s="972">
        <v>0.31</v>
      </c>
      <c r="F14" s="972">
        <v>0.31</v>
      </c>
      <c r="G14" s="972">
        <v>0.31</v>
      </c>
      <c r="H14" s="972">
        <v>0.31</v>
      </c>
      <c r="I14" s="980">
        <v>0.9</v>
      </c>
      <c r="J14" s="1399">
        <v>1.1000000000000001</v>
      </c>
      <c r="K14" s="1399"/>
      <c r="L14" s="980">
        <v>0.9</v>
      </c>
      <c r="M14" s="980">
        <v>1.1000000000000001</v>
      </c>
      <c r="N14" s="972" t="s">
        <v>272</v>
      </c>
      <c r="O14" s="972">
        <v>1</v>
      </c>
      <c r="Q14" s="75"/>
    </row>
    <row r="15" spans="2:17">
      <c r="B15" t="str">
        <f>IF(IF(OR(LEFT(C15,27)=SUP_Biofuels!$N$8,LEFT(C15,20)=SUP_Biofuels!$O$8,LEFT(C15,20)=SUP_Biofuels!$P$8),LEFT(C15,20),C15)="Specific investment ","Specific investment (M€ /MW",IF(OR(LEFT(C15,27)=SUP_Biofuels!$N$8,LEFT(C15,20)=SUP_Biofuels!$O$8,LEFT(C15,20)=SUP_Biofuels!$P$8),LEFT(C15,20),C15))</f>
        <v>District Heat MWh/MWh Total Input</v>
      </c>
      <c r="C15" s="981" t="s">
        <v>122</v>
      </c>
      <c r="D15" s="972" t="s">
        <v>1136</v>
      </c>
      <c r="E15" s="972">
        <v>0.18</v>
      </c>
      <c r="F15" s="972">
        <v>0.18</v>
      </c>
      <c r="G15" s="972">
        <v>0.18</v>
      </c>
      <c r="H15" s="972">
        <v>0.18</v>
      </c>
      <c r="I15" s="980">
        <v>0.9</v>
      </c>
      <c r="J15" s="1399">
        <v>1.1000000000000001</v>
      </c>
      <c r="K15" s="1399"/>
      <c r="L15" s="980">
        <v>0.9</v>
      </c>
      <c r="M15" s="980">
        <v>1.1000000000000001</v>
      </c>
      <c r="N15" s="972" t="s">
        <v>272</v>
      </c>
      <c r="O15" s="972">
        <v>1</v>
      </c>
    </row>
    <row r="16" spans="2:17">
      <c r="B16" t="str">
        <f>IF(IF(OR(LEFT(C16,27)=SUP_Biofuels!$N$8,LEFT(C16,20)=SUP_Biofuels!$O$8,LEFT(C16,20)=SUP_Biofuels!$P$8),LEFT(C16,20),C16)="Specific investment ","Specific investment (M€ /MW",IF(OR(LEFT(C16,27)=SUP_Biofuels!$N$8,LEFT(C16,20)=SUP_Biofuels!$O$8,LEFT(C16,20)=SUP_Biofuels!$P$8),LEFT(C16,20),C16))</f>
        <v xml:space="preserve">Financial data                                 </v>
      </c>
      <c r="C16" s="1402" t="s">
        <v>264</v>
      </c>
      <c r="D16" s="1402"/>
      <c r="E16" s="1402"/>
      <c r="F16" s="1402"/>
      <c r="G16" s="1402"/>
      <c r="H16" s="1402"/>
      <c r="I16" s="1402"/>
      <c r="J16" s="1402"/>
      <c r="K16" s="1402"/>
      <c r="L16" s="1402"/>
      <c r="M16" s="1402"/>
      <c r="N16" s="1402"/>
      <c r="O16" s="1402"/>
    </row>
    <row r="17" spans="2:15" ht="20.399999999999999">
      <c r="B17" t="str">
        <f>IF(IF(OR(LEFT(C17,27)=SUP_Biofuels!$N$8,LEFT(C17,20)=SUP_Biofuels!$O$8,LEFT(C17,20)=SUP_Biofuels!$P$8),LEFT(C17,20),C17)="Specific investment ","Specific investment (M€ /MW",IF(OR(LEFT(C17,27)=SUP_Biofuels!$N$8,LEFT(C17,20)=SUP_Biofuels!$O$8,LEFT(C17,20)=SUP_Biofuels!$P$8),LEFT(C17,20),C17))</f>
        <v>Specific investment (M€ /l1000 t Liquid Fuels)</v>
      </c>
      <c r="C17" s="976" t="s">
        <v>1288</v>
      </c>
      <c r="D17" s="975" t="s">
        <v>1136</v>
      </c>
      <c r="E17" s="972">
        <v>2.1800000000000002</v>
      </c>
      <c r="F17" s="972">
        <v>1.23</v>
      </c>
      <c r="G17" s="975">
        <v>0.9</v>
      </c>
      <c r="H17" s="972">
        <v>0.73</v>
      </c>
      <c r="I17" s="1399">
        <v>0.75</v>
      </c>
      <c r="J17" s="1399"/>
      <c r="K17" s="979">
        <v>1.25</v>
      </c>
      <c r="L17" s="979">
        <v>0.75</v>
      </c>
      <c r="M17" s="979">
        <v>1.25</v>
      </c>
      <c r="N17" s="975" t="s">
        <v>1287</v>
      </c>
      <c r="O17" s="975" t="s">
        <v>1271</v>
      </c>
    </row>
    <row r="18" spans="2:15">
      <c r="B18" t="str">
        <f>IF(IF(OR(LEFT(C18,27)=SUP_Biofuels!$N$8,LEFT(C18,20)=SUP_Biofuels!$O$8,LEFT(C18,20)=SUP_Biofuels!$P$8),LEFT(C18,20),C18)="Specific investment ","Specific investment (M€ /MW",IF(OR(LEFT(C18,27)=SUP_Biofuels!$N$8,LEFT(C18,20)=SUP_Biofuels!$O$8,LEFT(C18,20)=SUP_Biofuels!$P$8),LEFT(C18,20),C18))</f>
        <v xml:space="preserve"> - equipment (%)</v>
      </c>
      <c r="C18" s="976" t="s">
        <v>394</v>
      </c>
      <c r="D18" s="975" t="s">
        <v>1136</v>
      </c>
      <c r="E18" s="975">
        <v>75</v>
      </c>
      <c r="F18" s="975">
        <v>75</v>
      </c>
      <c r="G18" s="975">
        <v>75</v>
      </c>
      <c r="H18" s="975">
        <v>75</v>
      </c>
      <c r="I18" s="1400"/>
      <c r="J18" s="1400"/>
      <c r="K18" s="972"/>
      <c r="L18" s="972"/>
      <c r="M18" s="972"/>
      <c r="N18" s="972"/>
      <c r="O18" s="972"/>
    </row>
    <row r="19" spans="2:15">
      <c r="B19" t="str">
        <f>IF(IF(OR(LEFT(C19,27)=SUP_Biofuels!$N$8,LEFT(C19,20)=SUP_Biofuels!$O$8,LEFT(C19,20)=SUP_Biofuels!$P$8),LEFT(C19,20),C19)="Specific investment ","Specific investment (M€ /MW",IF(OR(LEFT(C19,27)=SUP_Biofuels!$N$8,LEFT(C19,20)=SUP_Biofuels!$O$8,LEFT(C19,20)=SUP_Biofuels!$P$8),LEFT(C19,20),C19))</f>
        <v xml:space="preserve"> -installation (%)</v>
      </c>
      <c r="C19" s="976" t="s">
        <v>251</v>
      </c>
      <c r="D19" s="975" t="s">
        <v>1136</v>
      </c>
      <c r="E19" s="975">
        <v>25</v>
      </c>
      <c r="F19" s="975">
        <v>25</v>
      </c>
      <c r="G19" s="975">
        <v>25</v>
      </c>
      <c r="H19" s="975">
        <v>25</v>
      </c>
      <c r="I19" s="1400"/>
      <c r="J19" s="1400"/>
      <c r="K19" s="972"/>
      <c r="L19" s="972"/>
      <c r="M19" s="972"/>
      <c r="N19" s="972"/>
      <c r="O19" s="972"/>
    </row>
    <row r="20" spans="2:15">
      <c r="B20" t="str">
        <f>LEFT(C20,17)</f>
        <v xml:space="preserve">Fixed O&amp;M (1,000 </v>
      </c>
      <c r="C20" s="976" t="s">
        <v>1286</v>
      </c>
      <c r="D20" s="975" t="s">
        <v>1136</v>
      </c>
      <c r="E20" s="972">
        <v>44</v>
      </c>
      <c r="F20" s="972">
        <v>44</v>
      </c>
      <c r="G20" s="972">
        <v>44</v>
      </c>
      <c r="H20" s="972">
        <v>44</v>
      </c>
      <c r="I20" s="1401">
        <v>0.75</v>
      </c>
      <c r="J20" s="1401"/>
      <c r="K20" s="975">
        <v>1.25</v>
      </c>
      <c r="L20" s="975">
        <v>0.75</v>
      </c>
      <c r="M20" s="975">
        <v>1.25</v>
      </c>
      <c r="N20" s="975" t="s">
        <v>243</v>
      </c>
      <c r="O20" s="975">
        <v>5</v>
      </c>
    </row>
    <row r="21" spans="2:15">
      <c r="B21" t="str">
        <f>LEFT(C21,27)</f>
        <v>Specific investment (M€ /MW</v>
      </c>
      <c r="C21" s="978" t="s">
        <v>1147</v>
      </c>
      <c r="D21" s="975" t="str">
        <f>D19</f>
        <v>n.a.</v>
      </c>
      <c r="E21" s="972">
        <f>E6/E7*E17</f>
        <v>1.5298245614035089</v>
      </c>
      <c r="F21" s="972">
        <f>F6/F7*F17</f>
        <v>0.86315789473684201</v>
      </c>
      <c r="G21" s="972">
        <f>G6/G7*G17</f>
        <v>0.63157894736842102</v>
      </c>
      <c r="H21" s="972">
        <f>H6/H7*H17</f>
        <v>0.51228070175438589</v>
      </c>
      <c r="I21" s="975"/>
      <c r="J21" s="975"/>
      <c r="K21" s="975"/>
      <c r="L21" s="975"/>
      <c r="M21" s="975"/>
      <c r="N21" s="975"/>
      <c r="O21" s="975"/>
    </row>
    <row r="22" spans="2:15">
      <c r="B22" t="str">
        <f>LEFT(C22,17)</f>
        <v>Fixed O&amp;M (M€ /MW</v>
      </c>
      <c r="C22" s="977" t="s">
        <v>1146</v>
      </c>
      <c r="D22" s="975" t="str">
        <f>D20</f>
        <v>n.a.</v>
      </c>
      <c r="E22" s="975">
        <f>E64/1.2</f>
        <v>0.16723731569346834</v>
      </c>
      <c r="F22" s="1056">
        <f t="shared" ref="F22:H23" si="0">E22</f>
        <v>0.16723731569346834</v>
      </c>
      <c r="G22" s="1056">
        <f t="shared" si="0"/>
        <v>0.16723731569346834</v>
      </c>
      <c r="H22" s="1056">
        <f t="shared" si="0"/>
        <v>0.16723731569346834</v>
      </c>
      <c r="I22" s="975"/>
      <c r="J22" s="975"/>
      <c r="K22" s="975"/>
      <c r="L22" s="975"/>
      <c r="M22" s="975"/>
      <c r="N22" s="975"/>
      <c r="O22" s="975"/>
    </row>
    <row r="23" spans="2:15">
      <c r="B23" t="str">
        <f>LEFT(C23,19)</f>
        <v>Variable O&amp;M (€ /MW</v>
      </c>
      <c r="C23" s="976" t="s">
        <v>1285</v>
      </c>
      <c r="D23" s="975" t="s">
        <v>1136</v>
      </c>
      <c r="E23" s="1063">
        <f>E67/1.2</f>
        <v>8.7102768590348081</v>
      </c>
      <c r="F23" s="975">
        <f t="shared" si="0"/>
        <v>8.7102768590348081</v>
      </c>
      <c r="G23" s="1056">
        <f t="shared" si="0"/>
        <v>8.7102768590348081</v>
      </c>
      <c r="H23" s="1056">
        <f t="shared" si="0"/>
        <v>8.7102768590348081</v>
      </c>
      <c r="I23" s="1401">
        <v>0.75</v>
      </c>
      <c r="J23" s="1401"/>
      <c r="K23" s="975">
        <v>1.25</v>
      </c>
      <c r="L23" s="975">
        <v>0.75</v>
      </c>
      <c r="M23" s="975">
        <v>1.25</v>
      </c>
      <c r="N23" s="975" t="s">
        <v>243</v>
      </c>
      <c r="O23" s="975">
        <v>5</v>
      </c>
    </row>
    <row r="24" spans="2:15">
      <c r="B24" t="str">
        <f>IF(IF(OR(LEFT(C24,27)=SUP_Biofuels!$N$8,LEFT(C24,20)=SUP_Biofuels!$O$8,LEFT(C24,20)=SUP_Biofuels!$P$8),LEFT(C24,20),C24)="Specific investment ","Specific investment (M€ /MW",IF(OR(LEFT(C24,27)=SUP_Biofuels!$N$8,LEFT(C24,20)=SUP_Biofuels!$O$8,LEFT(C24,20)=SUP_Biofuels!$P$8),LEFT(C24,20),C24))</f>
        <v>Start up (€ /l Liquid Fuel)</v>
      </c>
      <c r="C24" s="976" t="s">
        <v>1284</v>
      </c>
      <c r="D24" s="975" t="s">
        <v>1136</v>
      </c>
      <c r="E24" s="975">
        <v>0</v>
      </c>
      <c r="F24" s="975">
        <v>0</v>
      </c>
      <c r="G24" s="975">
        <v>0</v>
      </c>
      <c r="H24" s="975">
        <v>0</v>
      </c>
      <c r="I24" s="1400"/>
      <c r="J24" s="1400"/>
      <c r="K24" s="972"/>
      <c r="L24" s="972"/>
      <c r="M24" s="972"/>
      <c r="N24" s="972"/>
      <c r="O24" s="972"/>
    </row>
    <row r="25" spans="2:15">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974" t="s">
        <v>260</v>
      </c>
      <c r="D25" s="1400"/>
      <c r="E25" s="1400"/>
      <c r="F25" s="1400"/>
      <c r="G25" s="1400"/>
      <c r="H25" s="1400"/>
      <c r="I25" s="1400"/>
      <c r="J25" s="1400"/>
      <c r="K25" s="1400"/>
      <c r="L25" s="1400"/>
      <c r="M25" s="1400"/>
      <c r="N25" s="1400"/>
      <c r="O25" s="1400"/>
    </row>
    <row r="26" spans="2:15">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973" t="s">
        <v>1057</v>
      </c>
      <c r="D26" s="972"/>
      <c r="E26" s="1400">
        <v>43</v>
      </c>
      <c r="F26" s="1400"/>
      <c r="G26" s="1400"/>
      <c r="H26" s="1400"/>
      <c r="I26" s="1400"/>
      <c r="J26" s="1400"/>
      <c r="K26" s="972"/>
      <c r="L26" s="972"/>
      <c r="M26" s="972"/>
      <c r="N26" s="972"/>
      <c r="O26" s="972"/>
    </row>
    <row r="27" spans="2:15">
      <c r="B27" t="str">
        <f>IF(IF(OR(LEFT(C27,27)=SUP_Biofuels!$N$8,LEFT(C27,20)=SUP_Biofuels!$O$8,LEFT(C27,20)=SUP_Biofuels!$P$8),LEFT(C27,20),C27)="Specific investment ","Specific investment (M€ /MW",IF(OR(LEFT(C27,27)=SUP_Biofuels!$N$8,LEFT(C27,20)=SUP_Biofuels!$O$8,LEFT(C27,20)=SUP_Biofuels!$P$8),LEFT(C27,20),C27))</f>
        <v>Specific density  (kg/l) or (ton/m3)</v>
      </c>
      <c r="C27" s="973" t="s">
        <v>1283</v>
      </c>
      <c r="D27" s="972"/>
      <c r="E27" s="1400">
        <v>0.83</v>
      </c>
      <c r="F27" s="1400"/>
      <c r="G27" s="1400"/>
      <c r="H27" s="1400"/>
      <c r="I27" s="1400"/>
      <c r="J27" s="1400"/>
      <c r="K27" s="972"/>
      <c r="L27" s="972"/>
      <c r="M27" s="972"/>
      <c r="N27" s="972"/>
      <c r="O27" s="972"/>
    </row>
    <row r="28" spans="2:15">
      <c r="B28">
        <f>IF(IF(OR(LEFT(C28,27)=SUP_Biofuels!$N$8,LEFT(C28,20)=SUP_Biofuels!$O$8,LEFT(C28,20)=SUP_Biofuels!$P$8),LEFT(C28,20),C28)="Specific investment ","Specific investment (M€ /MW",IF(OR(LEFT(C28,27)=SUP_Biofuels!$N$8,LEFT(C28,20)=SUP_Biofuels!$O$8,LEFT(C28,20)=SUP_Biofuels!$P$8),LEFT(C28,20),C28))</f>
        <v>0</v>
      </c>
      <c r="C28" s="971"/>
      <c r="D28" s="971"/>
      <c r="E28" s="971"/>
      <c r="F28" s="971"/>
      <c r="G28" s="971"/>
      <c r="H28" s="971"/>
      <c r="I28" s="971"/>
      <c r="J28" s="971"/>
      <c r="K28" s="971"/>
      <c r="L28" s="971"/>
      <c r="M28" s="971"/>
      <c r="N28" s="971"/>
      <c r="O28" s="971"/>
    </row>
    <row r="29" spans="2:15">
      <c r="C29" s="1121" t="s">
        <v>1498</v>
      </c>
      <c r="D29" s="1121"/>
      <c r="E29" s="1121">
        <f>'101 Catalytic Hydropyrolysis 2'!E36</f>
        <v>1.25201511627907</v>
      </c>
      <c r="F29" s="1121">
        <f>'101 Catalytic Hydropyrolysis 2'!F36</f>
        <v>1.25201511627907</v>
      </c>
      <c r="G29" s="1121">
        <f>'101 Catalytic Hydropyrolysis 2'!G36</f>
        <v>1.25201511627907</v>
      </c>
      <c r="H29" s="1121">
        <f>'101 Catalytic Hydropyrolysis 2'!H36</f>
        <v>1.25201511627907</v>
      </c>
      <c r="I29" s="959"/>
      <c r="J29" s="959"/>
      <c r="K29" s="959"/>
      <c r="L29" s="959"/>
      <c r="M29" s="1118"/>
      <c r="N29" s="1118"/>
    </row>
    <row r="30" spans="2:15">
      <c r="B30" s="1120"/>
      <c r="C30" s="1121" t="s">
        <v>1496</v>
      </c>
      <c r="D30" s="1122"/>
      <c r="E30" s="1121">
        <f>'101 Catalytic Hydropyrolysis 2'!E37</f>
        <v>1.5302406976744189</v>
      </c>
      <c r="F30" s="1121">
        <f>'101 Catalytic Hydropyrolysis 2'!F37</f>
        <v>0.86713639534883757</v>
      </c>
      <c r="G30" s="1121">
        <f>'101 Catalytic Hydropyrolysis 2'!G37</f>
        <v>0.63504988953488384</v>
      </c>
      <c r="H30" s="1121">
        <f>'101 Catalytic Hydropyrolysis 2'!H37</f>
        <v>0.51008023255813961</v>
      </c>
      <c r="I30" s="959"/>
      <c r="J30" s="959"/>
      <c r="K30" s="959"/>
      <c r="L30" s="959"/>
      <c r="M30" s="1118"/>
      <c r="N30" s="1118"/>
    </row>
    <row r="31" spans="2:15">
      <c r="B31" s="1120" t="s">
        <v>1500</v>
      </c>
      <c r="C31" s="1123" t="s">
        <v>1147</v>
      </c>
      <c r="D31" s="1122"/>
      <c r="E31" s="1121">
        <f>'101 Catalytic Hydropyrolysis 2'!E38</f>
        <v>2.7822558139534888</v>
      </c>
      <c r="F31" s="1121">
        <f>'101 Catalytic Hydropyrolysis 2'!F38</f>
        <v>1.5766116279069771</v>
      </c>
      <c r="G31" s="1121">
        <f>'101 Catalytic Hydropyrolysis 2'!G38</f>
        <v>1.1546361627906978</v>
      </c>
      <c r="H31" s="1125">
        <f>'101 Catalytic Hydropyrolysis 2'!H38</f>
        <v>0.92741860465116288</v>
      </c>
      <c r="I31" s="959"/>
      <c r="J31" s="959"/>
      <c r="K31" s="959"/>
      <c r="L31" s="959"/>
      <c r="M31" s="1118"/>
      <c r="N31" s="1118"/>
    </row>
    <row r="32" spans="2:15">
      <c r="B32" t="s">
        <v>1499</v>
      </c>
      <c r="C32" s="970"/>
      <c r="E32" s="1119">
        <v>1.5298245614035089</v>
      </c>
      <c r="F32" s="1119">
        <v>0.86315789473684201</v>
      </c>
      <c r="G32" s="1119">
        <v>0.63157894736842102</v>
      </c>
      <c r="H32" s="1119">
        <v>0.51228070175438589</v>
      </c>
    </row>
    <row r="33" spans="2:3">
      <c r="B33" t="str">
        <f>IF(IF(OR(LEFT(C33,27)=SUP_Biofuels!$N$8,LEFT(C33,20)=SUP_Biofuels!$O$8,LEFT(C33,20)=SUP_Biofuels!$P$8),LEFT(C33,20),C33)="Specific investment ","Specific investment (M€ /MW",IF(OR(LEFT(C33,27)=SUP_Biofuels!$N$8,LEFT(C33,20)=SUP_Biofuels!$O$8,LEFT(C33,20)=SUP_Biofuels!$P$8),LEFT(C33,20),C33))</f>
        <v>Notes:</v>
      </c>
      <c r="C33" s="969" t="s">
        <v>1282</v>
      </c>
    </row>
    <row r="34" spans="2:3">
      <c r="B34" t="str">
        <f>IF(IF(OR(LEFT(C34,27)=SUP_Biofuels!$N$8,LEFT(C34,20)=SUP_Biofuels!$O$8,LEFT(C34,20)=SUP_Biofuels!$P$8),LEFT(C34,20),C34)="Specific investment ","Specific investment (M€ /MW",IF(OR(LEFT(C34,27)=SUP_Biofuels!$N$8,LEFT(C34,20)=SUP_Biofuels!$O$8,LEFT(C34,20)=SUP_Biofuels!$P$8),LEFT(C34,20),C34))</f>
        <v>A. The plant size range is likely limited by the feedstock availability.</v>
      </c>
      <c r="C34" t="s">
        <v>1281</v>
      </c>
    </row>
    <row r="35" spans="2:3">
      <c r="B35" t="str">
        <f>IF(IF(OR(LEFT(C35,27)=SUP_Biofuels!$N$8,LEFT(C35,20)=SUP_Biofuels!$O$8,LEFT(C35,20)=SUP_Biofuels!$P$8),LEFT(C35,20),C35)="Specific investment ","Specific investment (M€ /MW",IF(OR(LEFT(C35,27)=SUP_Biofuels!$N$8,LEFT(C35,20)=SUP_Biofuels!$O$8,LEFT(C35,20)=SUP_Biofuels!$P$8),LEFT(C35,20),C35))</f>
        <v xml:space="preserve">A1. This value is the hourly rating and has been calculated as if the unit produces at capacity and was in operations 8,000 h/year. </v>
      </c>
      <c r="C35" t="s">
        <v>1192</v>
      </c>
    </row>
    <row r="36" spans="2:3">
      <c r="B36" t="str">
        <f>IF(IF(OR(LEFT(C36,27)=SUP_Biofuels!$N$8,LEFT(C36,20)=SUP_Biofuels!$O$8,LEFT(C36,20)=SUP_Biofuels!$P$8),LEFT(C36,20),C36)="Specific investment ","Specific investment (M€ /MW",IF(OR(LEFT(C36,27)=SUP_Biofuels!$N$8,LEFT(C36,20)=SUP_Biofuels!$O$8,LEFT(C36,20)=SUP_Biofuels!$P$8),LEFT(C36,20),C36))</f>
        <v>B. The plant size range is typical of the range found in the literature. It is highly uncertain given that there is no commercial demonstration plant in operation yet.</v>
      </c>
      <c r="C36" t="s">
        <v>1280</v>
      </c>
    </row>
    <row r="37" spans="2:3">
      <c r="B37" t="str">
        <f>IF(IF(OR(LEFT(C37,27)=SUP_Biofuels!$N$8,LEFT(C37,20)=SUP_Biofuels!$O$8,LEFT(C37,20)=SUP_Biofuels!$P$8),LEFT(C37,20),C37)="Specific investment ","Specific investment (M€ /MW",IF(OR(LEFT(C37,27)=SUP_Biofuels!$N$8,LEFT(C37,20)=SUP_Biofuels!$O$8,LEFT(C37,20)=SUP_Biofuels!$P$8),LEFT(C37,20),C37))</f>
        <v>C. These are based on extrapolated pilot plant results.</v>
      </c>
      <c r="C37" t="s">
        <v>1279</v>
      </c>
    </row>
    <row r="38" spans="2:3">
      <c r="B38" t="str">
        <f>IF(IF(OR(LEFT(C38,27)=SUP_Biofuels!$N$8,LEFT(C38,20)=SUP_Biofuels!$O$8,LEFT(C38,20)=SUP_Biofuels!$P$8),LEFT(C38,20),C38)="Specific investment ","Specific investment (M€ /MW",IF(OR(LEFT(C38,27)=SUP_Biofuels!$N$8,LEFT(C38,20)=SUP_Biofuels!$O$8,LEFT(C38,20)=SUP_Biofuels!$P$8),LEFT(C38,20),C38))</f>
        <v>D. Tan [5] reports that the hydrogen plant and distillation account for 45% of the total plant costs for configuration 2. The cost for this configuration are therefore 55% of Configuration 2.</v>
      </c>
      <c r="C38" t="s">
        <v>1278</v>
      </c>
    </row>
    <row r="39" spans="2:3" ht="16.5" customHeight="1">
      <c r="C39" t="s">
        <v>1277</v>
      </c>
    </row>
    <row r="40" spans="2:3">
      <c r="C40" t="s">
        <v>1276</v>
      </c>
    </row>
    <row r="42" spans="2:3" ht="25.8">
      <c r="B42" s="1059" t="s">
        <v>1392</v>
      </c>
    </row>
    <row r="49" spans="2:9">
      <c r="B49" t="s">
        <v>1393</v>
      </c>
      <c r="E49" s="1061" t="s">
        <v>1396</v>
      </c>
      <c r="F49" s="1061" t="s">
        <v>1397</v>
      </c>
      <c r="G49" s="1061" t="s">
        <v>1398</v>
      </c>
      <c r="I49" s="1061"/>
    </row>
    <row r="50" spans="2:9">
      <c r="E50" t="s">
        <v>1395</v>
      </c>
      <c r="F50" t="s">
        <v>1395</v>
      </c>
      <c r="G50" t="s">
        <v>1395</v>
      </c>
    </row>
    <row r="51" spans="2:9">
      <c r="C51" t="s">
        <v>1394</v>
      </c>
      <c r="E51">
        <v>211</v>
      </c>
      <c r="F51">
        <v>612</v>
      </c>
      <c r="G51">
        <v>199</v>
      </c>
    </row>
    <row r="52" spans="2:9">
      <c r="C52" t="s">
        <v>1403</v>
      </c>
      <c r="E52">
        <v>2000</v>
      </c>
      <c r="F52">
        <v>3425</v>
      </c>
      <c r="G52">
        <v>2000</v>
      </c>
    </row>
    <row r="53" spans="2:9">
      <c r="C53" t="s">
        <v>1402</v>
      </c>
      <c r="E53">
        <f>E52*6.118/1000000*8000</f>
        <v>97.888000000000005</v>
      </c>
      <c r="F53">
        <f>F52*6.118/1000000*8000</f>
        <v>167.63320000000002</v>
      </c>
      <c r="G53">
        <f>G52*6.118/1000000*8000</f>
        <v>97.888000000000005</v>
      </c>
    </row>
    <row r="54" spans="2:9">
      <c r="C54" t="s">
        <v>1401</v>
      </c>
      <c r="E54">
        <f>E52*1.69944444/24</f>
        <v>141.62037000000001</v>
      </c>
      <c r="F54">
        <f>F52*1.69944444/24</f>
        <v>242.524883625</v>
      </c>
      <c r="G54">
        <f>G52*1.69944444/24</f>
        <v>141.62037000000001</v>
      </c>
    </row>
    <row r="56" spans="2:9">
      <c r="C56" t="s">
        <v>1399</v>
      </c>
      <c r="D56" s="1062">
        <v>2020</v>
      </c>
      <c r="E56">
        <f>E12</f>
        <v>0.38</v>
      </c>
      <c r="F56">
        <f>F12</f>
        <v>0.38</v>
      </c>
      <c r="G56">
        <f>G12</f>
        <v>0.38</v>
      </c>
    </row>
    <row r="57" spans="2:9">
      <c r="C57" s="1062" t="s">
        <v>144</v>
      </c>
      <c r="D57" s="1062">
        <v>2020</v>
      </c>
      <c r="E57">
        <f>E$54*E56</f>
        <v>53.815740600000005</v>
      </c>
      <c r="F57">
        <f>F$54*F56</f>
        <v>92.1594557775</v>
      </c>
      <c r="G57">
        <f>G$54*G56</f>
        <v>53.815740600000005</v>
      </c>
    </row>
    <row r="58" spans="2:9">
      <c r="C58" t="s">
        <v>1404</v>
      </c>
      <c r="D58" s="1062">
        <v>2020</v>
      </c>
      <c r="E58">
        <f>E$51/E57</f>
        <v>3.9207859568135346</v>
      </c>
      <c r="F58">
        <f>F$51/F57</f>
        <v>6.6406642143975736</v>
      </c>
      <c r="G58">
        <f>G$51/G57</f>
        <v>3.6978028692222433</v>
      </c>
    </row>
    <row r="59" spans="2:9">
      <c r="C59" t="s">
        <v>1495</v>
      </c>
      <c r="D59" s="1062">
        <v>2020</v>
      </c>
      <c r="E59">
        <f>E58*6.5</f>
        <v>25.485108719287975</v>
      </c>
      <c r="F59">
        <f>F58*6.5</f>
        <v>43.164317393584227</v>
      </c>
      <c r="G59">
        <f>G58*6.5</f>
        <v>24.035718649944581</v>
      </c>
    </row>
    <row r="63" spans="2:9">
      <c r="C63" t="s">
        <v>1407</v>
      </c>
      <c r="D63" t="s">
        <v>1408</v>
      </c>
      <c r="E63">
        <v>10.8</v>
      </c>
      <c r="G63">
        <v>10.8</v>
      </c>
    </row>
    <row r="64" spans="2:9">
      <c r="C64" t="s">
        <v>1407</v>
      </c>
      <c r="D64" t="s">
        <v>1415</v>
      </c>
      <c r="E64">
        <f>E63/(E54*E56)</f>
        <v>0.20068477883216199</v>
      </c>
      <c r="G64">
        <f>G63/(G54*G56)</f>
        <v>0.20068477883216199</v>
      </c>
    </row>
    <row r="65" spans="3:7">
      <c r="C65" t="s">
        <v>1407</v>
      </c>
      <c r="D65" t="s">
        <v>1414</v>
      </c>
      <c r="E65" s="1">
        <f>E64*6.5</f>
        <v>1.3044510624090528</v>
      </c>
      <c r="F65" s="1"/>
      <c r="G65" s="1">
        <f>G64*6.5</f>
        <v>1.3044510624090528</v>
      </c>
    </row>
    <row r="66" spans="3:7">
      <c r="C66" t="s">
        <v>1410</v>
      </c>
      <c r="D66" t="s">
        <v>1411</v>
      </c>
      <c r="E66">
        <v>4.5</v>
      </c>
      <c r="G66">
        <v>4.5</v>
      </c>
    </row>
    <row r="67" spans="3:7">
      <c r="C67" t="s">
        <v>1410</v>
      </c>
      <c r="D67" t="s">
        <v>1412</v>
      </c>
      <c r="E67" s="1064">
        <f>E66*1000000/(8000*E57)</f>
        <v>10.452332230841769</v>
      </c>
      <c r="F67" s="1"/>
      <c r="G67" s="1064">
        <f>G66*1000000/(8000*G57)</f>
        <v>10.452332230841769</v>
      </c>
    </row>
    <row r="68" spans="3:7">
      <c r="C68" t="s">
        <v>1410</v>
      </c>
      <c r="D68" t="s">
        <v>1413</v>
      </c>
      <c r="E68" s="1">
        <f>E67*6.5</f>
        <v>67.940159500471495</v>
      </c>
      <c r="F68" s="1"/>
      <c r="G68" s="1">
        <f>G67*6.5</f>
        <v>67.940159500471495</v>
      </c>
    </row>
  </sheetData>
  <mergeCells count="26">
    <mergeCell ref="C8:O8"/>
    <mergeCell ref="I9:J9"/>
    <mergeCell ref="I10:J10"/>
    <mergeCell ref="C11:O11"/>
    <mergeCell ref="J12:K12"/>
    <mergeCell ref="I3:K3"/>
    <mergeCell ref="L3:M3"/>
    <mergeCell ref="I4:J4"/>
    <mergeCell ref="C5:O5"/>
    <mergeCell ref="I6:J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s>
  <hyperlinks>
    <hyperlink ref="I1" location="Index" display="Back to Index" xr:uid="{9E30C3BB-2BBC-4576-B714-EA181B689221}"/>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884"/>
    </row>
    <row r="3" spans="2:13">
      <c r="B3" s="260" t="s">
        <v>296</v>
      </c>
      <c r="C3" s="1386" t="s">
        <v>1275</v>
      </c>
      <c r="D3" s="1291"/>
      <c r="E3" s="1291"/>
      <c r="F3" s="1291"/>
      <c r="G3" s="1291"/>
      <c r="H3" s="1291"/>
      <c r="I3" s="1291"/>
      <c r="J3" s="1291"/>
      <c r="K3" s="1291"/>
      <c r="L3" s="1291"/>
      <c r="M3" s="1291"/>
    </row>
    <row r="4" spans="2:13">
      <c r="B4" s="162"/>
      <c r="C4" s="162">
        <v>2015</v>
      </c>
      <c r="D4" s="162">
        <v>2020</v>
      </c>
      <c r="E4" s="162">
        <v>2030</v>
      </c>
      <c r="F4" s="162">
        <v>2040</v>
      </c>
      <c r="G4" s="162">
        <v>2050</v>
      </c>
      <c r="H4" s="1292" t="s">
        <v>290</v>
      </c>
      <c r="I4" s="1292"/>
      <c r="J4" s="1292" t="s">
        <v>289</v>
      </c>
      <c r="K4" s="1292"/>
      <c r="L4" s="1050" t="s">
        <v>288</v>
      </c>
      <c r="M4" s="1050" t="s">
        <v>287</v>
      </c>
    </row>
    <row r="5" spans="2:13">
      <c r="B5" s="190"/>
      <c r="C5" s="190"/>
      <c r="D5" s="190"/>
      <c r="E5" s="190"/>
      <c r="F5" s="190"/>
      <c r="G5" s="190"/>
      <c r="H5" s="188" t="s">
        <v>284</v>
      </c>
      <c r="I5" s="188" t="s">
        <v>283</v>
      </c>
      <c r="J5" s="188" t="s">
        <v>284</v>
      </c>
      <c r="K5" s="188" t="s">
        <v>283</v>
      </c>
      <c r="L5" s="188"/>
      <c r="M5" s="188"/>
    </row>
    <row r="6" spans="2:13">
      <c r="B6" s="186" t="s">
        <v>282</v>
      </c>
      <c r="C6" s="185"/>
      <c r="D6" s="185"/>
      <c r="E6" s="185"/>
      <c r="F6" s="185"/>
      <c r="G6" s="185"/>
      <c r="H6" s="185"/>
      <c r="I6" s="185"/>
      <c r="J6" s="185"/>
      <c r="K6" s="185"/>
      <c r="L6" s="183"/>
      <c r="M6" s="1049"/>
    </row>
    <row r="7" spans="2:13">
      <c r="B7" s="180" t="s">
        <v>1152</v>
      </c>
      <c r="C7" s="178" t="s">
        <v>1136</v>
      </c>
      <c r="D7" s="178">
        <v>40</v>
      </c>
      <c r="E7" s="178">
        <v>80</v>
      </c>
      <c r="F7" s="178">
        <v>120</v>
      </c>
      <c r="G7" s="178">
        <v>160</v>
      </c>
      <c r="H7" s="218">
        <v>0.5</v>
      </c>
      <c r="I7" s="218">
        <v>1.25</v>
      </c>
      <c r="J7" s="218">
        <v>0.75</v>
      </c>
      <c r="K7" s="218">
        <v>1.25</v>
      </c>
      <c r="L7" s="178" t="s">
        <v>280</v>
      </c>
      <c r="M7" s="178" t="s">
        <v>1274</v>
      </c>
    </row>
    <row r="8" spans="2:13">
      <c r="B8" s="190" t="s">
        <v>1151</v>
      </c>
      <c r="C8" s="188" t="s">
        <v>1136</v>
      </c>
      <c r="D8" s="968">
        <v>56.878761904761902</v>
      </c>
      <c r="E8" s="968">
        <v>113.7575238095238</v>
      </c>
      <c r="F8" s="968">
        <v>170.63628571428572</v>
      </c>
      <c r="G8" s="968">
        <v>227.51504761904761</v>
      </c>
      <c r="H8" s="217">
        <v>0.5</v>
      </c>
      <c r="I8" s="217">
        <v>1.25</v>
      </c>
      <c r="J8" s="217">
        <v>0.75</v>
      </c>
      <c r="K8" s="217">
        <v>1.25</v>
      </c>
      <c r="L8" s="188" t="s">
        <v>277</v>
      </c>
      <c r="M8" s="188" t="s">
        <v>1274</v>
      </c>
    </row>
    <row r="9" spans="2:13">
      <c r="B9" s="186" t="s">
        <v>384</v>
      </c>
      <c r="C9" s="934"/>
      <c r="D9" s="934"/>
      <c r="E9" s="934"/>
      <c r="F9" s="934" t="s">
        <v>285</v>
      </c>
      <c r="G9" s="934"/>
      <c r="H9" s="944"/>
      <c r="I9" s="944"/>
      <c r="J9" s="944"/>
      <c r="K9" s="944"/>
      <c r="L9" s="183"/>
      <c r="M9" s="1049"/>
    </row>
    <row r="10" spans="2:13">
      <c r="B10" s="180" t="s">
        <v>112</v>
      </c>
      <c r="C10" s="178" t="s">
        <v>1136</v>
      </c>
      <c r="D10" s="178">
        <v>0.99</v>
      </c>
      <c r="E10" s="178">
        <v>0.99</v>
      </c>
      <c r="F10" s="178">
        <v>0.99</v>
      </c>
      <c r="G10" s="178">
        <v>0.99</v>
      </c>
      <c r="H10" s="218">
        <v>0.9</v>
      </c>
      <c r="I10" s="218">
        <v>1.5</v>
      </c>
      <c r="J10" s="218">
        <v>0.9</v>
      </c>
      <c r="K10" s="218">
        <v>1.25</v>
      </c>
      <c r="L10" s="178" t="s">
        <v>269</v>
      </c>
      <c r="M10" s="178">
        <v>5</v>
      </c>
    </row>
    <row r="11" spans="2:13">
      <c r="B11" s="190" t="s">
        <v>96</v>
      </c>
      <c r="C11" s="188" t="s">
        <v>1136</v>
      </c>
      <c r="D11" s="188">
        <v>0.01</v>
      </c>
      <c r="E11" s="188">
        <v>0.01</v>
      </c>
      <c r="F11" s="188">
        <v>0.01</v>
      </c>
      <c r="G11" s="188">
        <v>0.01</v>
      </c>
      <c r="H11" s="217">
        <v>0.75</v>
      </c>
      <c r="I11" s="217">
        <v>1.25</v>
      </c>
      <c r="J11" s="217">
        <v>0.75</v>
      </c>
      <c r="K11" s="217">
        <v>1.25</v>
      </c>
      <c r="L11" s="188" t="s">
        <v>269</v>
      </c>
      <c r="M11" s="188">
        <v>5</v>
      </c>
    </row>
    <row r="12" spans="2:13">
      <c r="B12" s="186" t="s">
        <v>271</v>
      </c>
      <c r="C12" s="934"/>
      <c r="D12" s="934"/>
      <c r="E12" s="934"/>
      <c r="F12" s="934"/>
      <c r="G12" s="934"/>
      <c r="H12" s="944"/>
      <c r="I12" s="944"/>
      <c r="J12" s="944"/>
      <c r="K12" s="944"/>
      <c r="L12" s="183"/>
      <c r="M12" s="1049"/>
    </row>
    <row r="13" spans="2:13">
      <c r="B13" s="180" t="s">
        <v>116</v>
      </c>
      <c r="C13" s="178" t="s">
        <v>1136</v>
      </c>
      <c r="D13" s="178">
        <v>0.38</v>
      </c>
      <c r="E13" s="178">
        <v>0.39</v>
      </c>
      <c r="F13" s="178">
        <v>0.4</v>
      </c>
      <c r="G13" s="178">
        <v>0.41</v>
      </c>
      <c r="H13" s="218">
        <v>0.9</v>
      </c>
      <c r="I13" s="218">
        <v>1.1000000000000001</v>
      </c>
      <c r="J13" s="218">
        <v>0.9</v>
      </c>
      <c r="K13" s="218">
        <v>1.1000000000000001</v>
      </c>
      <c r="L13" s="178" t="s">
        <v>269</v>
      </c>
      <c r="M13" s="178">
        <v>5</v>
      </c>
    </row>
    <row r="14" spans="2:13">
      <c r="B14" s="268" t="s">
        <v>117</v>
      </c>
      <c r="C14" s="270" t="s">
        <v>1136</v>
      </c>
      <c r="D14" s="270">
        <v>0.17</v>
      </c>
      <c r="E14" s="270">
        <v>0.18</v>
      </c>
      <c r="F14" s="270">
        <v>0.18</v>
      </c>
      <c r="G14" s="270">
        <v>0.19</v>
      </c>
      <c r="H14" s="218">
        <v>0.9</v>
      </c>
      <c r="I14" s="218">
        <v>1.1000000000000001</v>
      </c>
      <c r="J14" s="218">
        <v>0.9</v>
      </c>
      <c r="K14" s="218">
        <v>1.1000000000000001</v>
      </c>
      <c r="L14" s="178" t="s">
        <v>269</v>
      </c>
      <c r="M14" s="178">
        <v>5</v>
      </c>
    </row>
    <row r="15" spans="2:13">
      <c r="B15" s="190" t="s">
        <v>1261</v>
      </c>
      <c r="C15" s="188" t="s">
        <v>1136</v>
      </c>
      <c r="D15" s="188">
        <v>0</v>
      </c>
      <c r="E15" s="188">
        <v>0</v>
      </c>
      <c r="F15" s="188">
        <v>0</v>
      </c>
      <c r="G15" s="188">
        <v>0</v>
      </c>
      <c r="H15" s="217">
        <v>0.9</v>
      </c>
      <c r="I15" s="217">
        <v>1.1000000000000001</v>
      </c>
      <c r="J15" s="217">
        <v>0.9</v>
      </c>
      <c r="K15" s="217">
        <v>1.1000000000000001</v>
      </c>
      <c r="L15" s="188" t="s">
        <v>269</v>
      </c>
      <c r="M15" s="188">
        <v>5</v>
      </c>
    </row>
    <row r="16" spans="2:13">
      <c r="B16" s="207"/>
      <c r="C16" s="934"/>
      <c r="D16" s="934"/>
      <c r="E16" s="934"/>
      <c r="F16" s="934"/>
      <c r="G16" s="934"/>
      <c r="H16" s="944"/>
      <c r="I16" s="944"/>
      <c r="J16" s="944"/>
      <c r="K16" s="944"/>
      <c r="L16" s="183"/>
      <c r="M16" s="1049"/>
    </row>
    <row r="17" spans="2:13">
      <c r="B17" s="180" t="s">
        <v>59</v>
      </c>
      <c r="C17" s="178" t="s">
        <v>1136</v>
      </c>
      <c r="D17" s="178">
        <v>4</v>
      </c>
      <c r="E17" s="178">
        <v>4</v>
      </c>
      <c r="F17" s="178">
        <v>0</v>
      </c>
      <c r="G17" s="178">
        <v>0</v>
      </c>
      <c r="H17" s="942"/>
      <c r="I17" s="942"/>
      <c r="J17" s="942"/>
      <c r="K17" s="942"/>
      <c r="L17" s="178"/>
      <c r="M17" s="178"/>
    </row>
    <row r="18" spans="2:13">
      <c r="B18" s="162" t="s">
        <v>92</v>
      </c>
      <c r="C18" s="1050" t="s">
        <v>1136</v>
      </c>
      <c r="D18" s="1050">
        <v>2</v>
      </c>
      <c r="E18" s="1050">
        <v>3</v>
      </c>
      <c r="F18" s="1050">
        <v>4</v>
      </c>
      <c r="G18" s="1050">
        <v>5</v>
      </c>
      <c r="H18" s="167"/>
      <c r="I18" s="167"/>
      <c r="J18" s="167"/>
      <c r="K18" s="962"/>
      <c r="L18" s="1050"/>
      <c r="M18" s="1050">
        <v>5</v>
      </c>
    </row>
    <row r="19" spans="2:13">
      <c r="B19" s="162" t="s">
        <v>58</v>
      </c>
      <c r="C19" s="1050" t="s">
        <v>1136</v>
      </c>
      <c r="D19" s="1050" t="s">
        <v>1260</v>
      </c>
      <c r="E19" s="1050" t="s">
        <v>1260</v>
      </c>
      <c r="F19" s="1050" t="s">
        <v>1260</v>
      </c>
      <c r="G19" s="1050" t="s">
        <v>1260</v>
      </c>
      <c r="H19" s="167"/>
      <c r="I19" s="167"/>
      <c r="J19" s="167"/>
      <c r="K19" s="962"/>
      <c r="L19" s="1050"/>
      <c r="M19" s="162"/>
    </row>
    <row r="20" spans="2:13">
      <c r="B20" s="190" t="s">
        <v>60</v>
      </c>
      <c r="C20" s="188" t="s">
        <v>1136</v>
      </c>
      <c r="D20" s="188">
        <v>2</v>
      </c>
      <c r="E20" s="188">
        <v>2</v>
      </c>
      <c r="F20" s="188">
        <v>2</v>
      </c>
      <c r="G20" s="188">
        <v>2</v>
      </c>
      <c r="H20" s="189"/>
      <c r="I20" s="189"/>
      <c r="J20" s="189"/>
      <c r="K20" s="217"/>
      <c r="L20" s="188"/>
      <c r="M20" s="188">
        <v>5</v>
      </c>
    </row>
    <row r="21" spans="2:13">
      <c r="B21" s="186" t="s">
        <v>264</v>
      </c>
      <c r="C21" s="934"/>
      <c r="D21" s="934"/>
      <c r="E21" s="934"/>
      <c r="F21" s="934"/>
      <c r="G21" s="934"/>
      <c r="H21" s="184"/>
      <c r="I21" s="184"/>
      <c r="J21" s="184"/>
      <c r="K21" s="967"/>
      <c r="L21" s="183"/>
      <c r="M21" s="966"/>
    </row>
    <row r="22" spans="2:13">
      <c r="B22" s="180" t="s">
        <v>1147</v>
      </c>
      <c r="C22" s="178" t="s">
        <v>1136</v>
      </c>
      <c r="D22" s="965">
        <v>2.7822558139534888</v>
      </c>
      <c r="E22" s="965">
        <v>1.5766116279069771</v>
      </c>
      <c r="F22" s="965">
        <v>1.1546361627906978</v>
      </c>
      <c r="G22" s="965">
        <v>0.92741860465116288</v>
      </c>
      <c r="H22" s="218">
        <v>0.75</v>
      </c>
      <c r="I22" s="218">
        <v>1.25</v>
      </c>
      <c r="J22" s="218">
        <v>0.75</v>
      </c>
      <c r="K22" s="218">
        <v>1.25</v>
      </c>
      <c r="L22" s="178" t="s">
        <v>1272</v>
      </c>
      <c r="M22" s="178" t="s">
        <v>1271</v>
      </c>
    </row>
    <row r="23" spans="2:13">
      <c r="B23" s="162" t="s">
        <v>394</v>
      </c>
      <c r="C23" s="1050" t="s">
        <v>1136</v>
      </c>
      <c r="D23" s="1050">
        <v>75</v>
      </c>
      <c r="E23" s="1050">
        <v>75</v>
      </c>
      <c r="F23" s="1050">
        <v>75</v>
      </c>
      <c r="G23" s="1050">
        <v>75</v>
      </c>
      <c r="H23" s="962"/>
      <c r="I23" s="962"/>
      <c r="J23" s="962"/>
      <c r="K23" s="962"/>
      <c r="L23" s="1050"/>
      <c r="M23" s="1050"/>
    </row>
    <row r="24" spans="2:13">
      <c r="B24" s="162" t="s">
        <v>251</v>
      </c>
      <c r="C24" s="1050" t="s">
        <v>1136</v>
      </c>
      <c r="D24" s="1050">
        <v>25</v>
      </c>
      <c r="E24" s="1050">
        <v>25</v>
      </c>
      <c r="F24" s="1050">
        <v>25</v>
      </c>
      <c r="G24" s="1050">
        <v>25</v>
      </c>
      <c r="H24" s="962"/>
      <c r="I24" s="962"/>
      <c r="J24" s="962"/>
      <c r="K24" s="962"/>
      <c r="L24" s="1050"/>
      <c r="M24" s="1050"/>
    </row>
    <row r="25" spans="2:13">
      <c r="B25" s="162" t="s">
        <v>1146</v>
      </c>
      <c r="C25" s="1050" t="s">
        <v>1136</v>
      </c>
      <c r="D25" s="963">
        <v>2.7426976744186052E-2</v>
      </c>
      <c r="E25" s="963">
        <v>2.7426976744186052E-2</v>
      </c>
      <c r="F25" s="963">
        <v>2.7426976744186045E-2</v>
      </c>
      <c r="G25" s="963">
        <v>2.7426976744186052E-2</v>
      </c>
      <c r="H25" s="962">
        <v>0.75</v>
      </c>
      <c r="I25" s="962">
        <v>1.25</v>
      </c>
      <c r="J25" s="962">
        <v>0.75</v>
      </c>
      <c r="K25" s="962">
        <v>1.25</v>
      </c>
      <c r="L25" s="1050" t="s">
        <v>243</v>
      </c>
      <c r="M25" s="1050">
        <v>5</v>
      </c>
    </row>
    <row r="26" spans="2:13">
      <c r="B26" s="162" t="s">
        <v>1145</v>
      </c>
      <c r="C26" s="1050" t="s">
        <v>1136</v>
      </c>
      <c r="D26" s="964">
        <v>1.306046511627907</v>
      </c>
      <c r="E26" s="964">
        <v>1.306046511627907</v>
      </c>
      <c r="F26" s="964">
        <v>1.306046511627907</v>
      </c>
      <c r="G26" s="964">
        <v>1.306046511627907</v>
      </c>
      <c r="H26" s="962">
        <v>0.75</v>
      </c>
      <c r="I26" s="962">
        <v>1.25</v>
      </c>
      <c r="J26" s="962">
        <v>0.75</v>
      </c>
      <c r="K26" s="962">
        <v>1.25</v>
      </c>
      <c r="L26" s="1050" t="s">
        <v>243</v>
      </c>
      <c r="M26" s="1050">
        <v>5</v>
      </c>
    </row>
    <row r="27" spans="2:13">
      <c r="B27" s="190" t="s">
        <v>1269</v>
      </c>
      <c r="C27" s="188" t="s">
        <v>1136</v>
      </c>
      <c r="D27" s="188">
        <v>0</v>
      </c>
      <c r="E27" s="188">
        <v>0</v>
      </c>
      <c r="F27" s="188">
        <v>0</v>
      </c>
      <c r="G27" s="188">
        <v>0</v>
      </c>
      <c r="H27" s="217"/>
      <c r="I27" s="217"/>
      <c r="J27" s="217"/>
      <c r="K27" s="217"/>
      <c r="L27" s="188"/>
      <c r="M27" s="188"/>
    </row>
    <row r="28" spans="2:13">
      <c r="B28" s="186" t="s">
        <v>260</v>
      </c>
      <c r="C28" s="934"/>
      <c r="D28" s="934"/>
      <c r="E28" s="934"/>
      <c r="F28" s="934"/>
      <c r="G28" s="934"/>
      <c r="H28" s="184"/>
      <c r="I28" s="184"/>
      <c r="J28" s="184"/>
      <c r="K28" s="184"/>
      <c r="L28" s="183"/>
      <c r="M28" s="1049"/>
    </row>
    <row r="29" spans="2:13">
      <c r="B29" s="180" t="s">
        <v>1057</v>
      </c>
      <c r="C29" s="178">
        <v>43</v>
      </c>
      <c r="D29" s="178">
        <v>43</v>
      </c>
      <c r="E29" s="178">
        <v>43</v>
      </c>
      <c r="F29" s="178">
        <v>43</v>
      </c>
      <c r="G29" s="178">
        <v>43</v>
      </c>
      <c r="H29" s="218"/>
      <c r="I29" s="218"/>
      <c r="J29" s="218"/>
      <c r="K29" s="218"/>
      <c r="L29" s="178"/>
      <c r="M29" s="180"/>
    </row>
    <row r="30" spans="2:13">
      <c r="B30" s="162" t="s">
        <v>257</v>
      </c>
      <c r="C30" s="1050">
        <v>0.78</v>
      </c>
      <c r="D30" s="1050">
        <v>0.78</v>
      </c>
      <c r="E30" s="1050">
        <v>0.78</v>
      </c>
      <c r="F30" s="1050">
        <v>0.78</v>
      </c>
      <c r="G30" s="1050">
        <v>0.78</v>
      </c>
      <c r="H30" s="962"/>
      <c r="I30" s="962"/>
      <c r="J30" s="962"/>
      <c r="K30" s="962"/>
      <c r="L30" s="1050"/>
      <c r="M30" s="162"/>
    </row>
    <row r="31" spans="2:13">
      <c r="B31" s="162" t="s">
        <v>1273</v>
      </c>
      <c r="C31" s="1050" t="s">
        <v>1136</v>
      </c>
      <c r="D31" s="964">
        <v>3.9562500000000003</v>
      </c>
      <c r="E31" s="964">
        <v>2.2418750000000003</v>
      </c>
      <c r="F31" s="964">
        <v>1.64184375</v>
      </c>
      <c r="G31" s="964">
        <v>1.3187500000000001</v>
      </c>
      <c r="H31" s="962">
        <v>0.75</v>
      </c>
      <c r="I31" s="962">
        <v>1.25</v>
      </c>
      <c r="J31" s="962">
        <v>0.75</v>
      </c>
      <c r="K31" s="962">
        <v>1.25</v>
      </c>
      <c r="L31" s="1050" t="s">
        <v>1272</v>
      </c>
      <c r="M31" s="1050" t="s">
        <v>1271</v>
      </c>
    </row>
    <row r="32" spans="2:13">
      <c r="B32" s="162" t="s">
        <v>394</v>
      </c>
      <c r="C32" s="1050" t="s">
        <v>1136</v>
      </c>
      <c r="D32" s="1050">
        <v>75</v>
      </c>
      <c r="E32" s="1050">
        <v>75</v>
      </c>
      <c r="F32" s="1050">
        <v>75</v>
      </c>
      <c r="G32" s="1050">
        <v>75</v>
      </c>
      <c r="H32" s="962"/>
      <c r="I32" s="962"/>
      <c r="J32" s="962"/>
      <c r="K32" s="962"/>
      <c r="L32" s="1050"/>
      <c r="M32" s="1050"/>
    </row>
    <row r="33" spans="2:13">
      <c r="B33" s="162" t="s">
        <v>251</v>
      </c>
      <c r="C33" s="1050" t="s">
        <v>1136</v>
      </c>
      <c r="D33" s="1050">
        <v>25</v>
      </c>
      <c r="E33" s="1050">
        <v>25</v>
      </c>
      <c r="F33" s="1050">
        <v>25</v>
      </c>
      <c r="G33" s="1050">
        <v>25</v>
      </c>
      <c r="H33" s="962"/>
      <c r="I33" s="962"/>
      <c r="J33" s="962"/>
      <c r="K33" s="962"/>
      <c r="L33" s="1050"/>
      <c r="M33" s="1050"/>
    </row>
    <row r="34" spans="2:13">
      <c r="B34" s="162" t="s">
        <v>1140</v>
      </c>
      <c r="C34" s="1050" t="s">
        <v>1136</v>
      </c>
      <c r="D34" s="963">
        <v>3.9E-2</v>
      </c>
      <c r="E34" s="963">
        <v>3.9E-2</v>
      </c>
      <c r="F34" s="963">
        <v>3.9E-2</v>
      </c>
      <c r="G34" s="963">
        <v>3.9E-2</v>
      </c>
      <c r="H34" s="962">
        <v>0.75</v>
      </c>
      <c r="I34" s="962">
        <v>1.25</v>
      </c>
      <c r="J34" s="962">
        <v>0.75</v>
      </c>
      <c r="K34" s="962">
        <v>1.25</v>
      </c>
      <c r="L34" s="1050" t="s">
        <v>243</v>
      </c>
      <c r="M34" s="1050">
        <v>5</v>
      </c>
    </row>
    <row r="35" spans="2:13">
      <c r="B35" s="162" t="s">
        <v>1270</v>
      </c>
      <c r="C35" s="1050" t="s">
        <v>1136</v>
      </c>
      <c r="D35" s="963">
        <v>1.5600000000000001E-2</v>
      </c>
      <c r="E35" s="963">
        <v>1.5600000000000001E-2</v>
      </c>
      <c r="F35" s="963">
        <v>1.5600000000000001E-2</v>
      </c>
      <c r="G35" s="963">
        <v>1.5600000000000001E-2</v>
      </c>
      <c r="H35" s="962">
        <v>0.75</v>
      </c>
      <c r="I35" s="962">
        <v>1.25</v>
      </c>
      <c r="J35" s="962">
        <v>0.75</v>
      </c>
      <c r="K35" s="962">
        <v>1.25</v>
      </c>
      <c r="L35" s="1050" t="s">
        <v>243</v>
      </c>
      <c r="M35" s="1050">
        <v>5</v>
      </c>
    </row>
    <row r="36" spans="2:13">
      <c r="B36" s="162" t="s">
        <v>1269</v>
      </c>
      <c r="C36" s="1050" t="s">
        <v>1136</v>
      </c>
      <c r="D36" s="1050">
        <v>0</v>
      </c>
      <c r="E36" s="1050">
        <v>0</v>
      </c>
      <c r="F36" s="1050">
        <v>0</v>
      </c>
      <c r="G36" s="1050">
        <v>0</v>
      </c>
      <c r="H36" s="961"/>
      <c r="I36" s="961"/>
      <c r="J36" s="961"/>
      <c r="K36" s="961"/>
      <c r="L36" s="1050"/>
      <c r="M36" s="1050"/>
    </row>
    <row r="37" spans="2:13">
      <c r="C37" s="960"/>
      <c r="D37" s="960"/>
      <c r="E37" s="960"/>
      <c r="F37" s="960"/>
      <c r="G37" s="960"/>
      <c r="H37" s="959"/>
      <c r="I37" s="959"/>
      <c r="J37" s="959"/>
      <c r="K37" s="959"/>
      <c r="L37" s="1048"/>
      <c r="M37" s="1048"/>
    </row>
    <row r="38" spans="2:13">
      <c r="B38" t="s">
        <v>695</v>
      </c>
    </row>
    <row r="39" spans="2:13">
      <c r="B39" t="s">
        <v>1268</v>
      </c>
    </row>
    <row r="40" spans="2:13">
      <c r="B40" t="s">
        <v>1048</v>
      </c>
      <c r="K40" s="1048"/>
      <c r="L40" s="1048"/>
    </row>
    <row r="41" spans="2:13">
      <c r="B41" t="s">
        <v>1267</v>
      </c>
    </row>
    <row r="42" spans="2:13">
      <c r="B42" t="s">
        <v>1266</v>
      </c>
    </row>
    <row r="43" spans="2:13">
      <c r="B43" t="s">
        <v>1265</v>
      </c>
    </row>
    <row r="44" spans="2:13">
      <c r="B44" t="s">
        <v>1264</v>
      </c>
    </row>
    <row r="45" spans="2:13">
      <c r="B45" t="s">
        <v>1263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884"/>
    </row>
    <row r="3" spans="2:14" ht="15" customHeight="1">
      <c r="B3" s="1053" t="s">
        <v>296</v>
      </c>
      <c r="C3" s="1405" t="s">
        <v>1290</v>
      </c>
      <c r="D3" s="1406"/>
      <c r="E3" s="1406"/>
      <c r="F3" s="1406"/>
      <c r="G3" s="1406"/>
      <c r="H3" s="1406"/>
      <c r="I3" s="1406"/>
      <c r="J3" s="1406"/>
      <c r="K3" s="1406"/>
      <c r="L3" s="1406"/>
      <c r="M3" s="1406"/>
      <c r="N3" s="1407"/>
    </row>
    <row r="4" spans="2:14" ht="22.5" customHeight="1">
      <c r="B4" s="982"/>
      <c r="C4" s="1053">
        <v>2015</v>
      </c>
      <c r="D4" s="1053">
        <v>2020</v>
      </c>
      <c r="E4" s="1053">
        <v>2030</v>
      </c>
      <c r="F4" s="1053">
        <v>2040</v>
      </c>
      <c r="G4" s="1053">
        <v>2050</v>
      </c>
      <c r="H4" s="1403" t="s">
        <v>290</v>
      </c>
      <c r="I4" s="1403"/>
      <c r="J4" s="1403"/>
      <c r="K4" s="1403" t="s">
        <v>289</v>
      </c>
      <c r="L4" s="1403"/>
      <c r="M4" s="1053" t="s">
        <v>288</v>
      </c>
      <c r="N4" s="1053" t="s">
        <v>287</v>
      </c>
    </row>
    <row r="5" spans="2:14">
      <c r="B5" s="1053"/>
      <c r="C5" s="982"/>
      <c r="D5" s="982"/>
      <c r="E5" s="982"/>
      <c r="F5" s="1053"/>
      <c r="G5" s="982"/>
      <c r="H5" s="1403" t="s">
        <v>284</v>
      </c>
      <c r="I5" s="1403"/>
      <c r="J5" s="1053" t="s">
        <v>283</v>
      </c>
      <c r="K5" s="1053" t="s">
        <v>284</v>
      </c>
      <c r="L5" s="1053" t="s">
        <v>283</v>
      </c>
      <c r="M5" s="982"/>
      <c r="N5" s="982"/>
    </row>
    <row r="6" spans="2:14">
      <c r="B6" s="1402" t="s">
        <v>282</v>
      </c>
      <c r="C6" s="1402"/>
      <c r="D6" s="1402"/>
      <c r="E6" s="1402"/>
      <c r="F6" s="1402"/>
      <c r="G6" s="1402"/>
      <c r="H6" s="1402"/>
      <c r="I6" s="1402"/>
      <c r="J6" s="1402"/>
      <c r="K6" s="1402"/>
      <c r="L6" s="1402"/>
      <c r="M6" s="1402"/>
      <c r="N6" s="1402"/>
    </row>
    <row r="7" spans="2:14">
      <c r="B7" s="981" t="s">
        <v>1289</v>
      </c>
      <c r="C7" s="1055" t="s">
        <v>1136</v>
      </c>
      <c r="D7" s="1055">
        <v>40</v>
      </c>
      <c r="E7" s="1055">
        <v>80</v>
      </c>
      <c r="F7" s="1055">
        <v>120</v>
      </c>
      <c r="G7" s="1055">
        <v>160</v>
      </c>
      <c r="H7" s="1399">
        <v>0.5</v>
      </c>
      <c r="I7" s="1399"/>
      <c r="J7" s="1052">
        <v>1.25</v>
      </c>
      <c r="K7" s="1052">
        <v>0.75</v>
      </c>
      <c r="L7" s="1052">
        <v>1.25</v>
      </c>
      <c r="M7" s="1055" t="s">
        <v>280</v>
      </c>
      <c r="N7" s="1055" t="s">
        <v>1274</v>
      </c>
    </row>
    <row r="8" spans="2:14">
      <c r="B8" s="981" t="s">
        <v>1151</v>
      </c>
      <c r="C8" s="1055" t="s">
        <v>1136</v>
      </c>
      <c r="D8" s="1055">
        <v>57</v>
      </c>
      <c r="E8" s="1055">
        <v>114</v>
      </c>
      <c r="F8" s="1055">
        <v>171</v>
      </c>
      <c r="G8" s="1055">
        <v>228</v>
      </c>
      <c r="H8" s="1399">
        <v>0.5</v>
      </c>
      <c r="I8" s="1399"/>
      <c r="J8" s="1052">
        <v>1.25</v>
      </c>
      <c r="K8" s="1052">
        <v>0.75</v>
      </c>
      <c r="L8" s="1052">
        <v>1.25</v>
      </c>
      <c r="M8" s="1055" t="s">
        <v>277</v>
      </c>
      <c r="N8" s="1055" t="s">
        <v>1274</v>
      </c>
    </row>
    <row r="9" spans="2:14">
      <c r="B9" s="1404" t="s">
        <v>384</v>
      </c>
      <c r="C9" s="1404"/>
      <c r="D9" s="1404"/>
      <c r="E9" s="1404"/>
      <c r="F9" s="1404"/>
      <c r="G9" s="1404"/>
      <c r="H9" s="1404"/>
      <c r="I9" s="1404"/>
      <c r="J9" s="1404"/>
      <c r="K9" s="1404"/>
      <c r="L9" s="1404"/>
      <c r="M9" s="1404"/>
      <c r="N9" s="1404"/>
    </row>
    <row r="10" spans="2:14">
      <c r="B10" s="981" t="s">
        <v>112</v>
      </c>
      <c r="C10" s="1055" t="s">
        <v>1136</v>
      </c>
      <c r="D10" s="1055">
        <v>0.77</v>
      </c>
      <c r="E10" s="1055">
        <v>0.77</v>
      </c>
      <c r="F10" s="1055">
        <v>0.77</v>
      </c>
      <c r="G10" s="1055">
        <v>0.77</v>
      </c>
      <c r="H10" s="1399">
        <v>0.9</v>
      </c>
      <c r="I10" s="1399"/>
      <c r="J10" s="1052">
        <v>1.5</v>
      </c>
      <c r="K10" s="1052">
        <v>0.9</v>
      </c>
      <c r="L10" s="1052">
        <v>1.25</v>
      </c>
      <c r="M10" s="1055" t="s">
        <v>272</v>
      </c>
      <c r="N10" s="1055">
        <v>1</v>
      </c>
    </row>
    <row r="11" spans="2:14">
      <c r="B11" s="981" t="s">
        <v>119</v>
      </c>
      <c r="C11" s="1055" t="s">
        <v>1136</v>
      </c>
      <c r="D11" s="1055">
        <v>0.23</v>
      </c>
      <c r="E11" s="1055">
        <v>0.23</v>
      </c>
      <c r="F11" s="1055">
        <v>0.23</v>
      </c>
      <c r="G11" s="1055">
        <v>0.23</v>
      </c>
      <c r="H11" s="1399">
        <v>0.75</v>
      </c>
      <c r="I11" s="1399"/>
      <c r="J11" s="1052">
        <v>1.25</v>
      </c>
      <c r="K11" s="1052">
        <v>0.75</v>
      </c>
      <c r="L11" s="1052">
        <v>1.25</v>
      </c>
      <c r="M11" s="1055" t="s">
        <v>272</v>
      </c>
      <c r="N11" s="1055">
        <v>1</v>
      </c>
    </row>
    <row r="12" spans="2:14">
      <c r="B12" s="1404" t="s">
        <v>271</v>
      </c>
      <c r="C12" s="1404"/>
      <c r="D12" s="1404"/>
      <c r="E12" s="1404"/>
      <c r="F12" s="1404"/>
      <c r="G12" s="1404"/>
      <c r="H12" s="1404"/>
      <c r="I12" s="1404"/>
      <c r="J12" s="1404"/>
      <c r="K12" s="1404"/>
      <c r="L12" s="1404"/>
      <c r="M12" s="1404"/>
      <c r="N12" s="1404"/>
    </row>
    <row r="13" spans="2:14">
      <c r="B13" s="981" t="s">
        <v>118</v>
      </c>
      <c r="C13" s="1055" t="s">
        <v>1136</v>
      </c>
      <c r="D13" s="1055">
        <v>0.38</v>
      </c>
      <c r="E13" s="1055">
        <v>0.38</v>
      </c>
      <c r="F13" s="1055">
        <v>0.38</v>
      </c>
      <c r="G13" s="1055">
        <v>0.38</v>
      </c>
      <c r="H13" s="1052">
        <v>0.9</v>
      </c>
      <c r="I13" s="1399">
        <v>1.1000000000000001</v>
      </c>
      <c r="J13" s="1399"/>
      <c r="K13" s="1052">
        <v>0.9</v>
      </c>
      <c r="L13" s="1052">
        <v>1.1000000000000001</v>
      </c>
      <c r="M13" s="1055" t="s">
        <v>272</v>
      </c>
      <c r="N13" s="1055">
        <v>1</v>
      </c>
    </row>
    <row r="14" spans="2:14">
      <c r="B14" s="981" t="s">
        <v>120</v>
      </c>
      <c r="C14" s="1055" t="s">
        <v>1136</v>
      </c>
      <c r="D14" s="1055">
        <v>0.13</v>
      </c>
      <c r="E14" s="1055">
        <v>0.13</v>
      </c>
      <c r="F14" s="1055">
        <v>0.13</v>
      </c>
      <c r="G14" s="1055">
        <v>0.13</v>
      </c>
      <c r="H14" s="1052">
        <v>0.9</v>
      </c>
      <c r="I14" s="1399">
        <v>1.1000000000000001</v>
      </c>
      <c r="J14" s="1399"/>
      <c r="K14" s="1052">
        <v>0.9</v>
      </c>
      <c r="L14" s="1052">
        <v>1.1000000000000001</v>
      </c>
      <c r="M14" s="1055" t="s">
        <v>272</v>
      </c>
      <c r="N14" s="1055">
        <v>1</v>
      </c>
    </row>
    <row r="15" spans="2:14">
      <c r="B15" s="981" t="s">
        <v>121</v>
      </c>
      <c r="C15" s="1055" t="s">
        <v>1136</v>
      </c>
      <c r="D15" s="1055">
        <v>0.31</v>
      </c>
      <c r="E15" s="1055">
        <v>0.31</v>
      </c>
      <c r="F15" s="1055">
        <v>0.31</v>
      </c>
      <c r="G15" s="1055">
        <v>0.31</v>
      </c>
      <c r="H15" s="1052">
        <v>0.9</v>
      </c>
      <c r="I15" s="1399">
        <v>1.1000000000000001</v>
      </c>
      <c r="J15" s="1399"/>
      <c r="K15" s="1052">
        <v>0.9</v>
      </c>
      <c r="L15" s="1052">
        <v>1.1000000000000001</v>
      </c>
      <c r="M15" s="1055" t="s">
        <v>272</v>
      </c>
      <c r="N15" s="1055">
        <v>1</v>
      </c>
    </row>
    <row r="16" spans="2:14">
      <c r="B16" s="981" t="s">
        <v>122</v>
      </c>
      <c r="C16" s="1055" t="s">
        <v>1136</v>
      </c>
      <c r="D16" s="1055">
        <v>0.18</v>
      </c>
      <c r="E16" s="1055">
        <v>0.18</v>
      </c>
      <c r="F16" s="1055">
        <v>0.18</v>
      </c>
      <c r="G16" s="1055">
        <v>0.18</v>
      </c>
      <c r="H16" s="1052">
        <v>0.9</v>
      </c>
      <c r="I16" s="1399">
        <v>1.1000000000000001</v>
      </c>
      <c r="J16" s="1399"/>
      <c r="K16" s="1052">
        <v>0.9</v>
      </c>
      <c r="L16" s="1052">
        <v>1.1000000000000001</v>
      </c>
      <c r="M16" s="1055" t="s">
        <v>272</v>
      </c>
      <c r="N16" s="1055">
        <v>1</v>
      </c>
    </row>
    <row r="17" spans="2:14">
      <c r="B17" s="1402" t="s">
        <v>264</v>
      </c>
      <c r="C17" s="1402"/>
      <c r="D17" s="1402"/>
      <c r="E17" s="1402"/>
      <c r="F17" s="1402"/>
      <c r="G17" s="1402"/>
      <c r="H17" s="1402"/>
      <c r="I17" s="1402"/>
      <c r="J17" s="1402"/>
      <c r="K17" s="1402"/>
      <c r="L17" s="1402"/>
      <c r="M17" s="1402"/>
      <c r="N17" s="1402"/>
    </row>
    <row r="18" spans="2:14">
      <c r="B18" s="976" t="s">
        <v>1288</v>
      </c>
      <c r="C18" s="1056" t="s">
        <v>1136</v>
      </c>
      <c r="D18" s="1055">
        <v>2.1800000000000002</v>
      </c>
      <c r="E18" s="1055">
        <v>1.23</v>
      </c>
      <c r="F18" s="1056">
        <v>0.9</v>
      </c>
      <c r="G18" s="1055">
        <v>0.73</v>
      </c>
      <c r="H18" s="1399">
        <v>0.75</v>
      </c>
      <c r="I18" s="1399"/>
      <c r="J18" s="979">
        <v>1.25</v>
      </c>
      <c r="K18" s="979">
        <v>0.75</v>
      </c>
      <c r="L18" s="979">
        <v>1.25</v>
      </c>
      <c r="M18" s="1056" t="s">
        <v>1287</v>
      </c>
      <c r="N18" s="1056" t="s">
        <v>1271</v>
      </c>
    </row>
    <row r="19" spans="2:14">
      <c r="B19" s="976" t="s">
        <v>394</v>
      </c>
      <c r="C19" s="1056" t="s">
        <v>1136</v>
      </c>
      <c r="D19" s="1056">
        <v>75</v>
      </c>
      <c r="E19" s="1056">
        <v>75</v>
      </c>
      <c r="F19" s="1056">
        <v>75</v>
      </c>
      <c r="G19" s="1056">
        <v>75</v>
      </c>
      <c r="H19" s="1400"/>
      <c r="I19" s="1400"/>
      <c r="J19" s="1055"/>
      <c r="K19" s="1055"/>
      <c r="L19" s="1055"/>
      <c r="M19" s="1055"/>
      <c r="N19" s="1055"/>
    </row>
    <row r="20" spans="2:14">
      <c r="B20" s="976" t="s">
        <v>251</v>
      </c>
      <c r="C20" s="1056" t="s">
        <v>1136</v>
      </c>
      <c r="D20" s="1056">
        <v>25</v>
      </c>
      <c r="E20" s="1056">
        <v>25</v>
      </c>
      <c r="F20" s="1056">
        <v>25</v>
      </c>
      <c r="G20" s="1056">
        <v>25</v>
      </c>
      <c r="H20" s="1400"/>
      <c r="I20" s="1400"/>
      <c r="J20" s="1055"/>
      <c r="K20" s="1055"/>
      <c r="L20" s="1055"/>
      <c r="M20" s="1055"/>
      <c r="N20" s="1055"/>
    </row>
    <row r="21" spans="2:14">
      <c r="B21" s="976" t="s">
        <v>1286</v>
      </c>
      <c r="C21" s="1056" t="s">
        <v>1136</v>
      </c>
      <c r="D21" s="1055">
        <v>44</v>
      </c>
      <c r="E21" s="1055">
        <v>44</v>
      </c>
      <c r="F21" s="1055">
        <v>44</v>
      </c>
      <c r="G21" s="1055">
        <v>44</v>
      </c>
      <c r="H21" s="1401">
        <v>0.75</v>
      </c>
      <c r="I21" s="1401"/>
      <c r="J21" s="1056">
        <v>1.25</v>
      </c>
      <c r="K21" s="1056">
        <v>0.75</v>
      </c>
      <c r="L21" s="1056">
        <v>1.25</v>
      </c>
      <c r="M21" s="1056" t="s">
        <v>243</v>
      </c>
      <c r="N21" s="1056">
        <v>5</v>
      </c>
    </row>
    <row r="22" spans="2:14">
      <c r="B22" s="976" t="s">
        <v>1285</v>
      </c>
      <c r="C22" s="1056" t="s">
        <v>1136</v>
      </c>
      <c r="D22" s="1056">
        <v>0.02</v>
      </c>
      <c r="E22" s="1056">
        <v>0.02</v>
      </c>
      <c r="F22" s="1056">
        <v>0.02</v>
      </c>
      <c r="G22" s="1056">
        <v>0.02</v>
      </c>
      <c r="H22" s="1401">
        <v>0.75</v>
      </c>
      <c r="I22" s="1401"/>
      <c r="J22" s="1056">
        <v>1.25</v>
      </c>
      <c r="K22" s="1056">
        <v>0.75</v>
      </c>
      <c r="L22" s="1056">
        <v>1.25</v>
      </c>
      <c r="M22" s="1056" t="s">
        <v>243</v>
      </c>
      <c r="N22" s="1056">
        <v>5</v>
      </c>
    </row>
    <row r="23" spans="2:14">
      <c r="B23" s="976" t="s">
        <v>1284</v>
      </c>
      <c r="C23" s="1056" t="s">
        <v>1136</v>
      </c>
      <c r="D23" s="1056">
        <v>0</v>
      </c>
      <c r="E23" s="1056">
        <v>0</v>
      </c>
      <c r="F23" s="1056">
        <v>0</v>
      </c>
      <c r="G23" s="1056">
        <v>0</v>
      </c>
      <c r="H23" s="1400"/>
      <c r="I23" s="1400"/>
      <c r="J23" s="1055"/>
      <c r="K23" s="1055"/>
      <c r="L23" s="1055"/>
      <c r="M23" s="1055"/>
      <c r="N23" s="1055"/>
    </row>
    <row r="24" spans="2:14">
      <c r="B24" s="1054" t="s">
        <v>260</v>
      </c>
      <c r="C24" s="1400"/>
      <c r="D24" s="1400"/>
      <c r="E24" s="1400"/>
      <c r="F24" s="1400"/>
      <c r="G24" s="1400"/>
      <c r="H24" s="1400"/>
      <c r="I24" s="1400"/>
      <c r="J24" s="1400"/>
      <c r="K24" s="1400"/>
      <c r="L24" s="1400"/>
      <c r="M24" s="1400"/>
      <c r="N24" s="1400"/>
    </row>
    <row r="25" spans="2:14">
      <c r="B25" s="973" t="s">
        <v>1057</v>
      </c>
      <c r="C25" s="1055"/>
      <c r="D25" s="1400">
        <v>43</v>
      </c>
      <c r="E25" s="1400"/>
      <c r="F25" s="1400"/>
      <c r="G25" s="1400"/>
      <c r="H25" s="1400"/>
      <c r="I25" s="1400"/>
      <c r="J25" s="1055"/>
      <c r="K25" s="1055"/>
      <c r="L25" s="1055"/>
      <c r="M25" s="1055"/>
      <c r="N25" s="1055"/>
    </row>
    <row r="26" spans="2:14">
      <c r="B26" s="973" t="s">
        <v>1283</v>
      </c>
      <c r="C26" s="1055"/>
      <c r="D26" s="1400">
        <v>0.83</v>
      </c>
      <c r="E26" s="1400"/>
      <c r="F26" s="1400"/>
      <c r="G26" s="1400"/>
      <c r="H26" s="1400"/>
      <c r="I26" s="1400"/>
      <c r="J26" s="1055"/>
      <c r="K26" s="1055"/>
      <c r="L26" s="1055"/>
      <c r="M26" s="1055"/>
      <c r="N26" s="1055"/>
    </row>
    <row r="27" spans="2:14">
      <c r="B27" s="971"/>
      <c r="C27" s="971"/>
      <c r="D27" s="971"/>
      <c r="E27" s="971"/>
      <c r="F27" s="971"/>
      <c r="G27" s="971"/>
      <c r="H27" s="971"/>
      <c r="I27" s="971"/>
      <c r="J27" s="971"/>
      <c r="K27" s="971"/>
      <c r="L27" s="971"/>
      <c r="M27" s="971"/>
      <c r="N27" s="971"/>
    </row>
    <row r="28" spans="2:14">
      <c r="B28" s="970"/>
    </row>
    <row r="29" spans="2:14">
      <c r="B29" s="969" t="s">
        <v>1282</v>
      </c>
    </row>
    <row r="30" spans="2:14">
      <c r="B30" t="s">
        <v>1281</v>
      </c>
    </row>
    <row r="31" spans="2:14">
      <c r="B31" t="s">
        <v>1192</v>
      </c>
    </row>
    <row r="32" spans="2:14">
      <c r="B32" t="s">
        <v>1280</v>
      </c>
    </row>
    <row r="33" spans="2:2">
      <c r="B33" t="s">
        <v>1279</v>
      </c>
    </row>
    <row r="34" spans="2:2">
      <c r="B34" t="s">
        <v>1278</v>
      </c>
    </row>
    <row r="35" spans="2:2" ht="16.5" customHeight="1">
      <c r="B35" t="s">
        <v>1277</v>
      </c>
    </row>
    <row r="36" spans="2:2">
      <c r="B36" t="s">
        <v>1276</v>
      </c>
    </row>
  </sheetData>
  <mergeCells count="27">
    <mergeCell ref="D26:G26"/>
    <mergeCell ref="H26:I26"/>
    <mergeCell ref="H20:I20"/>
    <mergeCell ref="H21:I21"/>
    <mergeCell ref="H22:I22"/>
    <mergeCell ref="H23:I23"/>
    <mergeCell ref="C24:N24"/>
    <mergeCell ref="D25:G25"/>
    <mergeCell ref="H25:I25"/>
    <mergeCell ref="H19:I19"/>
    <mergeCell ref="H8:I8"/>
    <mergeCell ref="B9:N9"/>
    <mergeCell ref="H10:I10"/>
    <mergeCell ref="H11:I11"/>
    <mergeCell ref="B12:N12"/>
    <mergeCell ref="I13:J13"/>
    <mergeCell ref="I14:J14"/>
    <mergeCell ref="I15:J15"/>
    <mergeCell ref="I16:J16"/>
    <mergeCell ref="B17:N17"/>
    <mergeCell ref="H18:I18"/>
    <mergeCell ref="H7:I7"/>
    <mergeCell ref="C3:N3"/>
    <mergeCell ref="H4:J4"/>
    <mergeCell ref="K4:L4"/>
    <mergeCell ref="H5:I5"/>
    <mergeCell ref="B6:N6"/>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P51"/>
  <sheetViews>
    <sheetView showGridLines="0" topLeftCell="C1" workbookViewId="0">
      <selection activeCell="D9" sqref="D9"/>
    </sheetView>
  </sheetViews>
  <sheetFormatPr defaultRowHeight="14.4"/>
  <cols>
    <col min="1" max="1" width="2.109375" customWidth="1"/>
    <col min="2" max="2" width="41.44140625" bestFit="1" customWidth="1"/>
    <col min="3" max="3" width="39.88671875" customWidth="1"/>
  </cols>
  <sheetData>
    <row r="2" spans="2:16">
      <c r="C2" s="1012" t="s">
        <v>296</v>
      </c>
      <c r="D2" s="1408" t="s">
        <v>1316</v>
      </c>
      <c r="E2" s="1409"/>
      <c r="F2" s="1409"/>
      <c r="G2" s="1409"/>
      <c r="H2" s="1409"/>
      <c r="I2" s="1409"/>
      <c r="J2" s="1409"/>
      <c r="K2" s="1409"/>
      <c r="L2" s="1409"/>
      <c r="M2" s="1410"/>
      <c r="N2" s="1013"/>
    </row>
    <row r="3" spans="2:16">
      <c r="C3" s="1014"/>
      <c r="D3" s="1012">
        <v>2020</v>
      </c>
      <c r="E3" s="1012">
        <v>2030</v>
      </c>
      <c r="F3" s="1012">
        <v>2040</v>
      </c>
      <c r="G3" s="1012">
        <v>2050</v>
      </c>
      <c r="H3" s="1411" t="s">
        <v>290</v>
      </c>
      <c r="I3" s="1410"/>
      <c r="J3" s="1411" t="s">
        <v>289</v>
      </c>
      <c r="K3" s="1410"/>
      <c r="L3" s="1012" t="s">
        <v>288</v>
      </c>
      <c r="M3" s="1012" t="s">
        <v>287</v>
      </c>
      <c r="N3" s="1013"/>
    </row>
    <row r="4" spans="2:16">
      <c r="C4" s="1015"/>
      <c r="D4" s="1016"/>
      <c r="E4" s="1016"/>
      <c r="F4" s="1015"/>
      <c r="G4" s="1016"/>
      <c r="H4" s="1015" t="s">
        <v>284</v>
      </c>
      <c r="I4" s="1015" t="s">
        <v>283</v>
      </c>
      <c r="J4" s="1015" t="s">
        <v>284</v>
      </c>
      <c r="K4" s="1015" t="s">
        <v>283</v>
      </c>
      <c r="L4" s="1016"/>
      <c r="M4" s="1016"/>
      <c r="N4" s="1013"/>
    </row>
    <row r="5" spans="2:16">
      <c r="B5" t="str">
        <f>IF(IF(OR(LEFT(C5,27)=SUP_Biofuels!$N$8,LEFT(C5,20)=SUP_Biofuels!$O$8,LEFT(C5,20)=SUP_Biofuels!$P$8),LEFT(C5,20),C5)="Specific investment ","Specific investment (M€ /MW",IF(OR(LEFT(C5,27)=SUP_Biofuels!$N$8,LEFT(C5,20)=SUP_Biofuels!$O$8,LEFT(C5,20)=SUP_Biofuels!$P$8),LEFT(C5,20),C5))</f>
        <v>Energy/technical data</v>
      </c>
      <c r="C5" s="1017" t="s">
        <v>282</v>
      </c>
      <c r="D5" s="1018"/>
      <c r="E5" s="1018"/>
      <c r="F5" s="1018"/>
      <c r="G5" s="1018"/>
      <c r="H5" s="1018"/>
      <c r="I5" s="1018"/>
      <c r="J5" s="1018"/>
      <c r="K5" s="1018"/>
      <c r="L5" s="1018"/>
      <c r="M5" s="1019"/>
      <c r="N5" s="1013"/>
    </row>
    <row r="6" spans="2:16">
      <c r="B6" t="str">
        <f>IF(IF(OR(LEFT(C6,27)=SUP_Biofuels!$N$8,LEFT(C6,20)=SUP_Biofuels!$O$8,LEFT(C6,20)=SUP_Biofuels!$P$8),LEFT(C6,20),C6)="Specific investment ","Specific investment (M€ /MW",IF(OR(LEFT(C6,27)=SUP_Biofuels!$N$8,LEFT(C6,20)=SUP_Biofuels!$O$8,LEFT(C6,20)=SUP_Biofuels!$P$8),LEFT(C6,20),C6))</f>
        <v>Typical total plant size 1,000 kt FT Liquids/year</v>
      </c>
      <c r="C6" s="1020" t="s">
        <v>1317</v>
      </c>
      <c r="D6" s="1021">
        <v>2</v>
      </c>
      <c r="E6" s="1021">
        <v>13</v>
      </c>
      <c r="F6" s="1021">
        <v>41</v>
      </c>
      <c r="G6" s="1021">
        <v>165</v>
      </c>
      <c r="H6" s="1022">
        <v>0.5</v>
      </c>
      <c r="I6" s="1022">
        <v>1.5</v>
      </c>
      <c r="J6" s="1022">
        <v>0.5</v>
      </c>
      <c r="K6" s="1022">
        <v>1.5</v>
      </c>
      <c r="L6" s="1021" t="s">
        <v>1318</v>
      </c>
      <c r="M6" s="1021" t="s">
        <v>1319</v>
      </c>
      <c r="N6" s="1013"/>
    </row>
    <row r="7" spans="2:16">
      <c r="B7" t="str">
        <f>IF(IF(OR(LEFT(C7,27)=SUP_Biofuels!$N$8,LEFT(C7,20)=SUP_Biofuels!$O$8,LEFT(C7,20)=SUP_Biofuels!$P$8),LEFT(C7,20),C7)="Specific investment ","Specific investment (M€ /MW",IF(OR(LEFT(C7,27)=SUP_Biofuels!$N$8,LEFT(C7,20)=SUP_Biofuels!$O$8,LEFT(C7,20)=SUP_Biofuels!$P$8),LEFT(C7,20),C7))</f>
        <v>Typical total plant size, MW Output</v>
      </c>
      <c r="C7" s="1023" t="s">
        <v>1320</v>
      </c>
      <c r="D7" s="1024">
        <v>3.1</v>
      </c>
      <c r="E7" s="1024">
        <v>20.5</v>
      </c>
      <c r="F7" s="1024">
        <v>64.5</v>
      </c>
      <c r="G7" s="1024">
        <v>259.60000000000002</v>
      </c>
      <c r="H7" s="1025">
        <v>0.5</v>
      </c>
      <c r="I7" s="1025">
        <v>1.5</v>
      </c>
      <c r="J7" s="1025">
        <v>0.5</v>
      </c>
      <c r="K7" s="1025">
        <v>1.5</v>
      </c>
      <c r="L7" s="1024" t="s">
        <v>1321</v>
      </c>
      <c r="M7" s="1024" t="s">
        <v>1322</v>
      </c>
      <c r="N7" s="1013"/>
    </row>
    <row r="8" spans="2:16">
      <c r="B8" t="str">
        <f>IF(IF(OR(LEFT(C8,27)=SUP_Biofuels!$N$8,LEFT(C8,20)=SUP_Biofuels!$O$8,LEFT(C8,20)=SUP_Biofuels!$P$8),LEFT(C8,20),C8)="Specific investment ","Specific investment (M€ /MW",IF(OR(LEFT(C8,27)=SUP_Biofuels!$N$8,LEFT(C8,20)=SUP_Biofuels!$O$8,LEFT(C8,20)=SUP_Biofuels!$P$8),LEFT(C8,20),C8))</f>
        <v>Inputs</v>
      </c>
      <c r="C8" s="1026" t="s">
        <v>275</v>
      </c>
      <c r="D8" s="1018"/>
      <c r="E8" s="1018"/>
      <c r="F8" s="1018"/>
      <c r="G8" s="1018"/>
      <c r="H8" s="1018"/>
      <c r="I8" s="1018"/>
      <c r="J8" s="1018"/>
      <c r="K8" s="1027"/>
      <c r="L8" s="1018"/>
      <c r="M8" s="1019"/>
      <c r="N8" s="1013"/>
      <c r="O8">
        <v>3.9</v>
      </c>
      <c r="P8" t="s">
        <v>1773</v>
      </c>
    </row>
    <row r="9" spans="2:16">
      <c r="B9" t="str">
        <f>IF(IF(OR(LEFT(C9,27)=SUP_Biofuels!$N$8,LEFT(C9,20)=SUP_Biofuels!$O$8,LEFT(C9,20)=SUP_Biofuels!$P$8),LEFT(C9,20),C9)="Specific investment ","Specific investment (M€ /MW",IF(OR(LEFT(C9,27)=SUP_Biofuels!$N$8,LEFT(C9,20)=SUP_Biofuels!$O$8,LEFT(C9,20)=SUP_Biofuels!$P$8),LEFT(C9,20),C9))</f>
        <v>CO2 Consumption, t/t FT Liquids</v>
      </c>
      <c r="C9" s="1020" t="s">
        <v>1323</v>
      </c>
      <c r="D9" s="1021">
        <v>4.3</v>
      </c>
      <c r="E9" s="1021">
        <v>3.9</v>
      </c>
      <c r="F9" s="1021">
        <v>3.6</v>
      </c>
      <c r="G9" s="1021">
        <v>3.3</v>
      </c>
      <c r="H9" s="1022">
        <v>1</v>
      </c>
      <c r="I9" s="1022">
        <v>1.1000000000000001</v>
      </c>
      <c r="J9" s="1022">
        <v>1</v>
      </c>
      <c r="K9" s="1022">
        <v>1.1000000000000001</v>
      </c>
      <c r="L9" s="1021" t="s">
        <v>1324</v>
      </c>
      <c r="M9" s="1020"/>
      <c r="N9" s="1013"/>
      <c r="O9">
        <v>40</v>
      </c>
      <c r="P9" t="s">
        <v>1774</v>
      </c>
    </row>
    <row r="10" spans="2:16">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028" t="s">
        <v>103</v>
      </c>
      <c r="D10" s="1029">
        <v>0.995</v>
      </c>
      <c r="E10" s="1029">
        <v>0.995</v>
      </c>
      <c r="F10" s="1029">
        <v>0.995</v>
      </c>
      <c r="G10" s="1029">
        <v>0.995</v>
      </c>
      <c r="H10" s="1030">
        <v>0.75</v>
      </c>
      <c r="I10" s="1030">
        <v>1.25</v>
      </c>
      <c r="J10" s="1030">
        <v>0.75</v>
      </c>
      <c r="K10" s="1030">
        <v>1.25</v>
      </c>
      <c r="L10" s="1029" t="s">
        <v>1325</v>
      </c>
      <c r="M10" s="1029"/>
      <c r="N10" s="1013"/>
    </row>
    <row r="11" spans="2:16">
      <c r="B11" t="str">
        <f>IF(IF(OR(LEFT(C11,27)=SUP_Biofuels!$N$8,LEFT(C11,20)=SUP_Biofuels!$O$8,LEFT(C11,20)=SUP_Biofuels!$P$8),LEFT(C11,20),C11)="Specific investment ","Specific investment (M€ /MW",IF(OR(LEFT(C11,27)=SUP_Biofuels!$N$8,LEFT(C11,20)=SUP_Biofuels!$O$8,LEFT(C11,20)=SUP_Biofuels!$P$8),LEFT(C11,20),C11))</f>
        <v>Power Consumption, MWh/MWh Total Inputs</v>
      </c>
      <c r="C11" s="1023" t="s">
        <v>1326</v>
      </c>
      <c r="D11" s="1024">
        <v>5.0000000000000001E-3</v>
      </c>
      <c r="E11" s="1024">
        <v>5.0000000000000001E-3</v>
      </c>
      <c r="F11" s="1024">
        <v>5.0000000000000001E-3</v>
      </c>
      <c r="G11" s="1024">
        <v>5.0000000000000001E-3</v>
      </c>
      <c r="H11" s="1025">
        <v>0.75</v>
      </c>
      <c r="I11" s="1025">
        <v>1.25</v>
      </c>
      <c r="J11" s="1025">
        <v>0.75</v>
      </c>
      <c r="K11" s="1025">
        <v>1.25</v>
      </c>
      <c r="L11" s="1024" t="s">
        <v>266</v>
      </c>
      <c r="M11" s="1024"/>
      <c r="N11" s="1013"/>
    </row>
    <row r="12" spans="2:16">
      <c r="B12" t="str">
        <f>IF(IF(OR(LEFT(C12,27)=SUP_Biofuels!$N$8,LEFT(C12,20)=SUP_Biofuels!$O$8,LEFT(C12,20)=SUP_Biofuels!$P$8),LEFT(C12,20),C12)="Specific investment ","Specific investment (M€ /MW",IF(OR(LEFT(C12,27)=SUP_Biofuels!$N$8,LEFT(C12,20)=SUP_Biofuels!$O$8,LEFT(C12,20)=SUP_Biofuels!$P$8),LEFT(C12,20),C12))</f>
        <v>Outputs</v>
      </c>
      <c r="C12" s="1017" t="s">
        <v>271</v>
      </c>
      <c r="D12" s="1018"/>
      <c r="E12" s="1018"/>
      <c r="F12" s="1018"/>
      <c r="G12" s="1018"/>
      <c r="H12" s="1018"/>
      <c r="I12" s="1018"/>
      <c r="J12" s="1018"/>
      <c r="K12" s="1027"/>
      <c r="L12" s="1018"/>
      <c r="M12" s="1019"/>
      <c r="N12" s="1013"/>
    </row>
    <row r="13" spans="2:16">
      <c r="B13" t="str">
        <f>IF(IF(OR(LEFT(C13,27)=SUP_Biofuels!$N$8,LEFT(C13,20)=SUP_Biofuels!$O$8,LEFT(C13,20)=SUP_Biofuels!$P$8),LEFT(C13,20),C13)="Specific investment ","Specific investment (M€ /MW",IF(OR(LEFT(C13,27)=SUP_Biofuels!$N$8,LEFT(C13,20)=SUP_Biofuels!$O$8,LEFT(C13,20)=SUP_Biofuels!$P$8),LEFT(C13,20),C13))</f>
        <v>FT Liquids Output, MWh/MWh Total Input</v>
      </c>
      <c r="C13" s="1020" t="s">
        <v>1327</v>
      </c>
      <c r="D13" s="1021">
        <v>0.65</v>
      </c>
      <c r="E13" s="1021">
        <v>0.7</v>
      </c>
      <c r="F13" s="1021">
        <v>0.73</v>
      </c>
      <c r="G13" s="1021">
        <v>0.75</v>
      </c>
      <c r="H13" s="1022">
        <v>0.8</v>
      </c>
      <c r="I13" s="1022">
        <v>1.2</v>
      </c>
      <c r="J13" s="1022">
        <v>0.8</v>
      </c>
      <c r="K13" s="1022">
        <v>1.2</v>
      </c>
      <c r="L13" s="1021" t="s">
        <v>1328</v>
      </c>
      <c r="M13" s="1021" t="s">
        <v>1329</v>
      </c>
    </row>
    <row r="14" spans="2:16">
      <c r="B14" t="str">
        <f>IF(IF(OR(LEFT(C14,27)=SUP_Biofuels!$N$8,LEFT(C14,20)=SUP_Biofuels!$O$8,LEFT(C14,20)=SUP_Biofuels!$P$8),LEFT(C14,20),C14)="Specific investment ","Specific investment (M€ /MW",IF(OR(LEFT(C14,27)=SUP_Biofuels!$N$8,LEFT(C14,20)=SUP_Biofuels!$O$8,LEFT(C14,20)=SUP_Biofuels!$P$8),LEFT(C14,20),C14))</f>
        <v>District Heat  Output, MWh/MWh Total Input</v>
      </c>
      <c r="C14" s="1028" t="s">
        <v>1330</v>
      </c>
      <c r="D14" s="1029">
        <v>0.25</v>
      </c>
      <c r="E14" s="1029">
        <v>0.2</v>
      </c>
      <c r="F14" s="1029">
        <v>0.17</v>
      </c>
      <c r="G14" s="1029">
        <v>0.15</v>
      </c>
      <c r="H14" s="1030">
        <v>0.8</v>
      </c>
      <c r="I14" s="1030">
        <v>1.2</v>
      </c>
      <c r="J14" s="1030">
        <v>0.8</v>
      </c>
      <c r="K14" s="1030">
        <v>1.2</v>
      </c>
      <c r="L14" s="1029" t="s">
        <v>393</v>
      </c>
      <c r="M14" s="1028"/>
    </row>
    <row r="15" spans="2:16">
      <c r="B15">
        <f>IF(IF(OR(LEFT(C15,27)=SUP_Biofuels!$N$8,LEFT(C15,20)=SUP_Biofuels!$O$8,LEFT(C15,20)=SUP_Biofuels!$P$8),LEFT(C15,20),C15)="Specific investment ","Specific investment (M€ /MW",IF(OR(LEFT(C15,27)=SUP_Biofuels!$N$8,LEFT(C15,20)=SUP_Biofuels!$O$8,LEFT(C15,20)=SUP_Biofuels!$P$8),LEFT(C15,20),C15))</f>
        <v>0</v>
      </c>
      <c r="C15" s="1028"/>
      <c r="D15" s="1029"/>
      <c r="E15" s="1029"/>
      <c r="F15" s="1029"/>
      <c r="G15" s="1029"/>
      <c r="H15" s="1029"/>
      <c r="I15" s="1029"/>
      <c r="J15" s="1029"/>
      <c r="K15" s="1028"/>
      <c r="L15" s="1029"/>
      <c r="M15" s="1028"/>
    </row>
    <row r="16" spans="2:16">
      <c r="B16" t="str">
        <f>IF(IF(OR(LEFT(C16,27)=SUP_Biofuels!$N$8,LEFT(C16,20)=SUP_Biofuels!$O$8,LEFT(C16,20)=SUP_Biofuels!$P$8),LEFT(C16,20),C16)="Specific investment ","Specific investment (M€ /MW",IF(OR(LEFT(C16,27)=SUP_Biofuels!$N$8,LEFT(C16,20)=SUP_Biofuels!$O$8,LEFT(C16,20)=SUP_Biofuels!$P$8),LEFT(C16,20),C16))</f>
        <v>Forced outage (%)</v>
      </c>
      <c r="C16" s="1028" t="s">
        <v>59</v>
      </c>
      <c r="D16" s="1029">
        <v>0</v>
      </c>
      <c r="E16" s="1029">
        <v>0</v>
      </c>
      <c r="F16" s="1029">
        <v>0</v>
      </c>
      <c r="G16" s="1029">
        <v>0</v>
      </c>
      <c r="H16" s="1029"/>
      <c r="I16" s="1029"/>
      <c r="J16" s="1029"/>
      <c r="K16" s="1028"/>
      <c r="L16" s="1029" t="s">
        <v>675</v>
      </c>
      <c r="M16" s="102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028" t="s">
        <v>92</v>
      </c>
      <c r="D17" s="1029">
        <v>3</v>
      </c>
      <c r="E17" s="1028"/>
      <c r="F17" s="1028"/>
      <c r="G17" s="1028"/>
      <c r="H17" s="1029"/>
      <c r="I17" s="1029"/>
      <c r="J17" s="1029"/>
      <c r="K17" s="1028"/>
      <c r="L17" s="1029"/>
      <c r="M17" s="1029">
        <v>18</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028" t="s">
        <v>58</v>
      </c>
      <c r="D18" s="1029">
        <v>25</v>
      </c>
      <c r="E18" s="1028"/>
      <c r="F18" s="1028"/>
      <c r="G18" s="1028"/>
      <c r="H18" s="1029"/>
      <c r="I18" s="1029"/>
      <c r="J18" s="1029"/>
      <c r="K18" s="1028"/>
      <c r="L18" s="1029"/>
      <c r="M18" s="1028"/>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023" t="s">
        <v>60</v>
      </c>
      <c r="D19" s="1024">
        <v>2</v>
      </c>
      <c r="E19" s="1023"/>
      <c r="F19" s="1023"/>
      <c r="G19" s="1023"/>
      <c r="H19" s="1024"/>
      <c r="I19" s="1024"/>
      <c r="J19" s="1024"/>
      <c r="K19" s="1023"/>
      <c r="L19" s="1024"/>
      <c r="M19" s="1023"/>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017" t="s">
        <v>264</v>
      </c>
      <c r="D20" s="1018"/>
      <c r="E20" s="1018"/>
      <c r="F20" s="1018"/>
      <c r="G20" s="1018"/>
      <c r="H20" s="1018"/>
      <c r="I20" s="1018"/>
      <c r="J20" s="1018"/>
      <c r="K20" s="1018"/>
      <c r="L20" s="1018"/>
      <c r="M20" s="1019"/>
      <c r="N20" s="1013"/>
    </row>
    <row r="21" spans="2:14" ht="20.399999999999999">
      <c r="B21" t="str">
        <f>IF(IF(OR(LEFT(C21,27)=SUP_Biofuels!$N$8,LEFT(C21,20)=SUP_Biofuels!$O$8,LEFT(C21,20)=SUP_Biofuels!$P$8),LEFT(C21,20),C21)="Specific investment ","Specific investment (M€ /MW",IF(OR(LEFT(C21,27)=SUP_Biofuels!$N$8,LEFT(C21,20)=SUP_Biofuels!$O$8,LEFT(C21,20)=SUP_Biofuels!$P$8),LEFT(C21,20),C21))</f>
        <v>Specific investment (M€ /MW</v>
      </c>
      <c r="C21" s="1020" t="s">
        <v>1331</v>
      </c>
      <c r="D21" s="1031">
        <v>2.1</v>
      </c>
      <c r="E21" s="1031">
        <v>1.6</v>
      </c>
      <c r="F21" s="1031">
        <v>1.1000000000000001</v>
      </c>
      <c r="G21" s="1031">
        <v>0.9</v>
      </c>
      <c r="H21" s="1022">
        <v>0.75</v>
      </c>
      <c r="I21" s="1022">
        <v>1.5</v>
      </c>
      <c r="J21" s="1022">
        <v>0.75</v>
      </c>
      <c r="K21" s="1022">
        <v>1.25</v>
      </c>
      <c r="L21" s="1021" t="s">
        <v>1332</v>
      </c>
      <c r="M21" s="1021" t="s">
        <v>1333</v>
      </c>
      <c r="N21" s="1013"/>
    </row>
    <row r="22" spans="2:14">
      <c r="B22" t="str">
        <f>LEFT(C22,17)</f>
        <v xml:space="preserve"> - equipment (%)</v>
      </c>
      <c r="C22" s="1028" t="s">
        <v>394</v>
      </c>
      <c r="D22" s="1029">
        <v>75</v>
      </c>
      <c r="E22" s="1029">
        <v>75</v>
      </c>
      <c r="F22" s="1029">
        <v>75</v>
      </c>
      <c r="G22" s="1029">
        <v>75</v>
      </c>
      <c r="H22" s="1014"/>
      <c r="I22" s="1014"/>
      <c r="J22" s="1014"/>
      <c r="K22" s="1032"/>
      <c r="L22" s="1029" t="s">
        <v>671</v>
      </c>
      <c r="M22" s="1029"/>
      <c r="N22" s="1013"/>
    </row>
    <row r="23" spans="2:14">
      <c r="B23" t="str">
        <f>LEFT(C23,17)</f>
        <v xml:space="preserve"> -installation (%</v>
      </c>
      <c r="C23" s="1028" t="s">
        <v>251</v>
      </c>
      <c r="D23" s="1029">
        <v>25</v>
      </c>
      <c r="E23" s="1029">
        <v>25</v>
      </c>
      <c r="F23" s="1029">
        <v>25</v>
      </c>
      <c r="G23" s="1029">
        <v>25</v>
      </c>
      <c r="H23" s="1014"/>
      <c r="I23" s="1014"/>
      <c r="J23" s="1014"/>
      <c r="K23" s="1032"/>
      <c r="L23" s="1029"/>
      <c r="M23" s="1029"/>
      <c r="N23" s="1013"/>
    </row>
    <row r="24" spans="2:14">
      <c r="B24" t="str">
        <f>LEFT(C24,17)</f>
        <v>Fixed O&amp;M (M€ /MW</v>
      </c>
      <c r="C24" s="1028" t="s">
        <v>1416</v>
      </c>
      <c r="D24" s="1033">
        <f>16.9/1000000</f>
        <v>1.6899999999999997E-5</v>
      </c>
      <c r="E24" s="1033">
        <f>12.7/1000000</f>
        <v>1.2699999999999999E-5</v>
      </c>
      <c r="F24" s="1033">
        <f>8.5/1000000</f>
        <v>8.4999999999999999E-6</v>
      </c>
      <c r="G24" s="1033">
        <f>7.4/1000000</f>
        <v>7.4000000000000003E-6</v>
      </c>
      <c r="H24" s="1030">
        <v>0.9</v>
      </c>
      <c r="I24" s="1030">
        <v>1.1000000000000001</v>
      </c>
      <c r="J24" s="1030">
        <v>0.9</v>
      </c>
      <c r="K24" s="1030">
        <v>1.1000000000000001</v>
      </c>
      <c r="L24" s="1029" t="s">
        <v>786</v>
      </c>
      <c r="M24" s="1029">
        <v>18</v>
      </c>
      <c r="N24" s="1013"/>
    </row>
    <row r="25" spans="2:14">
      <c r="B25" t="str">
        <f>LEFT(C25,19)</f>
        <v>Variable O&amp;M (€ /MW</v>
      </c>
      <c r="C25" s="1028" t="s">
        <v>1334</v>
      </c>
      <c r="D25" s="1033">
        <v>5.3</v>
      </c>
      <c r="E25" s="1033">
        <v>4.2</v>
      </c>
      <c r="F25" s="1033">
        <v>3.2</v>
      </c>
      <c r="G25" s="1033">
        <v>2.1</v>
      </c>
      <c r="H25" s="1030">
        <v>0.9</v>
      </c>
      <c r="I25" s="1030">
        <v>1.1000000000000001</v>
      </c>
      <c r="J25" s="1030">
        <v>0.9</v>
      </c>
      <c r="K25" s="1030">
        <v>1.1000000000000001</v>
      </c>
      <c r="L25" s="1029" t="s">
        <v>1335</v>
      </c>
      <c r="M25" s="1029">
        <v>26</v>
      </c>
      <c r="N25" s="1013"/>
    </row>
    <row r="26" spans="2:14">
      <c r="B26" t="str">
        <f>IF(IF(OR(LEFT(C26,27)=SUP_Biofuels!$N$8,LEFT(C26,20)=SUP_Biofuels!$O$8,LEFT(C26,20)=SUP_Biofuels!$P$8),LEFT(C26,20),C26)="Specific investment ","Specific investment (M€ /MW",IF(OR(LEFT(C26,27)=SUP_Biofuels!$N$8,LEFT(C26,20)=SUP_Biofuels!$O$8,LEFT(C26,20)=SUP_Biofuels!$P$8),LEFT(C26,20),C26))</f>
        <v>Start up (€ /l FT Liquids)</v>
      </c>
      <c r="C26" s="1023" t="s">
        <v>1336</v>
      </c>
      <c r="D26" s="1024">
        <v>0</v>
      </c>
      <c r="E26" s="1024">
        <v>0</v>
      </c>
      <c r="F26" s="1024">
        <v>0</v>
      </c>
      <c r="G26" s="1024">
        <v>0</v>
      </c>
      <c r="H26" s="1024"/>
      <c r="I26" s="1024"/>
      <c r="J26" s="1024"/>
      <c r="K26" s="1023"/>
      <c r="L26" s="1024"/>
      <c r="M26" s="1024"/>
      <c r="N26" s="1013"/>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017" t="s">
        <v>260</v>
      </c>
      <c r="D27" s="1034"/>
      <c r="E27" s="1034"/>
      <c r="F27" s="1034"/>
      <c r="G27" s="1034"/>
      <c r="H27" s="1034"/>
      <c r="I27" s="1034"/>
      <c r="J27" s="1034"/>
      <c r="K27" s="1034"/>
      <c r="L27" s="1034"/>
      <c r="M27" s="1035"/>
      <c r="N27" s="1013"/>
    </row>
    <row r="28" spans="2:14" ht="20.399999999999999">
      <c r="B28" t="str">
        <f>IF(IF(OR(LEFT(C28,27)=SUP_Biofuels!$N$8,LEFT(C28,20)=SUP_Biofuels!$O$8,LEFT(C28,20)=SUP_Biofuels!$P$8),LEFT(C28,20),C28)="Specific investment ","Specific investment (M€ /MW",IF(OR(LEFT(C28,27)=SUP_Biofuels!$N$8,LEFT(C28,20)=SUP_Biofuels!$O$8,LEFT(C28,20)=SUP_Biofuels!$P$8),LEFT(C28,20),C28))</f>
        <v>Specific investment (€ /l FT Liquids/year)</v>
      </c>
      <c r="C28" s="1020" t="s">
        <v>1337</v>
      </c>
      <c r="D28" s="1021">
        <v>3.3</v>
      </c>
      <c r="E28" s="1021">
        <v>2.5</v>
      </c>
      <c r="F28" s="1021">
        <v>1.7</v>
      </c>
      <c r="G28" s="1021">
        <v>1.4</v>
      </c>
      <c r="H28" s="1022">
        <v>0.75</v>
      </c>
      <c r="I28" s="1022">
        <v>1.5</v>
      </c>
      <c r="J28" s="1022">
        <v>0.75</v>
      </c>
      <c r="K28" s="1022">
        <v>1.25</v>
      </c>
      <c r="L28" s="1021" t="s">
        <v>1332</v>
      </c>
      <c r="M28" s="1021" t="s">
        <v>1333</v>
      </c>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028" t="s">
        <v>394</v>
      </c>
      <c r="D29" s="1029">
        <v>75</v>
      </c>
      <c r="E29" s="1029">
        <v>75</v>
      </c>
      <c r="F29" s="1029">
        <v>75</v>
      </c>
      <c r="G29" s="1029">
        <v>75</v>
      </c>
      <c r="H29" s="1029"/>
      <c r="I29" s="1029"/>
      <c r="J29" s="1029"/>
      <c r="K29" s="1029"/>
      <c r="L29" s="1029" t="s">
        <v>671</v>
      </c>
      <c r="M29" s="1029"/>
      <c r="N29" s="1013"/>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028" t="s">
        <v>251</v>
      </c>
      <c r="D30" s="1029">
        <v>25</v>
      </c>
      <c r="E30" s="1029">
        <v>25</v>
      </c>
      <c r="F30" s="1029">
        <v>25</v>
      </c>
      <c r="G30" s="1029">
        <v>25</v>
      </c>
      <c r="H30" s="1029"/>
      <c r="I30" s="1029"/>
      <c r="J30" s="1029"/>
      <c r="K30" s="1029"/>
      <c r="L30" s="1029"/>
      <c r="M30" s="1029"/>
      <c r="N30" s="1013"/>
    </row>
    <row r="31" spans="2:14">
      <c r="B31" t="str">
        <f>IF(IF(OR(LEFT(C31,27)=SUP_Biofuels!$N$8,LEFT(C31,20)=SUP_Biofuels!$O$8,LEFT(C31,20)=SUP_Biofuels!$P$8),LEFT(C31,20),C31)="Specific investment ","Specific investment (M€ /MW",IF(OR(LEFT(C31,27)=SUP_Biofuels!$N$8,LEFT(C31,20)=SUP_Biofuels!$O$8,LEFT(C31,20)=SUP_Biofuels!$P$8),LEFT(C31,20),C31))</f>
        <v>Fixed O&amp;M (€ /l FT Liquids)</v>
      </c>
      <c r="C31" s="1028" t="s">
        <v>1338</v>
      </c>
      <c r="D31" s="1033">
        <v>0.16</v>
      </c>
      <c r="E31" s="1033">
        <v>0.12</v>
      </c>
      <c r="F31" s="1033">
        <v>0.08</v>
      </c>
      <c r="G31" s="1033">
        <v>7.0000000000000007E-2</v>
      </c>
      <c r="H31" s="1030">
        <v>0.9</v>
      </c>
      <c r="I31" s="1030">
        <v>1.1000000000000001</v>
      </c>
      <c r="J31" s="1030">
        <v>0.9</v>
      </c>
      <c r="K31" s="1030">
        <v>1.1000000000000001</v>
      </c>
      <c r="L31" s="1029" t="s">
        <v>786</v>
      </c>
      <c r="M31" s="1029">
        <v>18</v>
      </c>
      <c r="N31" s="1013"/>
    </row>
    <row r="32" spans="2:14">
      <c r="B32" t="str">
        <f>IF(IF(OR(LEFT(C32,27)=SUP_Biofuels!$N$8,LEFT(C32,20)=SUP_Biofuels!$O$8,LEFT(C32,20)=SUP_Biofuels!$P$8),LEFT(C32,20),C32)="Specific investment ","Specific investment (M€ /MW",IF(OR(LEFT(C32,27)=SUP_Biofuels!$N$8,LEFT(C32,20)=SUP_Biofuels!$O$8,LEFT(C32,20)=SUP_Biofuels!$P$8),LEFT(C32,20),C32))</f>
        <v>Variable O&amp;M (€ /l FT Liquids)</v>
      </c>
      <c r="C32" s="1028" t="s">
        <v>1339</v>
      </c>
      <c r="D32" s="1033">
        <v>0.05</v>
      </c>
      <c r="E32" s="1033">
        <v>0.04</v>
      </c>
      <c r="F32" s="1033">
        <v>0.03</v>
      </c>
      <c r="G32" s="1033">
        <v>0.02</v>
      </c>
      <c r="H32" s="1030">
        <v>0.9</v>
      </c>
      <c r="I32" s="1030">
        <v>1.1000000000000001</v>
      </c>
      <c r="J32" s="1030">
        <v>0.9</v>
      </c>
      <c r="K32" s="1030">
        <v>1.1000000000000001</v>
      </c>
      <c r="L32" s="1029" t="s">
        <v>1335</v>
      </c>
      <c r="M32" s="1029">
        <v>26</v>
      </c>
      <c r="N32" s="1013"/>
    </row>
    <row r="33" spans="3:14">
      <c r="C33" s="1028" t="s">
        <v>1336</v>
      </c>
      <c r="D33" s="1029">
        <v>0</v>
      </c>
      <c r="E33" s="1029">
        <v>0</v>
      </c>
      <c r="F33" s="1029">
        <v>0</v>
      </c>
      <c r="G33" s="1029">
        <v>0</v>
      </c>
      <c r="H33" s="1029"/>
      <c r="I33" s="1029"/>
      <c r="J33" s="1029"/>
      <c r="K33" s="1028"/>
      <c r="L33" s="1029"/>
      <c r="M33" s="1029"/>
      <c r="N33" s="1013"/>
    </row>
    <row r="36" spans="3:14">
      <c r="C36" s="1036" t="s">
        <v>1340</v>
      </c>
    </row>
    <row r="37" spans="3:14">
      <c r="C37" t="s">
        <v>1341</v>
      </c>
    </row>
    <row r="38" spans="3:14">
      <c r="C38" t="s">
        <v>1342</v>
      </c>
    </row>
    <row r="39" spans="3:14">
      <c r="C39" t="s">
        <v>1343</v>
      </c>
    </row>
    <row r="40" spans="3:14">
      <c r="C40" t="s">
        <v>1344</v>
      </c>
    </row>
    <row r="41" spans="3:14">
      <c r="C41" t="s">
        <v>1345</v>
      </c>
    </row>
    <row r="42" spans="3:14">
      <c r="C42" t="s">
        <v>1346</v>
      </c>
    </row>
    <row r="43" spans="3:14">
      <c r="C43" t="s">
        <v>1347</v>
      </c>
    </row>
    <row r="44" spans="3:14">
      <c r="C44" t="s">
        <v>1348</v>
      </c>
    </row>
    <row r="45" spans="3:14">
      <c r="C45" t="s">
        <v>1349</v>
      </c>
    </row>
    <row r="46" spans="3:14">
      <c r="C46" t="s">
        <v>1350</v>
      </c>
    </row>
    <row r="47" spans="3:14">
      <c r="C47" t="s">
        <v>1351</v>
      </c>
    </row>
    <row r="48" spans="3:14">
      <c r="C48" t="s">
        <v>1352</v>
      </c>
    </row>
    <row r="49" spans="3:3">
      <c r="C49" t="s">
        <v>1353</v>
      </c>
    </row>
    <row r="50" spans="3:3">
      <c r="C50" t="s">
        <v>1354</v>
      </c>
    </row>
    <row r="51" spans="3:3">
      <c r="C51" t="s">
        <v>1355</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E9" sqref="E9"/>
    </sheetView>
  </sheetViews>
  <sheetFormatPr defaultRowHeight="14.4"/>
  <cols>
    <col min="1" max="1" width="2.109375" customWidth="1"/>
    <col min="2" max="2" width="35.88671875" bestFit="1" customWidth="1"/>
    <col min="3" max="3" width="39.88671875" customWidth="1"/>
  </cols>
  <sheetData>
    <row r="1" spans="1:14">
      <c r="A1" s="1037"/>
    </row>
    <row r="2" spans="1:14">
      <c r="C2" s="883" t="s">
        <v>296</v>
      </c>
      <c r="D2" s="1414" t="s">
        <v>1356</v>
      </c>
      <c r="E2" s="1415"/>
      <c r="F2" s="1415"/>
      <c r="G2" s="1415"/>
      <c r="H2" s="1415"/>
      <c r="I2" s="1415"/>
      <c r="J2" s="1415"/>
      <c r="K2" s="1415"/>
      <c r="L2" s="1415"/>
      <c r="M2" s="1415"/>
      <c r="N2" s="1013"/>
    </row>
    <row r="3" spans="1:14" ht="15" customHeight="1">
      <c r="C3" s="1038"/>
      <c r="D3" s="883">
        <v>2020</v>
      </c>
      <c r="E3" s="883">
        <v>2030</v>
      </c>
      <c r="F3" s="883">
        <v>2040</v>
      </c>
      <c r="G3" s="883">
        <v>2050</v>
      </c>
      <c r="H3" s="1416" t="s">
        <v>290</v>
      </c>
      <c r="I3" s="1416"/>
      <c r="J3" s="1416" t="s">
        <v>289</v>
      </c>
      <c r="K3" s="1416"/>
      <c r="L3" s="883" t="s">
        <v>288</v>
      </c>
      <c r="M3" s="883" t="s">
        <v>287</v>
      </c>
      <c r="N3" s="1013"/>
    </row>
    <row r="4" spans="1:14">
      <c r="C4" s="883"/>
      <c r="D4" s="1038"/>
      <c r="E4" s="1038"/>
      <c r="F4" s="883"/>
      <c r="G4" s="1038"/>
      <c r="H4" s="1039" t="s">
        <v>284</v>
      </c>
      <c r="I4" s="1039" t="s">
        <v>283</v>
      </c>
      <c r="J4" s="1039" t="s">
        <v>284</v>
      </c>
      <c r="K4" s="1039" t="s">
        <v>283</v>
      </c>
      <c r="L4" s="1038"/>
      <c r="M4" s="1038"/>
      <c r="N4" s="1013"/>
    </row>
    <row r="5" spans="1:14" ht="18" customHeight="1">
      <c r="B5" t="str">
        <f>IF(IF(OR(LEFT(C5,27)=SUP_Biofuels!$N$8,LEFT(C5,20)=SUP_Biofuels!$O$8,LEFT(C5,20)=SUP_Biofuels!$P$8),LEFT(C5,20),C5)="Specific investment ","Specific investment (M€ /MW",IF(OR(LEFT(C5,27)=SUP_Biofuels!$N$8,LEFT(C5,20)=SUP_Biofuels!$O$8,LEFT(C5,20)=SUP_Biofuels!$P$8),LEFT(C5,20),C5))</f>
        <v>Energy/technical data</v>
      </c>
      <c r="C5" s="1413" t="s">
        <v>282</v>
      </c>
      <c r="D5" s="1413"/>
      <c r="E5" s="1413"/>
      <c r="F5" s="1413"/>
      <c r="G5" s="1413"/>
      <c r="H5" s="1413"/>
      <c r="I5" s="1413"/>
      <c r="J5" s="1413"/>
      <c r="K5" s="1413"/>
      <c r="L5" s="1413"/>
      <c r="M5" s="1413"/>
      <c r="N5" s="1013"/>
    </row>
    <row r="6" spans="1:14">
      <c r="B6" t="str">
        <f>IF(IF(OR(LEFT(C6,27)=SUP_Biofuels!$N$8,LEFT(C6,20)=SUP_Biofuels!$O$8,LEFT(C6,20)=SUP_Biofuels!$P$8),LEFT(C6,20),C6)="Specific investment ","Specific investment (M€ /MW",IF(OR(LEFT(C6,27)=SUP_Biofuels!$N$8,LEFT(C6,20)=SUP_Biofuels!$O$8,LEFT(C6,20)=SUP_Biofuels!$P$8),LEFT(C6,20),C6))</f>
        <v>Typical total plant size 1,000 t FT Liquids/year</v>
      </c>
      <c r="C6" s="881" t="s">
        <v>1357</v>
      </c>
      <c r="D6" s="880">
        <v>2</v>
      </c>
      <c r="E6" s="880">
        <v>13</v>
      </c>
      <c r="F6" s="880">
        <v>41</v>
      </c>
      <c r="G6" s="880">
        <v>165</v>
      </c>
      <c r="H6" s="1040">
        <v>0.5</v>
      </c>
      <c r="I6" s="1040">
        <v>1.5</v>
      </c>
      <c r="J6" s="1040">
        <v>0.5</v>
      </c>
      <c r="K6" s="1040">
        <v>1.5</v>
      </c>
      <c r="L6" s="880" t="s">
        <v>1358</v>
      </c>
      <c r="M6" s="880" t="s">
        <v>1319</v>
      </c>
      <c r="N6" s="1013"/>
    </row>
    <row r="7" spans="1:14">
      <c r="B7" t="str">
        <f>IF(IF(OR(LEFT(C7,27)=SUP_Biofuels!$N$8,LEFT(C7,20)=SUP_Biofuels!$O$8,LEFT(C7,20)=SUP_Biofuels!$P$8),LEFT(C7,20),C7)="Specific investment ","Specific investment (M€ /MW",IF(OR(LEFT(C7,27)=SUP_Biofuels!$N$8,LEFT(C7,20)=SUP_Biofuels!$O$8,LEFT(C7,20)=SUP_Biofuels!$P$8),LEFT(C7,20),C7))</f>
        <v>Typical total plant size, MW Output</v>
      </c>
      <c r="C7" s="881" t="s">
        <v>1320</v>
      </c>
      <c r="D7" s="880">
        <v>3.1</v>
      </c>
      <c r="E7" s="880">
        <v>20.5</v>
      </c>
      <c r="F7" s="880">
        <v>64.5</v>
      </c>
      <c r="G7" s="880">
        <v>259.60000000000002</v>
      </c>
      <c r="H7" s="1040">
        <v>0.5</v>
      </c>
      <c r="I7" s="1040">
        <v>1.5</v>
      </c>
      <c r="J7" s="1040">
        <v>0.5</v>
      </c>
      <c r="K7" s="1040">
        <v>1.5</v>
      </c>
      <c r="L7" s="880" t="s">
        <v>1321</v>
      </c>
      <c r="M7" s="880" t="s">
        <v>1322</v>
      </c>
      <c r="N7" s="1013"/>
    </row>
    <row r="8" spans="1:14" ht="18" customHeight="1">
      <c r="B8" t="str">
        <f>IF(IF(OR(LEFT(C8,27)=SUP_Biofuels!$N$8,LEFT(C8,20)=SUP_Biofuels!$O$8,LEFT(C8,20)=SUP_Biofuels!$P$8),LEFT(C8,20),C8)="Specific investment ","Specific investment (M€ /MW",IF(OR(LEFT(C8,27)=SUP_Biofuels!$N$8,LEFT(C8,20)=SUP_Biofuels!$O$8,LEFT(C8,20)=SUP_Biofuels!$P$8),LEFT(C8,20),C8))</f>
        <v xml:space="preserve"> Inputs</v>
      </c>
      <c r="C8" s="1417" t="s">
        <v>384</v>
      </c>
      <c r="D8" s="1417"/>
      <c r="E8" s="1417"/>
      <c r="F8" s="1417"/>
      <c r="G8" s="1417"/>
      <c r="H8" s="1417"/>
      <c r="I8" s="1417"/>
      <c r="J8" s="1417"/>
      <c r="K8" s="1417"/>
      <c r="L8" s="1417"/>
      <c r="M8" s="1417"/>
      <c r="N8" s="1013"/>
    </row>
    <row r="9" spans="1:14">
      <c r="B9" t="str">
        <f>IF(IF(OR(LEFT(C9,27)=SUP_Biofuels!$N$8,LEFT(C9,20)=SUP_Biofuels!$O$8,LEFT(C9,20)=SUP_Biofuels!$P$8),LEFT(C9,20),C9)="Specific investment ","Specific investment (M€ /MW",IF(OR(LEFT(C9,27)=SUP_Biofuels!$N$8,LEFT(C9,20)=SUP_Biofuels!$O$8,LEFT(C9,20)=SUP_Biofuels!$P$8),LEFT(C9,20),C9))</f>
        <v>CO2 Consumption, t/t FT Liquids</v>
      </c>
      <c r="C9" s="881" t="s">
        <v>1359</v>
      </c>
      <c r="D9" s="880">
        <v>4.3</v>
      </c>
      <c r="E9" s="880">
        <v>3.9</v>
      </c>
      <c r="F9" s="880">
        <v>3.6</v>
      </c>
      <c r="G9" s="880">
        <v>3.3</v>
      </c>
      <c r="H9" s="1040">
        <v>1</v>
      </c>
      <c r="I9" s="1040">
        <v>1.1000000000000001</v>
      </c>
      <c r="J9" s="1040">
        <v>1</v>
      </c>
      <c r="K9" s="1040">
        <v>1.1000000000000001</v>
      </c>
      <c r="L9" s="880" t="s">
        <v>945</v>
      </c>
      <c r="M9" s="881"/>
      <c r="N9" s="1013"/>
    </row>
    <row r="10" spans="1:14">
      <c r="B10" t="str">
        <f>IF(IF(OR(LEFT(C10,27)=SUP_Biofuels!$N$8,LEFT(C10,20)=SUP_Biofuels!$O$8,LEFT(C10,20)=SUP_Biofuels!$P$8),LEFT(C10,20),C10)="Specific investment ","Specific investment (M€ /MW",IF(OR(LEFT(C10,27)=SUP_Biofuels!$N$8,LEFT(C10,20)=SUP_Biofuels!$O$8,LEFT(C10,20)=SUP_Biofuels!$P$8),LEFT(C10,20),C10))</f>
        <v>Electricity Consumption, MWh/MWh Total Inputs</v>
      </c>
      <c r="C10" s="881" t="s">
        <v>104</v>
      </c>
      <c r="D10" s="1041">
        <v>1</v>
      </c>
      <c r="E10" s="1041">
        <v>1</v>
      </c>
      <c r="F10" s="1041">
        <v>1</v>
      </c>
      <c r="G10" s="1041">
        <v>1</v>
      </c>
      <c r="H10" s="1040">
        <v>1</v>
      </c>
      <c r="I10" s="1040">
        <v>1</v>
      </c>
      <c r="J10" s="1040">
        <v>1</v>
      </c>
      <c r="K10" s="1040">
        <v>1</v>
      </c>
      <c r="L10" s="1041" t="s">
        <v>1360</v>
      </c>
      <c r="M10" s="1041"/>
      <c r="N10" s="1013"/>
    </row>
    <row r="11" spans="1:14" ht="18" customHeight="1">
      <c r="B11" t="str">
        <f>IF(IF(OR(LEFT(C11,27)=SUP_Biofuels!$N$8,LEFT(C11,20)=SUP_Biofuels!$O$8,LEFT(C11,20)=SUP_Biofuels!$P$8),LEFT(C11,20),C11)="Specific investment ","Specific investment (M€ /MW",IF(OR(LEFT(C11,27)=SUP_Biofuels!$N$8,LEFT(C11,20)=SUP_Biofuels!$O$8,LEFT(C11,20)=SUP_Biofuels!$P$8),LEFT(C11,20),C11))</f>
        <v>Outputs</v>
      </c>
      <c r="C11" s="1417" t="s">
        <v>271</v>
      </c>
      <c r="D11" s="1417"/>
      <c r="E11" s="1417"/>
      <c r="F11" s="1417"/>
      <c r="G11" s="1417"/>
      <c r="H11" s="1417"/>
      <c r="I11" s="1417"/>
      <c r="J11" s="1417"/>
      <c r="K11" s="1417"/>
      <c r="L11" s="1417"/>
      <c r="M11" s="1417"/>
      <c r="N11" s="1013"/>
    </row>
    <row r="12" spans="1:14">
      <c r="B12" t="str">
        <f>IF(IF(OR(LEFT(C12,27)=SUP_Biofuels!$N$8,LEFT(C12,20)=SUP_Biofuels!$O$8,LEFT(C12,20)=SUP_Biofuels!$P$8),LEFT(C12,20),C12)="Specific investment ","Specific investment (M€ /MW",IF(OR(LEFT(C12,27)=SUP_Biofuels!$N$8,LEFT(C12,20)=SUP_Biofuels!$O$8,LEFT(C12,20)=SUP_Biofuels!$P$8),LEFT(C12,20),C12))</f>
        <v>FT Liquids Output, MWh/MWh Total Input</v>
      </c>
      <c r="C12" s="881" t="s">
        <v>1327</v>
      </c>
      <c r="D12" s="1041">
        <v>0.37</v>
      </c>
      <c r="E12" s="1041">
        <v>0.4</v>
      </c>
      <c r="F12" s="1041">
        <v>0.5</v>
      </c>
      <c r="G12" s="1041">
        <v>0.55000000000000004</v>
      </c>
      <c r="H12" s="1040">
        <v>0.8</v>
      </c>
      <c r="I12" s="1040">
        <v>1.2</v>
      </c>
      <c r="J12" s="1040">
        <v>0.8</v>
      </c>
      <c r="K12" s="1040">
        <v>1.2</v>
      </c>
      <c r="L12" s="1041" t="s">
        <v>1361</v>
      </c>
      <c r="M12" s="1041" t="s">
        <v>1329</v>
      </c>
    </row>
    <row r="13" spans="1:14">
      <c r="B13" t="str">
        <f>IF(IF(OR(LEFT(C13,27)=SUP_Biofuels!$N$8,LEFT(C13,20)=SUP_Biofuels!$O$8,LEFT(C13,20)=SUP_Biofuels!$P$8),LEFT(C13,20),C13)="Specific investment ","Specific investment (M€ /MW",IF(OR(LEFT(C13,27)=SUP_Biofuels!$N$8,LEFT(C13,20)=SUP_Biofuels!$O$8,LEFT(C13,20)=SUP_Biofuels!$P$8),LEFT(C13,20),C13))</f>
        <v>District Heat  Output, MWh/MWh Total Input</v>
      </c>
      <c r="C13" s="881" t="s">
        <v>1330</v>
      </c>
      <c r="D13" s="1041">
        <v>0.43</v>
      </c>
      <c r="E13" s="1041">
        <v>0.4</v>
      </c>
      <c r="F13" s="1041">
        <v>0.3</v>
      </c>
      <c r="G13" s="1041">
        <v>0.25</v>
      </c>
      <c r="H13" s="1040">
        <v>0.8</v>
      </c>
      <c r="I13" s="1040">
        <v>1.2</v>
      </c>
      <c r="J13" s="1040">
        <v>0.8</v>
      </c>
      <c r="K13" s="1040">
        <v>1.2</v>
      </c>
      <c r="L13" s="1041" t="s">
        <v>675</v>
      </c>
      <c r="M13" s="1041"/>
    </row>
    <row r="14" spans="1:14" ht="18" customHeight="1">
      <c r="B14">
        <f>IF(IF(OR(LEFT(C14,27)=SUP_Biofuels!$N$8,LEFT(C14,20)=SUP_Biofuels!$O$8,LEFT(C14,20)=SUP_Biofuels!$P$8),LEFT(C14,20),C14)="Specific investment ","Specific investment (M€ /MW",IF(OR(LEFT(C14,27)=SUP_Biofuels!$N$8,LEFT(C14,20)=SUP_Biofuels!$O$8,LEFT(C14,20)=SUP_Biofuels!$P$8),LEFT(C14,20),C14))</f>
        <v>0</v>
      </c>
      <c r="C14" s="881"/>
      <c r="D14" s="1041"/>
      <c r="E14" s="1041"/>
      <c r="F14" s="1041"/>
      <c r="G14" s="1041"/>
      <c r="H14" s="1041"/>
      <c r="I14" s="1042"/>
      <c r="J14" s="1042"/>
      <c r="K14" s="882"/>
      <c r="L14" s="1041"/>
      <c r="M14" s="1042"/>
    </row>
    <row r="15" spans="1:14">
      <c r="B15" t="str">
        <f>IF(IF(OR(LEFT(C15,27)=SUP_Biofuels!$N$8,LEFT(C15,20)=SUP_Biofuels!$O$8,LEFT(C15,20)=SUP_Biofuels!$P$8),LEFT(C15,20),C15)="Specific investment ","Specific investment (M€ /MW",IF(OR(LEFT(C15,27)=SUP_Biofuels!$N$8,LEFT(C15,20)=SUP_Biofuels!$O$8,LEFT(C15,20)=SUP_Biofuels!$P$8),LEFT(C15,20),C15))</f>
        <v>Forced outage (%)</v>
      </c>
      <c r="C15" s="881" t="s">
        <v>59</v>
      </c>
      <c r="D15" s="1041">
        <v>0</v>
      </c>
      <c r="E15" s="1041">
        <v>0</v>
      </c>
      <c r="F15" s="1041">
        <v>0</v>
      </c>
      <c r="G15" s="1041">
        <v>0</v>
      </c>
      <c r="H15" s="1041"/>
      <c r="I15" s="1042"/>
      <c r="J15" s="1042"/>
      <c r="K15" s="882"/>
      <c r="L15" s="1041" t="s">
        <v>673</v>
      </c>
      <c r="M15" s="1041"/>
    </row>
    <row r="16" spans="1:14">
      <c r="B16" t="str">
        <f>IF(IF(OR(LEFT(C16,27)=SUP_Biofuels!$N$8,LEFT(C16,20)=SUP_Biofuels!$O$8,LEFT(C16,20)=SUP_Biofuels!$P$8),LEFT(C16,20),C16)="Specific investment ","Specific investment (M€ /MW",IF(OR(LEFT(C16,27)=SUP_Biofuels!$N$8,LEFT(C16,20)=SUP_Biofuels!$O$8,LEFT(C16,20)=SUP_Biofuels!$P$8),LEFT(C16,20),C16))</f>
        <v>Planned outage (weeks per year)</v>
      </c>
      <c r="C16" s="881" t="s">
        <v>92</v>
      </c>
      <c r="D16" s="1412">
        <v>3</v>
      </c>
      <c r="E16" s="1412"/>
      <c r="F16" s="1412"/>
      <c r="G16" s="1412"/>
      <c r="H16" s="1041"/>
      <c r="I16" s="1042"/>
      <c r="J16" s="1042"/>
      <c r="K16" s="882"/>
      <c r="L16" s="1041"/>
      <c r="M16" s="1041">
        <v>18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881" t="s">
        <v>58</v>
      </c>
      <c r="D17" s="1412">
        <v>25</v>
      </c>
      <c r="E17" s="1412"/>
      <c r="F17" s="1412"/>
      <c r="G17" s="1412"/>
      <c r="H17" s="1041">
        <v>20</v>
      </c>
      <c r="I17" s="1041">
        <v>30</v>
      </c>
      <c r="J17" s="1041"/>
      <c r="K17" s="1043"/>
      <c r="L17" s="1041"/>
      <c r="M17" s="104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881" t="s">
        <v>60</v>
      </c>
      <c r="D18" s="1412">
        <v>2</v>
      </c>
      <c r="E18" s="1412"/>
      <c r="F18" s="1412"/>
      <c r="G18" s="1412"/>
      <c r="H18" s="1041"/>
      <c r="I18" s="1042"/>
      <c r="J18" s="1042"/>
      <c r="K18" s="882"/>
      <c r="L18" s="1041"/>
      <c r="M18" s="1041"/>
    </row>
    <row r="19" spans="2:14" ht="18" customHeight="1">
      <c r="B19" t="str">
        <f>IF(IF(OR(LEFT(C19,27)=SUP_Biofuels!$N$8,LEFT(C19,20)=SUP_Biofuels!$O$8,LEFT(C19,20)=SUP_Biofuels!$P$8),LEFT(C19,20),C19)="Specific investment ","Specific investment (M€ /MW",IF(OR(LEFT(C19,27)=SUP_Biofuels!$N$8,LEFT(C19,20)=SUP_Biofuels!$O$8,LEFT(C19,20)=SUP_Biofuels!$P$8),LEFT(C19,20),C19))</f>
        <v xml:space="preserve">Financial data                                 </v>
      </c>
      <c r="C19" s="1413" t="s">
        <v>264</v>
      </c>
      <c r="D19" s="1413"/>
      <c r="E19" s="1413"/>
      <c r="F19" s="1413"/>
      <c r="G19" s="1413"/>
      <c r="H19" s="1413"/>
      <c r="I19" s="1413"/>
      <c r="J19" s="1413"/>
      <c r="K19" s="1413"/>
      <c r="L19" s="1413"/>
      <c r="M19" s="1413"/>
      <c r="N19" s="1013"/>
    </row>
    <row r="20" spans="2:14" ht="20.399999999999999">
      <c r="B20" t="str">
        <f>IF(IF(OR(LEFT(C20,27)=SUP_Biofuels!$N$8,LEFT(C20,20)=SUP_Biofuels!$O$8,LEFT(C20,20)=SUP_Biofuels!$P$8),LEFT(C20,20),C20)="Specific investment ","Specific investment (M€ /MW",IF(OR(LEFT(C20,27)=SUP_Biofuels!$N$8,LEFT(C20,20)=SUP_Biofuels!$O$8,LEFT(C20,20)=SUP_Biofuels!$P$8),LEFT(C20,20),C20))</f>
        <v>Specific investment (M€ /MW</v>
      </c>
      <c r="C20" s="1041" t="s">
        <v>1362</v>
      </c>
      <c r="D20" s="1044">
        <v>3.2</v>
      </c>
      <c r="E20" s="1044">
        <v>2.5</v>
      </c>
      <c r="F20" s="1044">
        <v>1.9</v>
      </c>
      <c r="G20" s="1044">
        <v>1.6</v>
      </c>
      <c r="H20" s="1040">
        <v>0.75</v>
      </c>
      <c r="I20" s="1040">
        <v>1.5</v>
      </c>
      <c r="J20" s="1040">
        <v>0.75</v>
      </c>
      <c r="K20" s="1040">
        <v>1.25</v>
      </c>
      <c r="L20" s="1041" t="s">
        <v>671</v>
      </c>
      <c r="M20" s="1041" t="s">
        <v>1333</v>
      </c>
      <c r="N20" s="1013"/>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042" t="s">
        <v>394</v>
      </c>
      <c r="D21" s="1041">
        <v>75</v>
      </c>
      <c r="E21" s="1041">
        <v>75</v>
      </c>
      <c r="F21" s="1041">
        <v>75</v>
      </c>
      <c r="G21" s="1041">
        <v>75</v>
      </c>
      <c r="H21" s="1045"/>
      <c r="I21" s="1045"/>
      <c r="J21" s="1045"/>
      <c r="K21" s="1045"/>
      <c r="L21" s="1041" t="s">
        <v>786</v>
      </c>
      <c r="M21" s="1041"/>
      <c r="N21" s="1013"/>
    </row>
    <row r="22" spans="2:14">
      <c r="B22" t="str">
        <f>LEFT(C22,17)</f>
        <v xml:space="preserve"> -installation (%</v>
      </c>
      <c r="C22" s="881" t="s">
        <v>251</v>
      </c>
      <c r="D22" s="1041">
        <v>25</v>
      </c>
      <c r="E22" s="1041">
        <v>25</v>
      </c>
      <c r="F22" s="1041">
        <v>25</v>
      </c>
      <c r="G22" s="1041">
        <v>25</v>
      </c>
      <c r="H22" s="1045"/>
      <c r="I22" s="1045"/>
      <c r="J22" s="1045"/>
      <c r="K22" s="1045"/>
      <c r="L22" s="1041"/>
      <c r="M22" s="880"/>
      <c r="N22" s="1013"/>
    </row>
    <row r="23" spans="2:14">
      <c r="B23" t="str">
        <f>LEFT(C23,17)</f>
        <v>Fixed O&amp;M (M€ /MW</v>
      </c>
      <c r="C23" s="881" t="s">
        <v>1417</v>
      </c>
      <c r="D23" s="1046">
        <f>26.5/1000000</f>
        <v>2.65E-5</v>
      </c>
      <c r="E23" s="1046">
        <f>15.9/1000000</f>
        <v>1.59E-5</v>
      </c>
      <c r="F23" s="1046">
        <f>10.6/1000000</f>
        <v>1.06E-5</v>
      </c>
      <c r="G23" s="1046">
        <f>5.3/1000000</f>
        <v>5.3000000000000001E-6</v>
      </c>
      <c r="H23" s="1040">
        <v>0.9</v>
      </c>
      <c r="I23" s="1040">
        <v>1.1000000000000001</v>
      </c>
      <c r="J23" s="1040">
        <v>0.9</v>
      </c>
      <c r="K23" s="1040">
        <v>1.1000000000000001</v>
      </c>
      <c r="L23" s="1041" t="s">
        <v>1335</v>
      </c>
      <c r="M23" s="880">
        <v>18</v>
      </c>
      <c r="N23" s="1013"/>
    </row>
    <row r="24" spans="2:14">
      <c r="B24" t="str">
        <f>LEFT(C24,19)</f>
        <v>Variable O&amp;M (€ /MW</v>
      </c>
      <c r="C24" s="881" t="s">
        <v>1363</v>
      </c>
      <c r="D24" s="1046">
        <v>8.5</v>
      </c>
      <c r="E24" s="1046">
        <v>5.3</v>
      </c>
      <c r="F24" s="1046">
        <v>3.2</v>
      </c>
      <c r="G24" s="1046">
        <v>2.1</v>
      </c>
      <c r="H24" s="1040">
        <v>0.9</v>
      </c>
      <c r="I24" s="1040">
        <v>1.1000000000000001</v>
      </c>
      <c r="J24" s="1040">
        <v>0.9</v>
      </c>
      <c r="K24" s="1040">
        <v>1.1000000000000001</v>
      </c>
      <c r="L24" s="1041" t="s">
        <v>742</v>
      </c>
      <c r="M24" s="880">
        <v>26</v>
      </c>
      <c r="N24" s="1013"/>
    </row>
    <row r="25" spans="2:14">
      <c r="B25" t="str">
        <f>IF(IF(OR(LEFT(C25,27)=SUP_Biofuels!$N$8,LEFT(C25,20)=SUP_Biofuels!$O$8,LEFT(C25,20)=SUP_Biofuels!$P$8),LEFT(C25,20),C25)="Specific investment ","Specific investment (M€ /MW",IF(OR(LEFT(C25,27)=SUP_Biofuels!$N$8,LEFT(C25,20)=SUP_Biofuels!$O$8,LEFT(C25,20)=SUP_Biofuels!$P$8),LEFT(C25,20),C25))</f>
        <v>Start up (€ /MWh FT Liquids)</v>
      </c>
      <c r="C25" s="1042" t="s">
        <v>1364</v>
      </c>
      <c r="D25" s="1041">
        <v>0</v>
      </c>
      <c r="E25" s="1041">
        <v>0</v>
      </c>
      <c r="F25" s="1041">
        <v>0</v>
      </c>
      <c r="G25" s="1041">
        <v>0</v>
      </c>
      <c r="H25" s="1041"/>
      <c r="I25" s="1041"/>
      <c r="J25" s="1041"/>
      <c r="K25" s="1041"/>
      <c r="L25" s="1041"/>
      <c r="M25" s="1041"/>
      <c r="N25" s="1013"/>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047" t="s">
        <v>260</v>
      </c>
      <c r="D26" s="881"/>
      <c r="E26" s="881"/>
      <c r="F26" s="881"/>
      <c r="G26" s="881"/>
      <c r="H26" s="1041"/>
      <c r="I26" s="1041"/>
      <c r="J26" s="1041"/>
      <c r="K26" s="1041"/>
      <c r="L26" s="881"/>
      <c r="M26" s="881"/>
      <c r="N26" s="1013"/>
    </row>
    <row r="27" spans="2:14" ht="20.399999999999999">
      <c r="B27" t="str">
        <f>IF(IF(OR(LEFT(C27,27)=SUP_Biofuels!$N$8,LEFT(C27,20)=SUP_Biofuels!$O$8,LEFT(C27,20)=SUP_Biofuels!$P$8),LEFT(C27,20),C27)="Specific investment ","Specific investment (M€ /MW",IF(OR(LEFT(C27,27)=SUP_Biofuels!$N$8,LEFT(C27,20)=SUP_Biofuels!$O$8,LEFT(C27,20)=SUP_Biofuels!$P$8),LEFT(C27,20),C27))</f>
        <v>Specific investment (€ /l FT Liquids/year)</v>
      </c>
      <c r="C27" s="881" t="s">
        <v>1337</v>
      </c>
      <c r="D27" s="880">
        <v>5</v>
      </c>
      <c r="E27" s="880">
        <v>4</v>
      </c>
      <c r="F27" s="880">
        <v>3</v>
      </c>
      <c r="G27" s="880">
        <v>2.5</v>
      </c>
      <c r="H27" s="1040">
        <v>0.75</v>
      </c>
      <c r="I27" s="1040">
        <v>1.5</v>
      </c>
      <c r="J27" s="1040">
        <v>0.75</v>
      </c>
      <c r="K27" s="1040">
        <v>1.25</v>
      </c>
      <c r="L27" s="880" t="s">
        <v>671</v>
      </c>
      <c r="M27" s="880" t="s">
        <v>1333</v>
      </c>
      <c r="N27" s="1013"/>
    </row>
    <row r="28" spans="2:14">
      <c r="B28" t="str">
        <f>IF(IF(OR(LEFT(C28,27)=SUP_Biofuels!$N$8,LEFT(C28,20)=SUP_Biofuels!$O$8,LEFT(C28,20)=SUP_Biofuels!$P$8),LEFT(C28,20),C28)="Specific investment ","Specific investment (M€ /MW",IF(OR(LEFT(C28,27)=SUP_Biofuels!$N$8,LEFT(C28,20)=SUP_Biofuels!$O$8,LEFT(C28,20)=SUP_Biofuels!$P$8),LEFT(C28,20),C28))</f>
        <v xml:space="preserve"> - equipment (%)</v>
      </c>
      <c r="C28" s="881" t="s">
        <v>394</v>
      </c>
      <c r="D28" s="880">
        <v>75</v>
      </c>
      <c r="E28" s="880">
        <v>75</v>
      </c>
      <c r="F28" s="880">
        <v>75</v>
      </c>
      <c r="G28" s="880">
        <v>75</v>
      </c>
      <c r="H28" s="1041"/>
      <c r="I28" s="1041"/>
      <c r="J28" s="1041"/>
      <c r="K28" s="1041"/>
      <c r="L28" s="880" t="s">
        <v>786</v>
      </c>
      <c r="M28" s="880"/>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-installation (%)</v>
      </c>
      <c r="C29" s="881" t="s">
        <v>251</v>
      </c>
      <c r="D29" s="880">
        <v>25</v>
      </c>
      <c r="E29" s="880">
        <v>25</v>
      </c>
      <c r="F29" s="880">
        <v>25</v>
      </c>
      <c r="G29" s="880">
        <v>25</v>
      </c>
      <c r="H29" s="1041"/>
      <c r="I29" s="1041"/>
      <c r="J29" s="1041"/>
      <c r="K29" s="1041"/>
      <c r="L29" s="880"/>
      <c r="M29" s="880"/>
      <c r="N29" s="1013"/>
    </row>
    <row r="30" spans="2:14">
      <c r="B30" t="str">
        <f>IF(IF(OR(LEFT(C30,27)=SUP_Biofuels!$N$8,LEFT(C30,20)=SUP_Biofuels!$O$8,LEFT(C30,20)=SUP_Biofuels!$P$8),LEFT(C30,20),C30)="Specific investment ","Specific investment (M€ /MW",IF(OR(LEFT(C30,27)=SUP_Biofuels!$N$8,LEFT(C30,20)=SUP_Biofuels!$O$8,LEFT(C30,20)=SUP_Biofuels!$P$8),LEFT(C30,20),C30))</f>
        <v>Fixed O&amp;M (€ /l FT Liquids)</v>
      </c>
      <c r="C30" s="881" t="s">
        <v>1338</v>
      </c>
      <c r="D30" s="1046">
        <v>0.25</v>
      </c>
      <c r="E30" s="1046">
        <v>0.15</v>
      </c>
      <c r="F30" s="1046">
        <v>0.1</v>
      </c>
      <c r="G30" s="1046">
        <v>0.05</v>
      </c>
      <c r="H30" s="1040">
        <v>0.9</v>
      </c>
      <c r="I30" s="1040">
        <v>1.1000000000000001</v>
      </c>
      <c r="J30" s="1040">
        <v>0.9</v>
      </c>
      <c r="K30" s="1040">
        <v>1.1000000000000001</v>
      </c>
      <c r="L30" s="880" t="s">
        <v>1335</v>
      </c>
      <c r="M30" s="880">
        <v>18</v>
      </c>
      <c r="N30" s="1013"/>
    </row>
    <row r="31" spans="2:14">
      <c r="B31" t="str">
        <f>IF(IF(OR(LEFT(C31,27)=SUP_Biofuels!$N$8,LEFT(C31,20)=SUP_Biofuels!$O$8,LEFT(C31,20)=SUP_Biofuels!$P$8),LEFT(C31,20),C31)="Specific investment ","Specific investment (M€ /MW",IF(OR(LEFT(C31,27)=SUP_Biofuels!$N$8,LEFT(C31,20)=SUP_Biofuels!$O$8,LEFT(C31,20)=SUP_Biofuels!$P$8),LEFT(C31,20),C31))</f>
        <v>Variable O&amp;M (€ /l FT Liquids)</v>
      </c>
      <c r="C31" s="881" t="s">
        <v>1339</v>
      </c>
      <c r="D31" s="1046">
        <v>0.08</v>
      </c>
      <c r="E31" s="1046">
        <v>0.05</v>
      </c>
      <c r="F31" s="1046">
        <v>0.03</v>
      </c>
      <c r="G31" s="1046">
        <v>0.02</v>
      </c>
      <c r="H31" s="1040">
        <v>0.9</v>
      </c>
      <c r="I31" s="1040">
        <v>1.1000000000000001</v>
      </c>
      <c r="J31" s="1040">
        <v>0.9</v>
      </c>
      <c r="K31" s="1040">
        <v>1.1000000000000001</v>
      </c>
      <c r="L31" s="880" t="s">
        <v>742</v>
      </c>
      <c r="M31" s="880">
        <v>26</v>
      </c>
      <c r="N31" s="1013"/>
    </row>
    <row r="32" spans="2:14">
      <c r="B32" t="str">
        <f>IF(IF(OR(LEFT(C32,27)=SUP_Biofuels!$N$8,LEFT(C32,20)=SUP_Biofuels!$O$8,LEFT(C32,20)=SUP_Biofuels!$P$8),LEFT(C32,20),C32)="Specific investment ","Specific investment (M€ /MW",IF(OR(LEFT(C32,27)=SUP_Biofuels!$N$8,LEFT(C32,20)=SUP_Biofuels!$O$8,LEFT(C32,20)=SUP_Biofuels!$P$8),LEFT(C32,20),C32))</f>
        <v>Start up (€ /l FT Liquids)</v>
      </c>
      <c r="C32" s="881" t="s">
        <v>1336</v>
      </c>
      <c r="D32" s="880">
        <v>0</v>
      </c>
      <c r="E32" s="880">
        <v>0</v>
      </c>
      <c r="F32" s="880">
        <v>0</v>
      </c>
      <c r="G32" s="880">
        <v>0</v>
      </c>
      <c r="H32" s="1041"/>
      <c r="I32" s="1041"/>
      <c r="J32" s="1041"/>
      <c r="K32" s="1041"/>
      <c r="L32" s="880"/>
      <c r="M32" s="880"/>
      <c r="N32" s="1013"/>
    </row>
    <row r="34" spans="3:3">
      <c r="C34" t="s">
        <v>695</v>
      </c>
    </row>
    <row r="35" spans="3:3">
      <c r="C35" t="s">
        <v>1365</v>
      </c>
    </row>
    <row r="36" spans="3:3">
      <c r="C36" t="s">
        <v>1366</v>
      </c>
    </row>
    <row r="37" spans="3:3">
      <c r="C37" t="s">
        <v>1367</v>
      </c>
    </row>
    <row r="38" spans="3:3">
      <c r="C38" t="s">
        <v>1368</v>
      </c>
    </row>
    <row r="39" spans="3:3">
      <c r="C39" t="s">
        <v>1369</v>
      </c>
    </row>
    <row r="40" spans="3:3">
      <c r="C40" t="s">
        <v>1370</v>
      </c>
    </row>
    <row r="41" spans="3:3">
      <c r="C41" t="s">
        <v>1371</v>
      </c>
    </row>
    <row r="42" spans="3:3">
      <c r="C42" t="s">
        <v>1372</v>
      </c>
    </row>
    <row r="43" spans="3:3">
      <c r="C43" t="s">
        <v>1373</v>
      </c>
    </row>
    <row r="44" spans="3:3">
      <c r="C44" t="s">
        <v>1374</v>
      </c>
    </row>
    <row r="45" spans="3:3">
      <c r="C45" t="s">
        <v>1375</v>
      </c>
    </row>
    <row r="46" spans="3:3">
      <c r="C46" t="s">
        <v>1376</v>
      </c>
    </row>
    <row r="47" spans="3:3">
      <c r="C47" t="s">
        <v>1377</v>
      </c>
    </row>
    <row r="48" spans="3:3">
      <c r="C48" t="s">
        <v>1378</v>
      </c>
    </row>
    <row r="49" spans="3:3">
      <c r="C49" t="s">
        <v>1379</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FF10-9F1E-4254-848A-8DFB3E0273E0}">
  <sheetPr>
    <tabColor theme="4" tint="0.39997558519241921"/>
  </sheetPr>
  <dimension ref="B2:S68"/>
  <sheetViews>
    <sheetView showGridLines="0" zoomScaleNormal="100" workbookViewId="0">
      <selection activeCell="B17" sqref="B17"/>
    </sheetView>
  </sheetViews>
  <sheetFormatPr defaultRowHeight="14.4"/>
  <cols>
    <col min="1" max="1" width="2.109375" customWidth="1"/>
    <col min="2" max="2" width="39.88671875" customWidth="1"/>
    <col min="3" max="11" width="7" customWidth="1"/>
  </cols>
  <sheetData>
    <row r="2" spans="2:19">
      <c r="G2" s="884"/>
      <c r="L2" s="811"/>
    </row>
    <row r="3" spans="2:19" ht="15" customHeight="1">
      <c r="B3" s="260" t="s">
        <v>296</v>
      </c>
      <c r="C3" s="1418" t="s">
        <v>1620</v>
      </c>
      <c r="D3" s="1418"/>
      <c r="E3" s="1418"/>
      <c r="F3" s="1418"/>
      <c r="G3" s="1418"/>
      <c r="H3" s="1418"/>
      <c r="I3" s="1418"/>
      <c r="J3" s="1418"/>
      <c r="K3" s="1418"/>
      <c r="L3" s="1418"/>
      <c r="M3" s="812"/>
    </row>
    <row r="4" spans="2:19" ht="15" customHeight="1">
      <c r="B4" s="162"/>
      <c r="C4" s="260">
        <v>2020</v>
      </c>
      <c r="D4" s="260">
        <v>2030</v>
      </c>
      <c r="E4" s="260">
        <v>2040</v>
      </c>
      <c r="F4" s="260">
        <v>2050</v>
      </c>
      <c r="G4" s="1291" t="s">
        <v>290</v>
      </c>
      <c r="H4" s="1291"/>
      <c r="I4" s="1291" t="s">
        <v>289</v>
      </c>
      <c r="J4" s="1291"/>
      <c r="K4" s="1127" t="s">
        <v>288</v>
      </c>
      <c r="L4" s="1127" t="s">
        <v>287</v>
      </c>
    </row>
    <row r="5" spans="2:19">
      <c r="B5" s="190"/>
      <c r="C5" s="190"/>
      <c r="D5" s="190"/>
      <c r="E5" s="190"/>
      <c r="F5" s="190"/>
      <c r="G5" s="928" t="s">
        <v>284</v>
      </c>
      <c r="H5" s="928" t="s">
        <v>283</v>
      </c>
      <c r="I5" s="928" t="s">
        <v>284</v>
      </c>
      <c r="J5" s="928" t="s">
        <v>283</v>
      </c>
      <c r="K5" s="188"/>
      <c r="L5" s="188"/>
    </row>
    <row r="6" spans="2:19">
      <c r="B6" s="186" t="s">
        <v>282</v>
      </c>
      <c r="C6" s="185"/>
      <c r="D6" s="185"/>
      <c r="E6" s="185"/>
      <c r="F6" s="185"/>
      <c r="G6" s="185"/>
      <c r="H6" s="185"/>
      <c r="I6" s="185"/>
      <c r="J6" s="185"/>
      <c r="K6" s="183"/>
      <c r="L6" s="1126"/>
    </row>
    <row r="7" spans="2:19">
      <c r="B7" s="180" t="s">
        <v>1621</v>
      </c>
      <c r="C7" s="1209">
        <v>229</v>
      </c>
      <c r="D7" s="180">
        <f>+C7*2</f>
        <v>458</v>
      </c>
      <c r="E7" s="180">
        <f>+D7*2</f>
        <v>916</v>
      </c>
      <c r="F7" s="180">
        <f>+D7*5</f>
        <v>2290</v>
      </c>
      <c r="G7" s="206">
        <v>1</v>
      </c>
      <c r="H7" s="179">
        <v>1</v>
      </c>
      <c r="I7" s="179">
        <v>1</v>
      </c>
      <c r="J7" s="179">
        <v>1</v>
      </c>
      <c r="K7" s="218" t="s">
        <v>694</v>
      </c>
      <c r="L7" s="178"/>
      <c r="N7" t="s">
        <v>1721</v>
      </c>
      <c r="O7" t="s">
        <v>1720</v>
      </c>
    </row>
    <row r="8" spans="2:19">
      <c r="B8" s="190" t="s">
        <v>1622</v>
      </c>
      <c r="C8" s="1210">
        <v>50</v>
      </c>
      <c r="D8" s="190">
        <v>100</v>
      </c>
      <c r="E8" s="190">
        <v>200</v>
      </c>
      <c r="F8" s="190">
        <v>500</v>
      </c>
      <c r="G8" s="208">
        <v>1</v>
      </c>
      <c r="H8" s="189">
        <v>1</v>
      </c>
      <c r="I8" s="189">
        <v>1</v>
      </c>
      <c r="J8" s="189">
        <v>1</v>
      </c>
      <c r="K8" s="217"/>
      <c r="L8" s="188"/>
      <c r="N8">
        <v>130</v>
      </c>
      <c r="O8">
        <v>107000</v>
      </c>
      <c r="P8" t="s">
        <v>1716</v>
      </c>
    </row>
    <row r="9" spans="2:19">
      <c r="B9" s="186" t="s">
        <v>275</v>
      </c>
      <c r="C9" s="185"/>
      <c r="D9" s="185"/>
      <c r="E9" s="185"/>
      <c r="F9" s="185"/>
      <c r="G9" s="185"/>
      <c r="H9" s="185"/>
      <c r="I9" s="185"/>
      <c r="J9" s="185"/>
      <c r="K9" s="183"/>
      <c r="L9" s="1126"/>
    </row>
    <row r="10" spans="2:19">
      <c r="B10" s="180" t="s">
        <v>1623</v>
      </c>
      <c r="C10" s="201">
        <v>0.83899999999999997</v>
      </c>
      <c r="D10" s="201">
        <v>0.83899999999999997</v>
      </c>
      <c r="E10" s="201">
        <v>0.83899999999999997</v>
      </c>
      <c r="F10" s="201">
        <v>0.83899999999999997</v>
      </c>
      <c r="G10" s="206">
        <v>0.98</v>
      </c>
      <c r="H10" s="206">
        <v>1.02</v>
      </c>
      <c r="I10" s="206">
        <f t="shared" ref="I10:J12" si="0">+G10</f>
        <v>0.98</v>
      </c>
      <c r="J10" s="206">
        <f t="shared" si="0"/>
        <v>1.02</v>
      </c>
      <c r="K10" s="178" t="s">
        <v>692</v>
      </c>
      <c r="L10" s="178" t="s">
        <v>927</v>
      </c>
      <c r="N10">
        <v>53.6</v>
      </c>
      <c r="O10">
        <v>53.6</v>
      </c>
      <c r="P10" t="s">
        <v>1461</v>
      </c>
    </row>
    <row r="11" spans="2:19">
      <c r="B11" s="1211" t="s">
        <v>1624</v>
      </c>
      <c r="C11" s="1212">
        <v>0.18</v>
      </c>
      <c r="D11" s="1212">
        <v>0.18</v>
      </c>
      <c r="E11" s="1212">
        <v>0.18</v>
      </c>
      <c r="F11" s="1212">
        <v>0.18</v>
      </c>
      <c r="G11" s="205">
        <v>0.98</v>
      </c>
      <c r="H11" s="205">
        <v>1.02</v>
      </c>
      <c r="I11" s="205">
        <f t="shared" si="0"/>
        <v>0.98</v>
      </c>
      <c r="J11" s="205">
        <f t="shared" si="0"/>
        <v>1.02</v>
      </c>
      <c r="K11" s="178" t="s">
        <v>692</v>
      </c>
      <c r="L11" s="178" t="s">
        <v>927</v>
      </c>
      <c r="N11" s="1231">
        <v>1</v>
      </c>
      <c r="O11" s="1231">
        <v>3.6999999999999998E-2</v>
      </c>
      <c r="P11" t="s">
        <v>1719</v>
      </c>
    </row>
    <row r="12" spans="2:19">
      <c r="B12" s="1211" t="s">
        <v>103</v>
      </c>
      <c r="C12" s="1212">
        <v>0.94699999999999995</v>
      </c>
      <c r="D12" s="1212">
        <v>0.94699999999999995</v>
      </c>
      <c r="E12" s="1212">
        <v>0.94699999999999995</v>
      </c>
      <c r="F12" s="1212">
        <v>0.94699999999999995</v>
      </c>
      <c r="G12" s="205">
        <v>0.98</v>
      </c>
      <c r="H12" s="205">
        <v>1.02</v>
      </c>
      <c r="I12" s="205">
        <f t="shared" si="0"/>
        <v>0.98</v>
      </c>
      <c r="J12" s="205">
        <f t="shared" si="0"/>
        <v>1.02</v>
      </c>
      <c r="K12" s="178" t="s">
        <v>692</v>
      </c>
      <c r="L12" s="178" t="s">
        <v>927</v>
      </c>
      <c r="M12" s="812"/>
      <c r="N12">
        <f>N8/N10*N11</f>
        <v>2.4253731343283582</v>
      </c>
      <c r="O12">
        <f>O8/O10*O11</f>
        <v>73.861940298507449</v>
      </c>
      <c r="P12" t="s">
        <v>1718</v>
      </c>
      <c r="S12" s="5"/>
    </row>
    <row r="13" spans="2:19">
      <c r="B13" s="190" t="s">
        <v>104</v>
      </c>
      <c r="C13" s="272">
        <v>5.2999999999999999E-2</v>
      </c>
      <c r="D13" s="272">
        <v>5.2999999999999999E-2</v>
      </c>
      <c r="E13" s="272">
        <v>5.2999999999999999E-2</v>
      </c>
      <c r="F13" s="272">
        <v>5.2999999999999999E-2</v>
      </c>
      <c r="G13" s="208">
        <v>0.95</v>
      </c>
      <c r="H13" s="208">
        <v>1.1000000000000001</v>
      </c>
      <c r="I13" s="208">
        <v>0.75</v>
      </c>
      <c r="J13" s="208">
        <v>1.5</v>
      </c>
      <c r="K13" s="188" t="s">
        <v>272</v>
      </c>
      <c r="L13" s="178" t="s">
        <v>927</v>
      </c>
    </row>
    <row r="14" spans="2:19">
      <c r="B14" s="186" t="s">
        <v>271</v>
      </c>
      <c r="C14" s="1213"/>
      <c r="D14" s="1213"/>
      <c r="E14" s="1213"/>
      <c r="F14" s="1213"/>
      <c r="G14" s="213"/>
      <c r="H14" s="213"/>
      <c r="I14" s="213"/>
      <c r="J14" s="213"/>
      <c r="K14" s="183"/>
      <c r="L14" s="1126"/>
      <c r="N14" s="1">
        <f>N12*28</f>
        <v>67.910447761194035</v>
      </c>
      <c r="O14" s="4">
        <f>O12*28</f>
        <v>2068.1343283582087</v>
      </c>
      <c r="P14" t="s">
        <v>1717</v>
      </c>
    </row>
    <row r="15" spans="2:19">
      <c r="B15" s="180" t="s">
        <v>1625</v>
      </c>
      <c r="C15" s="1214">
        <v>0.82299999999999995</v>
      </c>
      <c r="D15" s="1214">
        <v>0.82299999999999995</v>
      </c>
      <c r="E15" s="1214">
        <v>0.82299999999999995</v>
      </c>
      <c r="F15" s="1214">
        <v>0.82299999999999995</v>
      </c>
      <c r="G15" s="206">
        <v>0.98</v>
      </c>
      <c r="H15" s="206">
        <v>1.02</v>
      </c>
      <c r="I15" s="206">
        <f>+G15</f>
        <v>0.98</v>
      </c>
      <c r="J15" s="206">
        <f>+H15</f>
        <v>1.02</v>
      </c>
      <c r="K15" s="178"/>
      <c r="L15" s="178" t="s">
        <v>927</v>
      </c>
    </row>
    <row r="16" spans="2:19">
      <c r="B16" s="268" t="s">
        <v>1626</v>
      </c>
      <c r="C16" s="1215">
        <v>0.108</v>
      </c>
      <c r="D16" s="1216">
        <v>0.108</v>
      </c>
      <c r="E16" s="1216">
        <v>0.108</v>
      </c>
      <c r="F16" s="1216">
        <v>0.108</v>
      </c>
      <c r="G16" s="206">
        <v>0.98</v>
      </c>
      <c r="H16" s="206">
        <v>1.02</v>
      </c>
      <c r="I16" s="206">
        <f>+G16</f>
        <v>0.98</v>
      </c>
      <c r="J16" s="206">
        <f>+H16</f>
        <v>1.02</v>
      </c>
      <c r="K16" s="270" t="s">
        <v>269</v>
      </c>
      <c r="L16" s="178" t="s">
        <v>927</v>
      </c>
    </row>
    <row r="17" spans="2:14">
      <c r="B17" s="190" t="s">
        <v>109</v>
      </c>
      <c r="C17" s="1217">
        <v>3.7999999999999999E-2</v>
      </c>
      <c r="D17" s="1217">
        <v>3.7999999999999999E-2</v>
      </c>
      <c r="E17" s="1217">
        <v>3.7999999999999999E-2</v>
      </c>
      <c r="F17" s="1217">
        <v>3.7999999999999999E-2</v>
      </c>
      <c r="G17" s="208">
        <v>0</v>
      </c>
      <c r="H17" s="208">
        <v>1</v>
      </c>
      <c r="I17" s="208">
        <v>0</v>
      </c>
      <c r="J17" s="208">
        <v>1</v>
      </c>
      <c r="K17" s="188" t="s">
        <v>266</v>
      </c>
      <c r="L17" s="178" t="s">
        <v>927</v>
      </c>
    </row>
    <row r="18" spans="2:14">
      <c r="B18" s="207"/>
      <c r="C18" s="185"/>
      <c r="D18" s="185"/>
      <c r="E18" s="185"/>
      <c r="F18" s="185"/>
      <c r="G18" s="185"/>
      <c r="H18" s="185"/>
      <c r="I18" s="185"/>
      <c r="J18" s="185"/>
      <c r="K18" s="183"/>
      <c r="L18" s="1126"/>
    </row>
    <row r="19" spans="2:14">
      <c r="B19" s="1209" t="s">
        <v>1627</v>
      </c>
      <c r="C19" s="206">
        <v>0.05</v>
      </c>
      <c r="D19" s="206">
        <v>0.03</v>
      </c>
      <c r="E19" s="206">
        <v>0.03</v>
      </c>
      <c r="F19" s="206">
        <v>0.02</v>
      </c>
      <c r="G19" s="206">
        <v>0.02</v>
      </c>
      <c r="H19" s="206">
        <v>0.08</v>
      </c>
      <c r="I19" s="206">
        <v>0.02</v>
      </c>
      <c r="J19" s="206">
        <v>0.04</v>
      </c>
      <c r="K19" s="178"/>
      <c r="L19" s="178" t="s">
        <v>923</v>
      </c>
    </row>
    <row r="20" spans="2:14">
      <c r="B20" s="162" t="s">
        <v>92</v>
      </c>
      <c r="C20" s="205">
        <v>0.03</v>
      </c>
      <c r="D20" s="205">
        <v>0.03</v>
      </c>
      <c r="E20" s="205">
        <v>0.03</v>
      </c>
      <c r="F20" s="205">
        <v>0.03</v>
      </c>
      <c r="G20" s="205"/>
      <c r="H20" s="205"/>
      <c r="I20" s="205"/>
      <c r="J20" s="205"/>
      <c r="K20" s="1128"/>
      <c r="L20" s="178" t="s">
        <v>923</v>
      </c>
    </row>
    <row r="21" spans="2:14">
      <c r="B21" s="1211" t="s">
        <v>1628</v>
      </c>
      <c r="C21" s="949" t="s">
        <v>1629</v>
      </c>
      <c r="D21" s="949" t="s">
        <v>1629</v>
      </c>
      <c r="E21" s="949" t="s">
        <v>1629</v>
      </c>
      <c r="F21" s="949" t="s">
        <v>1629</v>
      </c>
      <c r="G21" s="205"/>
      <c r="H21" s="205"/>
      <c r="I21" s="205"/>
      <c r="J21" s="205"/>
      <c r="K21" s="1128"/>
      <c r="L21" s="178" t="s">
        <v>925</v>
      </c>
      <c r="M21" s="811"/>
    </row>
    <row r="22" spans="2:14">
      <c r="B22" s="162" t="s">
        <v>58</v>
      </c>
      <c r="C22" s="162">
        <v>30</v>
      </c>
      <c r="D22" s="162">
        <v>30</v>
      </c>
      <c r="E22" s="162">
        <v>30</v>
      </c>
      <c r="F22" s="162">
        <v>30</v>
      </c>
      <c r="G22" s="162"/>
      <c r="H22" s="162"/>
      <c r="I22" s="162"/>
      <c r="J22" s="162"/>
      <c r="K22" s="1128"/>
      <c r="L22" s="1128"/>
      <c r="N22" s="5"/>
    </row>
    <row r="23" spans="2:14">
      <c r="B23" s="190" t="s">
        <v>60</v>
      </c>
      <c r="C23" s="190">
        <v>2</v>
      </c>
      <c r="D23" s="190">
        <v>2</v>
      </c>
      <c r="E23" s="190">
        <v>2</v>
      </c>
      <c r="F23" s="190">
        <v>2</v>
      </c>
      <c r="G23" s="190"/>
      <c r="H23" s="190"/>
      <c r="I23" s="190"/>
      <c r="J23" s="190"/>
      <c r="K23" s="188"/>
      <c r="L23" s="188"/>
      <c r="N23" s="5"/>
    </row>
    <row r="24" spans="2:14">
      <c r="B24" s="186" t="s">
        <v>264</v>
      </c>
      <c r="C24" s="185"/>
      <c r="D24" s="185"/>
      <c r="E24" s="185"/>
      <c r="F24" s="185"/>
      <c r="G24" s="185"/>
      <c r="H24" s="185"/>
      <c r="I24" s="185"/>
      <c r="J24" s="185"/>
      <c r="K24" s="183"/>
      <c r="L24" s="1126"/>
    </row>
    <row r="25" spans="2:14">
      <c r="B25" s="180" t="s">
        <v>1630</v>
      </c>
      <c r="C25" s="933">
        <v>1.586288872912142</v>
      </c>
      <c r="D25" s="933">
        <v>1.2974289346221439</v>
      </c>
      <c r="E25" s="933">
        <v>1.0611697964598805</v>
      </c>
      <c r="F25" s="933">
        <v>0.81354630677182382</v>
      </c>
      <c r="G25" s="1218">
        <v>1.24</v>
      </c>
      <c r="H25" s="1218">
        <v>2.09</v>
      </c>
      <c r="I25" s="1218">
        <v>0.56999999999999995</v>
      </c>
      <c r="J25" s="1218">
        <v>0.95</v>
      </c>
      <c r="K25" s="178" t="s">
        <v>1631</v>
      </c>
      <c r="L25" s="178" t="s">
        <v>923</v>
      </c>
      <c r="M25" s="812"/>
      <c r="N25" s="5"/>
    </row>
    <row r="26" spans="2:14">
      <c r="B26" s="162" t="s">
        <v>252</v>
      </c>
      <c r="C26" s="1130">
        <v>50</v>
      </c>
      <c r="D26" s="1130">
        <v>50</v>
      </c>
      <c r="E26" s="1130">
        <v>50</v>
      </c>
      <c r="F26" s="1130">
        <v>50</v>
      </c>
      <c r="G26" s="167"/>
      <c r="H26" s="167"/>
      <c r="I26" s="167"/>
      <c r="J26" s="167"/>
      <c r="K26" s="1128"/>
      <c r="L26" s="178" t="s">
        <v>923</v>
      </c>
      <c r="M26" s="811"/>
    </row>
    <row r="27" spans="2:14">
      <c r="B27" s="162" t="s">
        <v>251</v>
      </c>
      <c r="C27" s="1130">
        <v>50</v>
      </c>
      <c r="D27" s="1130">
        <v>50</v>
      </c>
      <c r="E27" s="1130">
        <v>50</v>
      </c>
      <c r="F27" s="1130">
        <v>50</v>
      </c>
      <c r="G27" s="167"/>
      <c r="H27" s="167"/>
      <c r="I27" s="167"/>
      <c r="J27" s="167"/>
      <c r="K27" s="1128"/>
      <c r="L27" s="178" t="s">
        <v>923</v>
      </c>
      <c r="M27" s="811"/>
    </row>
    <row r="28" spans="2:14">
      <c r="B28" s="162" t="s">
        <v>1632</v>
      </c>
      <c r="C28" s="937">
        <v>47.588666187364261</v>
      </c>
      <c r="D28" s="937">
        <v>38.922868038664312</v>
      </c>
      <c r="E28" s="937">
        <v>31.835093893796415</v>
      </c>
      <c r="F28" s="937">
        <v>24.406389203154713</v>
      </c>
      <c r="G28" s="937">
        <f>+G25*0.03*1000</f>
        <v>37.199999999999996</v>
      </c>
      <c r="H28" s="937">
        <f t="shared" ref="H28:J28" si="1">+H25*0.03*1000</f>
        <v>62.699999999999989</v>
      </c>
      <c r="I28" s="937">
        <f t="shared" si="1"/>
        <v>17.099999999999998</v>
      </c>
      <c r="J28" s="937">
        <f t="shared" si="1"/>
        <v>28.499999999999996</v>
      </c>
      <c r="K28" s="1128" t="s">
        <v>389</v>
      </c>
      <c r="L28" s="178" t="s">
        <v>923</v>
      </c>
      <c r="M28" s="811"/>
    </row>
    <row r="29" spans="2:14">
      <c r="B29" s="162" t="s">
        <v>1633</v>
      </c>
      <c r="C29" s="197">
        <v>0.02</v>
      </c>
      <c r="D29" s="197">
        <v>0.02</v>
      </c>
      <c r="E29" s="197">
        <v>0.02</v>
      </c>
      <c r="F29" s="197">
        <v>0.02</v>
      </c>
      <c r="G29" s="197">
        <v>0.01</v>
      </c>
      <c r="H29" s="197">
        <v>0.04</v>
      </c>
      <c r="I29" s="197">
        <v>0.01</v>
      </c>
      <c r="J29" s="197">
        <v>0.04</v>
      </c>
      <c r="K29" s="1128" t="s">
        <v>393</v>
      </c>
      <c r="L29" s="178" t="s">
        <v>923</v>
      </c>
      <c r="M29" s="811"/>
      <c r="N29" s="5"/>
    </row>
    <row r="30" spans="2:14">
      <c r="B30" s="190" t="s">
        <v>1634</v>
      </c>
      <c r="C30" s="190" t="s">
        <v>1635</v>
      </c>
      <c r="D30" s="190" t="s">
        <v>1635</v>
      </c>
      <c r="E30" s="162" t="s">
        <v>1635</v>
      </c>
      <c r="F30" s="162" t="s">
        <v>1635</v>
      </c>
      <c r="G30" s="189"/>
      <c r="H30" s="189"/>
      <c r="I30" s="189"/>
      <c r="J30" s="189"/>
      <c r="K30" s="188"/>
      <c r="L30" s="188"/>
      <c r="M30" s="811"/>
    </row>
    <row r="31" spans="2:14">
      <c r="B31" s="186" t="s">
        <v>260</v>
      </c>
      <c r="C31" s="185"/>
      <c r="D31" s="185"/>
      <c r="E31" s="185"/>
      <c r="F31" s="185"/>
      <c r="G31" s="184"/>
      <c r="H31" s="184"/>
      <c r="I31" s="184"/>
      <c r="J31" s="184"/>
      <c r="K31" s="183"/>
      <c r="L31" s="1126"/>
      <c r="M31" s="811"/>
    </row>
    <row r="32" spans="2:14">
      <c r="B32" s="1219" t="s">
        <v>1636</v>
      </c>
      <c r="C32" s="1209">
        <v>1.0900000000000001</v>
      </c>
      <c r="D32" s="1209">
        <v>1.0900000000000001</v>
      </c>
      <c r="E32" s="1209">
        <v>1.0900000000000001</v>
      </c>
      <c r="F32" s="1209">
        <v>1.0900000000000001</v>
      </c>
      <c r="G32" s="1220">
        <v>0.97</v>
      </c>
      <c r="H32" s="1220">
        <v>1</v>
      </c>
      <c r="I32" s="1220">
        <v>0.97</v>
      </c>
      <c r="J32" s="1220">
        <v>1</v>
      </c>
      <c r="K32" s="1221" t="s">
        <v>255</v>
      </c>
      <c r="L32" s="178" t="s">
        <v>923</v>
      </c>
      <c r="M32" s="812"/>
    </row>
    <row r="33" spans="2:14">
      <c r="B33" s="180" t="s">
        <v>1637</v>
      </c>
      <c r="C33" s="180">
        <v>18.899999999999999</v>
      </c>
      <c r="D33" s="180">
        <v>18.899999999999999</v>
      </c>
      <c r="E33" s="180">
        <v>18.899999999999999</v>
      </c>
      <c r="F33" s="180">
        <v>18.899999999999999</v>
      </c>
      <c r="G33" s="179"/>
      <c r="H33" s="179"/>
      <c r="I33" s="179"/>
      <c r="J33" s="179"/>
      <c r="K33" s="178"/>
      <c r="L33" s="178"/>
    </row>
    <row r="34" spans="2:14">
      <c r="B34" s="162" t="s">
        <v>1638</v>
      </c>
      <c r="C34" s="162">
        <v>626</v>
      </c>
      <c r="D34" s="162">
        <v>626</v>
      </c>
      <c r="E34" s="162">
        <v>626</v>
      </c>
      <c r="F34" s="162">
        <v>626</v>
      </c>
      <c r="G34" s="167"/>
      <c r="H34" s="167"/>
      <c r="I34" s="167"/>
      <c r="J34" s="167"/>
      <c r="K34" s="1128"/>
      <c r="L34" s="1128"/>
    </row>
    <row r="35" spans="2:14">
      <c r="B35" s="162" t="s">
        <v>1639</v>
      </c>
      <c r="C35" s="197">
        <v>0.34635128229522749</v>
      </c>
      <c r="D35" s="197">
        <v>0.28328142677339391</v>
      </c>
      <c r="E35" s="197">
        <v>0.23169646210914421</v>
      </c>
      <c r="F35" s="197">
        <v>0.1776301979851144</v>
      </c>
      <c r="G35" s="176">
        <v>0.27074235807860264</v>
      </c>
      <c r="H35" s="176">
        <v>0.45633187772925765</v>
      </c>
      <c r="I35" s="176">
        <v>0.12445414847161572</v>
      </c>
      <c r="J35" s="176">
        <v>0.20742358078602621</v>
      </c>
      <c r="K35" s="1128" t="s">
        <v>1640</v>
      </c>
      <c r="L35" s="178" t="s">
        <v>923</v>
      </c>
    </row>
    <row r="36" spans="2:14">
      <c r="B36" s="162" t="s">
        <v>1641</v>
      </c>
      <c r="C36" s="176">
        <v>10.390538468856825</v>
      </c>
      <c r="D36" s="176">
        <v>8.4984428032018169</v>
      </c>
      <c r="E36" s="176">
        <v>6.9508938632743256</v>
      </c>
      <c r="F36" s="176">
        <v>5.3289059395534313</v>
      </c>
      <c r="G36" s="176">
        <v>8.1222707423580793</v>
      </c>
      <c r="H36" s="176">
        <v>13.689956331877729</v>
      </c>
      <c r="I36" s="176">
        <v>3.7336244541484715</v>
      </c>
      <c r="J36" s="176">
        <v>6.2227074235807862</v>
      </c>
      <c r="K36" s="1128"/>
      <c r="L36" s="178" t="s">
        <v>923</v>
      </c>
    </row>
    <row r="37" spans="2:14">
      <c r="B37" s="162" t="s">
        <v>1642</v>
      </c>
      <c r="C37" s="197">
        <v>0.1</v>
      </c>
      <c r="D37" s="197">
        <v>0.1</v>
      </c>
      <c r="E37" s="197">
        <v>0.1</v>
      </c>
      <c r="F37" s="197">
        <v>0.1</v>
      </c>
      <c r="G37" s="197">
        <v>0.05</v>
      </c>
      <c r="H37" s="197">
        <v>0.2</v>
      </c>
      <c r="I37" s="197">
        <v>0.05</v>
      </c>
      <c r="J37" s="197">
        <v>0.2</v>
      </c>
      <c r="K37" s="1128"/>
      <c r="L37" s="178" t="s">
        <v>923</v>
      </c>
      <c r="N37" s="5"/>
    </row>
    <row r="38" spans="2:14">
      <c r="B38" s="162" t="s">
        <v>1643</v>
      </c>
      <c r="C38" s="162" t="s">
        <v>1635</v>
      </c>
      <c r="D38" s="162" t="s">
        <v>1635</v>
      </c>
      <c r="E38" s="162" t="s">
        <v>1635</v>
      </c>
      <c r="F38" s="162" t="s">
        <v>1635</v>
      </c>
      <c r="G38" s="162"/>
      <c r="H38" s="162"/>
      <c r="I38" s="162"/>
      <c r="J38" s="162"/>
      <c r="K38" s="1128"/>
      <c r="L38" s="1128"/>
    </row>
    <row r="40" spans="2:14">
      <c r="B40" s="886" t="s">
        <v>695</v>
      </c>
    </row>
    <row r="41" spans="2:14">
      <c r="B41" s="885" t="s">
        <v>1644</v>
      </c>
    </row>
    <row r="42" spans="2:14">
      <c r="B42" s="885" t="s">
        <v>1645</v>
      </c>
    </row>
    <row r="43" spans="2:14">
      <c r="B43" s="1222" t="s">
        <v>1646</v>
      </c>
    </row>
    <row r="44" spans="2:14">
      <c r="B44" s="885" t="s">
        <v>1647</v>
      </c>
    </row>
    <row r="45" spans="2:14">
      <c r="B45" s="885" t="s">
        <v>1648</v>
      </c>
    </row>
    <row r="46" spans="2:14">
      <c r="B46" s="1222" t="s">
        <v>1649</v>
      </c>
    </row>
    <row r="47" spans="2:14">
      <c r="B47" s="885" t="s">
        <v>1650</v>
      </c>
    </row>
    <row r="48" spans="2:14">
      <c r="B48" s="885" t="s">
        <v>1651</v>
      </c>
    </row>
    <row r="49" spans="2:2">
      <c r="B49" s="885" t="s">
        <v>1652</v>
      </c>
    </row>
    <row r="50" spans="2:2">
      <c r="B50" s="885" t="s">
        <v>1653</v>
      </c>
    </row>
    <row r="52" spans="2:2">
      <c r="B52" s="886" t="s">
        <v>989</v>
      </c>
    </row>
    <row r="53" spans="2:2">
      <c r="B53" s="885" t="s">
        <v>1654</v>
      </c>
    </row>
    <row r="54" spans="2:2">
      <c r="B54" s="885" t="s">
        <v>1655</v>
      </c>
    </row>
    <row r="55" spans="2:2">
      <c r="B55" s="885" t="s">
        <v>1656</v>
      </c>
    </row>
    <row r="56" spans="2:2">
      <c r="B56" s="885"/>
    </row>
    <row r="64" spans="2:2">
      <c r="B64" s="885"/>
    </row>
    <row r="65" spans="2:2">
      <c r="B65" s="885"/>
    </row>
    <row r="66" spans="2:2">
      <c r="B66" s="885"/>
    </row>
    <row r="67" spans="2:2">
      <c r="B67" s="885"/>
    </row>
    <row r="68" spans="2:2">
      <c r="B68" s="885"/>
    </row>
  </sheetData>
  <mergeCells count="3">
    <mergeCell ref="C3:L3"/>
    <mergeCell ref="G4:H4"/>
    <mergeCell ref="I4:J4"/>
  </mergeCell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390C7-6A0D-4DDB-B04F-C3F9A872093E}">
  <sheetPr>
    <tabColor rgb="FFFF0000"/>
  </sheetPr>
  <dimension ref="A2:N66"/>
  <sheetViews>
    <sheetView showGridLines="0" workbookViewId="0">
      <selection activeCell="B56" sqref="B56"/>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1657</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1658</v>
      </c>
      <c r="D6" s="1167">
        <v>77</v>
      </c>
      <c r="E6" s="1167">
        <v>85</v>
      </c>
      <c r="F6" s="1174">
        <v>93.5</v>
      </c>
      <c r="G6" s="1174">
        <v>38.5</v>
      </c>
      <c r="H6" s="1174">
        <v>115.5</v>
      </c>
      <c r="I6" s="1167">
        <v>47</v>
      </c>
      <c r="J6" s="1167">
        <v>140</v>
      </c>
      <c r="K6" s="1168" t="s">
        <v>1659</v>
      </c>
      <c r="L6" s="1166"/>
    </row>
    <row r="7" spans="1:14">
      <c r="A7" s="1162"/>
      <c r="B7" s="1164" t="s">
        <v>1660</v>
      </c>
      <c r="C7" s="1167" t="s">
        <v>1658</v>
      </c>
      <c r="D7" s="1167">
        <v>32</v>
      </c>
      <c r="E7" s="1167">
        <v>35</v>
      </c>
      <c r="F7" s="1167">
        <v>39</v>
      </c>
      <c r="G7" s="1167">
        <v>16</v>
      </c>
      <c r="H7" s="1167">
        <v>48</v>
      </c>
      <c r="I7" s="1174">
        <v>19.5</v>
      </c>
      <c r="J7" s="1174">
        <v>58.5</v>
      </c>
      <c r="K7" s="1168" t="s">
        <v>1661</v>
      </c>
      <c r="L7" s="1166" t="s">
        <v>925</v>
      </c>
    </row>
    <row r="8" spans="1:14">
      <c r="A8" s="1162"/>
      <c r="B8" s="1164" t="s">
        <v>1662</v>
      </c>
      <c r="C8" s="1167" t="s">
        <v>1658</v>
      </c>
      <c r="D8" s="1167">
        <v>23000</v>
      </c>
      <c r="E8" s="1167">
        <v>25000</v>
      </c>
      <c r="F8" s="1167">
        <v>28000</v>
      </c>
      <c r="G8" s="1167" t="s">
        <v>1663</v>
      </c>
      <c r="H8" s="1167">
        <v>35000</v>
      </c>
      <c r="I8" s="1167">
        <v>14000</v>
      </c>
      <c r="J8" s="1167" t="s">
        <v>1664</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78</v>
      </c>
      <c r="E11" s="1167">
        <v>80</v>
      </c>
      <c r="F11" s="1167">
        <v>82</v>
      </c>
      <c r="G11" s="1167">
        <v>76</v>
      </c>
      <c r="H11" s="1167">
        <v>80</v>
      </c>
      <c r="I11" s="1167">
        <v>78</v>
      </c>
      <c r="J11" s="1167">
        <v>84</v>
      </c>
      <c r="K11" s="1168" t="s">
        <v>1668</v>
      </c>
      <c r="L11" s="1166" t="s">
        <v>925</v>
      </c>
    </row>
    <row r="12" spans="1:14">
      <c r="A12" s="1162"/>
      <c r="B12" s="1164" t="s">
        <v>1669</v>
      </c>
      <c r="C12" s="1167" t="s">
        <v>1658</v>
      </c>
      <c r="D12" s="1167">
        <v>22</v>
      </c>
      <c r="E12" s="1167">
        <v>20</v>
      </c>
      <c r="F12" s="1167">
        <v>18</v>
      </c>
      <c r="G12" s="1167">
        <v>20</v>
      </c>
      <c r="H12" s="1167">
        <v>24</v>
      </c>
      <c r="I12" s="1167">
        <v>16</v>
      </c>
      <c r="J12" s="1167">
        <v>22</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c r="E14" s="1229"/>
      <c r="F14" s="1229"/>
      <c r="G14" s="1226"/>
      <c r="H14" s="1226"/>
      <c r="I14" s="1226"/>
      <c r="J14" s="1226"/>
      <c r="K14" s="1228"/>
      <c r="L14" s="1227"/>
    </row>
    <row r="15" spans="1:14">
      <c r="A15" s="1162"/>
      <c r="B15" s="1164" t="s">
        <v>1671</v>
      </c>
      <c r="C15" s="1167" t="s">
        <v>1658</v>
      </c>
      <c r="D15" s="1167">
        <v>41</v>
      </c>
      <c r="E15" s="1167">
        <v>42</v>
      </c>
      <c r="F15" s="1167">
        <v>43</v>
      </c>
      <c r="G15" s="1167">
        <v>37</v>
      </c>
      <c r="H15" s="1167">
        <v>45</v>
      </c>
      <c r="I15" s="1167">
        <v>39</v>
      </c>
      <c r="J15" s="1167">
        <v>47</v>
      </c>
      <c r="K15" s="1168" t="s">
        <v>1661</v>
      </c>
      <c r="L15" s="1166" t="s">
        <v>925</v>
      </c>
      <c r="M15" s="1175"/>
      <c r="N15" s="1230"/>
    </row>
    <row r="16" spans="1:14">
      <c r="A16" s="1162"/>
      <c r="B16" s="1164" t="s">
        <v>1672</v>
      </c>
      <c r="C16" s="1167" t="s">
        <v>1658</v>
      </c>
      <c r="D16" s="1167">
        <v>28</v>
      </c>
      <c r="E16" s="1167">
        <v>29</v>
      </c>
      <c r="F16" s="1167">
        <v>30</v>
      </c>
      <c r="G16" s="1167">
        <v>25</v>
      </c>
      <c r="H16" s="1167">
        <v>31</v>
      </c>
      <c r="I16" s="1167">
        <v>27</v>
      </c>
      <c r="J16" s="1167">
        <v>33</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t="s">
        <v>925</v>
      </c>
    </row>
    <row r="18" spans="1:13">
      <c r="A18" s="1162"/>
      <c r="B18" s="1164" t="s">
        <v>1676</v>
      </c>
      <c r="C18" s="1167" t="s">
        <v>1658</v>
      </c>
      <c r="D18" s="1167">
        <v>16</v>
      </c>
      <c r="E18" s="1167">
        <v>15</v>
      </c>
      <c r="F18" s="1167">
        <v>14</v>
      </c>
      <c r="G18" s="1167">
        <f>D18-D18*0.5</f>
        <v>8</v>
      </c>
      <c r="H18" s="1167">
        <f>D18+D18*0.5</f>
        <v>24</v>
      </c>
      <c r="I18" s="1167">
        <f>F18-F18*0.5</f>
        <v>7</v>
      </c>
      <c r="J18" s="1167">
        <f>F18+F18*0.5</f>
        <v>21</v>
      </c>
      <c r="K18" s="1168" t="s">
        <v>1670</v>
      </c>
      <c r="L18" s="1166" t="s">
        <v>925</v>
      </c>
    </row>
    <row r="19" spans="1:13" ht="14.4" customHeight="1">
      <c r="A19" s="1162"/>
      <c r="B19" s="1164" t="s">
        <v>1677</v>
      </c>
      <c r="C19" s="1167" t="s">
        <v>1658</v>
      </c>
      <c r="D19" s="1167">
        <v>6</v>
      </c>
      <c r="E19" s="1167">
        <v>6</v>
      </c>
      <c r="F19" s="1167">
        <v>6</v>
      </c>
      <c r="G19" s="1167">
        <v>5</v>
      </c>
      <c r="H19" s="1167">
        <f>D19+D19*0.5</f>
        <v>9</v>
      </c>
      <c r="I19" s="1167">
        <f>F19-F19*0.5</f>
        <v>3</v>
      </c>
      <c r="J19" s="1167">
        <f>F19+F19*0.5</f>
        <v>9</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10</v>
      </c>
      <c r="E22" s="1167">
        <v>4</v>
      </c>
      <c r="F22" s="1167">
        <v>2</v>
      </c>
      <c r="G22" s="1167">
        <v>10</v>
      </c>
      <c r="H22" s="1167">
        <v>22</v>
      </c>
      <c r="I22" s="1167">
        <v>0</v>
      </c>
      <c r="J22" s="1167">
        <v>0</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1679</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1681</v>
      </c>
      <c r="C26" s="1177"/>
      <c r="D26" s="1177"/>
      <c r="E26" s="1177"/>
      <c r="F26" s="1177"/>
      <c r="G26" s="1177"/>
      <c r="H26" s="1177"/>
      <c r="I26" s="1177"/>
      <c r="J26" s="1177"/>
      <c r="K26" s="1177"/>
      <c r="L26" s="1177"/>
    </row>
    <row r="27" spans="1:13" ht="22.8">
      <c r="A27" s="1162"/>
      <c r="B27" s="1164" t="s">
        <v>1682</v>
      </c>
      <c r="C27" s="1167" t="s">
        <v>1658</v>
      </c>
      <c r="D27" s="1174">
        <v>0.6</v>
      </c>
      <c r="E27" s="1174">
        <v>0.55000000000000004</v>
      </c>
      <c r="F27" s="1174">
        <v>0.48499999999999999</v>
      </c>
      <c r="G27" s="1174">
        <v>0.3</v>
      </c>
      <c r="H27" s="1174">
        <v>0.9</v>
      </c>
      <c r="I27" s="1174">
        <v>0.2</v>
      </c>
      <c r="J27" s="1174">
        <v>0.7</v>
      </c>
      <c r="K27" s="1168" t="s">
        <v>1683</v>
      </c>
      <c r="L27" s="1166" t="s">
        <v>1684</v>
      </c>
      <c r="M27" s="1178"/>
    </row>
    <row r="28" spans="1:13">
      <c r="A28" s="1162"/>
      <c r="B28" s="1164" t="s">
        <v>954</v>
      </c>
      <c r="C28" s="1167" t="s">
        <v>1658</v>
      </c>
      <c r="D28" s="1167">
        <v>50</v>
      </c>
      <c r="E28" s="1167">
        <v>50</v>
      </c>
      <c r="F28" s="1167">
        <v>50</v>
      </c>
      <c r="G28" s="1167">
        <v>45</v>
      </c>
      <c r="H28" s="1167" t="s">
        <v>1685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D27*0.02*1000000</f>
        <v>12000</v>
      </c>
      <c r="E30" s="1167">
        <f t="shared" ref="E30:F30" si="0">E27*0.02*1000000</f>
        <v>11000.000000000002</v>
      </c>
      <c r="F30" s="1167">
        <f t="shared" si="0"/>
        <v>9700</v>
      </c>
      <c r="G30" s="1167">
        <v>6000</v>
      </c>
      <c r="H30" s="1167">
        <v>18000</v>
      </c>
      <c r="I30" s="1167">
        <v>4900</v>
      </c>
      <c r="J30" s="1167">
        <v>15000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1689</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112B7D83-998D-4303-B313-FF285A1610F4}"/>
  </hyperlink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9F40-E6F5-4C70-8E32-798F0CC8C071}">
  <sheetPr>
    <tabColor rgb="FFFF0000"/>
  </sheetPr>
  <dimension ref="A2:N66"/>
  <sheetViews>
    <sheetView showGridLines="0" workbookViewId="0">
      <selection activeCell="D45" sqref="D45"/>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1711</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1712</v>
      </c>
      <c r="D6" s="1167">
        <v>273</v>
      </c>
      <c r="E6" s="1167">
        <v>300</v>
      </c>
      <c r="F6" s="1167">
        <v>330</v>
      </c>
      <c r="G6" s="1174">
        <v>136.5</v>
      </c>
      <c r="H6" s="1174">
        <v>409.5</v>
      </c>
      <c r="I6" s="1167">
        <v>165</v>
      </c>
      <c r="J6" s="1167">
        <v>495</v>
      </c>
      <c r="K6" s="1168" t="s">
        <v>1659</v>
      </c>
      <c r="L6" s="1166" t="s">
        <v>925</v>
      </c>
    </row>
    <row r="7" spans="1:14">
      <c r="A7" s="1162"/>
      <c r="B7" s="1164" t="s">
        <v>1660</v>
      </c>
      <c r="C7" s="1167" t="s">
        <v>1658</v>
      </c>
      <c r="D7" s="1167">
        <v>125</v>
      </c>
      <c r="E7" s="1167">
        <v>140</v>
      </c>
      <c r="F7" s="1167">
        <v>150</v>
      </c>
      <c r="G7" s="1174">
        <v>62.5</v>
      </c>
      <c r="H7" s="1174">
        <v>187.5</v>
      </c>
      <c r="I7" s="1174">
        <v>75</v>
      </c>
      <c r="J7" s="1174">
        <v>225</v>
      </c>
      <c r="K7" s="1168" t="s">
        <v>1661</v>
      </c>
      <c r="L7" s="1166" t="s">
        <v>925</v>
      </c>
    </row>
    <row r="8" spans="1:14">
      <c r="A8" s="1162"/>
      <c r="B8" s="1164" t="s">
        <v>1662</v>
      </c>
      <c r="C8" s="1167" t="s">
        <v>1658</v>
      </c>
      <c r="D8" s="1167">
        <v>89000</v>
      </c>
      <c r="E8" s="1167">
        <v>98000</v>
      </c>
      <c r="F8" s="1167">
        <v>110000</v>
      </c>
      <c r="G8" s="1167">
        <v>45000</v>
      </c>
      <c r="H8" s="1167">
        <v>130000</v>
      </c>
      <c r="I8" s="1167">
        <v>55000</v>
      </c>
      <c r="J8" s="1167">
        <v>160000</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84</v>
      </c>
      <c r="E11" s="1167">
        <v>86</v>
      </c>
      <c r="F11" s="1167">
        <v>88</v>
      </c>
      <c r="G11" s="1167">
        <v>82</v>
      </c>
      <c r="H11" s="1167">
        <v>86</v>
      </c>
      <c r="I11" s="1167">
        <v>86</v>
      </c>
      <c r="J11" s="1167">
        <v>90</v>
      </c>
      <c r="K11" s="1168" t="s">
        <v>1668</v>
      </c>
      <c r="L11" s="1166" t="s">
        <v>925</v>
      </c>
    </row>
    <row r="12" spans="1:14">
      <c r="A12" s="1162"/>
      <c r="B12" s="1164" t="s">
        <v>1669</v>
      </c>
      <c r="C12" s="1167" t="s">
        <v>1658</v>
      </c>
      <c r="D12" s="1167">
        <v>16</v>
      </c>
      <c r="E12" s="1167">
        <v>14</v>
      </c>
      <c r="F12" s="1167">
        <v>12</v>
      </c>
      <c r="G12" s="1167">
        <v>14</v>
      </c>
      <c r="H12" s="1167">
        <v>18</v>
      </c>
      <c r="I12" s="1167">
        <v>10</v>
      </c>
      <c r="J12" s="1167">
        <v>14</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f>SUM(D15:D19)</f>
        <v>100</v>
      </c>
      <c r="E14" s="1229">
        <f t="shared" ref="E14:F14" si="0">SUM(E15:E19)</f>
        <v>100</v>
      </c>
      <c r="F14" s="1229">
        <f t="shared" si="0"/>
        <v>100</v>
      </c>
      <c r="G14" s="1229"/>
      <c r="H14" s="1226"/>
      <c r="I14" s="1226"/>
      <c r="J14" s="1226"/>
      <c r="K14" s="1228"/>
      <c r="L14" s="1227"/>
    </row>
    <row r="15" spans="1:14">
      <c r="A15" s="1162"/>
      <c r="B15" s="1164" t="s">
        <v>1671</v>
      </c>
      <c r="C15" s="1167" t="s">
        <v>1658</v>
      </c>
      <c r="D15" s="1167">
        <v>45</v>
      </c>
      <c r="E15" s="1167">
        <v>46</v>
      </c>
      <c r="F15" s="1167">
        <v>47</v>
      </c>
      <c r="G15" s="1167">
        <v>41</v>
      </c>
      <c r="H15" s="1167">
        <v>49</v>
      </c>
      <c r="I15" s="1167">
        <v>43</v>
      </c>
      <c r="J15" s="1167">
        <v>51</v>
      </c>
      <c r="K15" s="1168" t="s">
        <v>1661</v>
      </c>
      <c r="L15" s="1166" t="s">
        <v>925</v>
      </c>
      <c r="M15" s="1175"/>
      <c r="N15" s="1230"/>
    </row>
    <row r="16" spans="1:14">
      <c r="A16" s="1162"/>
      <c r="B16" s="1164" t="s">
        <v>1672</v>
      </c>
      <c r="C16" s="1167" t="s">
        <v>1658</v>
      </c>
      <c r="D16" s="1167">
        <v>30</v>
      </c>
      <c r="E16" s="1167">
        <v>31</v>
      </c>
      <c r="F16" s="1167">
        <v>32</v>
      </c>
      <c r="G16" s="1167">
        <v>27</v>
      </c>
      <c r="H16" s="1167">
        <v>33</v>
      </c>
      <c r="I16" s="1167">
        <v>29</v>
      </c>
      <c r="J16" s="1167">
        <v>35</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row>
    <row r="18" spans="1:13">
      <c r="A18" s="1162"/>
      <c r="B18" s="1164" t="s">
        <v>1676</v>
      </c>
      <c r="C18" s="1167" t="s">
        <v>1658</v>
      </c>
      <c r="D18" s="1167">
        <v>11</v>
      </c>
      <c r="E18" s="1167">
        <v>10</v>
      </c>
      <c r="F18" s="1167">
        <v>10</v>
      </c>
      <c r="G18" s="1174">
        <f>D18-D18*0.5</f>
        <v>5.5</v>
      </c>
      <c r="H18" s="1174">
        <f>D18+D18*0.5</f>
        <v>16.5</v>
      </c>
      <c r="I18" s="1174">
        <f>F18-F18*0.5</f>
        <v>5</v>
      </c>
      <c r="J18" s="1174">
        <f>F18+F18*0.5</f>
        <v>15</v>
      </c>
      <c r="K18" s="1168" t="s">
        <v>1670</v>
      </c>
      <c r="L18" s="1166" t="s">
        <v>925</v>
      </c>
    </row>
    <row r="19" spans="1:13" ht="14.4" customHeight="1">
      <c r="A19" s="1162"/>
      <c r="B19" s="1164" t="s">
        <v>1677</v>
      </c>
      <c r="C19" s="1167" t="s">
        <v>1658</v>
      </c>
      <c r="D19" s="1167">
        <v>5</v>
      </c>
      <c r="E19" s="1167">
        <v>5</v>
      </c>
      <c r="F19" s="1167">
        <v>4</v>
      </c>
      <c r="G19" s="1167">
        <v>4</v>
      </c>
      <c r="H19" s="1167">
        <v>10</v>
      </c>
      <c r="I19" s="1167">
        <v>2</v>
      </c>
      <c r="J19" s="1167">
        <v>8</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16</v>
      </c>
      <c r="E22" s="1167">
        <v>4</v>
      </c>
      <c r="F22" s="1167">
        <v>2</v>
      </c>
      <c r="G22" s="1167">
        <v>10</v>
      </c>
      <c r="H22" s="1167">
        <v>22</v>
      </c>
      <c r="I22" s="1167">
        <v>2</v>
      </c>
      <c r="J22" s="1167">
        <v>4</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917</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1713</v>
      </c>
      <c r="C26" s="1177"/>
      <c r="D26" s="1177"/>
      <c r="E26" s="1177"/>
      <c r="F26" s="1177"/>
      <c r="G26" s="1177"/>
      <c r="H26" s="1177"/>
      <c r="I26" s="1177"/>
      <c r="J26" s="1177"/>
      <c r="K26" s="1177"/>
      <c r="L26" s="1177"/>
    </row>
    <row r="27" spans="1:13" ht="22.8">
      <c r="A27" s="1162"/>
      <c r="B27" s="1164" t="s">
        <v>1682</v>
      </c>
      <c r="C27" s="1167" t="s">
        <v>1658</v>
      </c>
      <c r="D27" s="1174">
        <v>0.83333333333333326</v>
      </c>
      <c r="E27" s="1174">
        <v>0.76666666666666672</v>
      </c>
      <c r="F27" s="1174">
        <v>0.66666666666666674</v>
      </c>
      <c r="G27" s="1174">
        <v>0.4</v>
      </c>
      <c r="H27" s="1174">
        <v>1.3</v>
      </c>
      <c r="I27" s="1174">
        <v>0.3</v>
      </c>
      <c r="J27" s="1174">
        <v>1</v>
      </c>
      <c r="K27" s="1168" t="s">
        <v>1714</v>
      </c>
      <c r="L27" s="1166" t="s">
        <v>1684</v>
      </c>
      <c r="M27" s="1178"/>
    </row>
    <row r="28" spans="1:13">
      <c r="A28" s="1162"/>
      <c r="B28" s="1164" t="s">
        <v>954</v>
      </c>
      <c r="C28" s="1167" t="s">
        <v>1658</v>
      </c>
      <c r="D28" s="1167">
        <v>50</v>
      </c>
      <c r="E28" s="1167">
        <v>50</v>
      </c>
      <c r="F28" s="1167">
        <v>50</v>
      </c>
      <c r="G28" s="1167">
        <v>45</v>
      </c>
      <c r="H28" s="1167">
        <v>55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D27*0.03*1000000</f>
        <v>24999.999999999996</v>
      </c>
      <c r="E30" s="1167">
        <f t="shared" ref="E30:F30" si="1">E27*0.03*1000000</f>
        <v>23000</v>
      </c>
      <c r="F30" s="1167">
        <f t="shared" si="1"/>
        <v>20000</v>
      </c>
      <c r="G30" s="1167">
        <v>13000</v>
      </c>
      <c r="H30" s="1167">
        <v>38000</v>
      </c>
      <c r="I30" s="1167">
        <v>10000</v>
      </c>
      <c r="J30" s="1167">
        <v>31000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1715</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08661D54-265A-479E-931B-640CC452B0D3}"/>
  </hyperlinks>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E10" sqref="E1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58" t="s">
        <v>190</v>
      </c>
      <c r="P1" s="158">
        <v>7.45</v>
      </c>
    </row>
    <row r="18" spans="2:30" ht="21">
      <c r="R18" s="998"/>
    </row>
    <row r="19" spans="2:30">
      <c r="B19" s="90" t="s">
        <v>1293</v>
      </c>
    </row>
    <row r="21" spans="2:30" ht="18">
      <c r="I21" s="997" t="s">
        <v>1292</v>
      </c>
      <c r="J21" s="996"/>
      <c r="K21" s="996"/>
      <c r="L21" s="996"/>
      <c r="M21" s="996"/>
      <c r="T21" s="879" t="s">
        <v>296</v>
      </c>
      <c r="U21" s="1419" t="s">
        <v>977</v>
      </c>
      <c r="V21" s="1420"/>
      <c r="W21" s="1420"/>
      <c r="X21" s="1420"/>
      <c r="Y21" s="1420"/>
      <c r="Z21" s="1420"/>
      <c r="AA21" s="1420"/>
      <c r="AB21" s="1420"/>
      <c r="AC21" s="1420"/>
      <c r="AD21" s="1421"/>
    </row>
    <row r="22" spans="2:30">
      <c r="T22" s="875"/>
      <c r="U22" s="877">
        <v>2015</v>
      </c>
      <c r="V22" s="873">
        <v>2020</v>
      </c>
      <c r="W22" s="877">
        <v>2030</v>
      </c>
      <c r="X22" s="878">
        <v>2050</v>
      </c>
      <c r="Y22" s="1419" t="s">
        <v>290</v>
      </c>
      <c r="Z22" s="1421"/>
      <c r="AA22" s="1419" t="s">
        <v>289</v>
      </c>
      <c r="AB22" s="1421"/>
      <c r="AC22" s="877" t="s">
        <v>288</v>
      </c>
      <c r="AD22" s="876" t="s">
        <v>287</v>
      </c>
    </row>
    <row r="23" spans="2:30" ht="21">
      <c r="H23" s="90" t="s">
        <v>139</v>
      </c>
      <c r="I23" s="90"/>
      <c r="J23" s="90"/>
      <c r="K23" s="90"/>
      <c r="L23" s="90"/>
      <c r="M23" s="90"/>
      <c r="N23" s="90"/>
      <c r="O23" s="90"/>
      <c r="T23" s="875"/>
      <c r="U23" s="874"/>
      <c r="V23" s="871"/>
      <c r="W23" s="871"/>
      <c r="X23" s="871"/>
      <c r="Y23" s="873" t="s">
        <v>284</v>
      </c>
      <c r="Z23" s="873" t="s">
        <v>283</v>
      </c>
      <c r="AA23" s="873" t="s">
        <v>284</v>
      </c>
      <c r="AB23" s="873" t="s">
        <v>283</v>
      </c>
      <c r="AC23" s="871"/>
      <c r="AD23" s="870"/>
    </row>
    <row r="24" spans="2:30">
      <c r="T24" s="872" t="s">
        <v>282</v>
      </c>
      <c r="U24" s="871"/>
      <c r="V24" s="871"/>
      <c r="W24" s="871"/>
      <c r="X24" s="871"/>
      <c r="Y24" s="871"/>
      <c r="Z24" s="871"/>
      <c r="AA24" s="871"/>
      <c r="AB24" s="871"/>
      <c r="AC24" s="871"/>
      <c r="AD24" s="870"/>
    </row>
    <row r="25" spans="2:30">
      <c r="T25" s="835" t="s">
        <v>976</v>
      </c>
      <c r="U25" s="843">
        <v>1</v>
      </c>
      <c r="V25" s="843">
        <v>10</v>
      </c>
      <c r="W25" s="843">
        <v>10</v>
      </c>
      <c r="X25" s="843">
        <v>10</v>
      </c>
      <c r="Y25" s="843"/>
      <c r="Z25" s="843"/>
      <c r="AA25" s="843"/>
      <c r="AB25" s="843"/>
      <c r="AC25" s="843" t="s">
        <v>694</v>
      </c>
      <c r="AD25" s="843" t="s">
        <v>975</v>
      </c>
    </row>
    <row r="26" spans="2:30">
      <c r="T26" s="869"/>
      <c r="U26" s="869"/>
      <c r="V26" s="869"/>
      <c r="W26" s="869"/>
      <c r="X26" s="869"/>
      <c r="Y26" s="869"/>
      <c r="Z26" s="869"/>
      <c r="AA26" s="869"/>
      <c r="AB26" s="869"/>
      <c r="AC26" s="869"/>
      <c r="AD26" s="869"/>
    </row>
    <row r="27" spans="2:30">
      <c r="T27" s="1422" t="s">
        <v>275</v>
      </c>
      <c r="U27" s="1423"/>
      <c r="V27" s="1423"/>
      <c r="W27" s="1423"/>
      <c r="X27" s="1423"/>
      <c r="Y27" s="1423"/>
      <c r="Z27" s="1423"/>
      <c r="AA27" s="1423"/>
      <c r="AB27" s="1423"/>
      <c r="AC27" s="1423"/>
      <c r="AD27" s="1424"/>
    </row>
    <row r="28" spans="2:30">
      <c r="T28" s="835" t="s">
        <v>963</v>
      </c>
      <c r="U28" s="843">
        <v>100</v>
      </c>
      <c r="V28" s="843">
        <v>100</v>
      </c>
      <c r="W28" s="843">
        <v>100</v>
      </c>
      <c r="X28" s="843">
        <v>100</v>
      </c>
      <c r="Y28" s="843"/>
      <c r="Z28" s="843"/>
      <c r="AA28" s="843"/>
      <c r="AB28" s="843"/>
      <c r="AC28" s="843"/>
      <c r="AD28" s="843"/>
    </row>
    <row r="29" spans="2:30">
      <c r="E29" s="1425" t="s">
        <v>965</v>
      </c>
      <c r="F29" s="1426"/>
      <c r="G29" s="1426"/>
      <c r="H29" s="1426"/>
      <c r="I29" s="1426"/>
      <c r="J29" s="1426"/>
      <c r="K29" s="1426"/>
      <c r="L29" s="1426"/>
      <c r="M29" s="1426"/>
      <c r="N29" s="1427"/>
      <c r="T29" s="995" t="s">
        <v>271</v>
      </c>
      <c r="U29" s="994"/>
      <c r="V29" s="994"/>
      <c r="W29" s="994"/>
      <c r="X29" s="994"/>
      <c r="Y29" s="994"/>
      <c r="Z29" s="994"/>
      <c r="AA29" s="994"/>
      <c r="AB29" s="994"/>
      <c r="AC29" s="994"/>
      <c r="AD29" s="993"/>
    </row>
    <row r="30" spans="2:30" ht="20.399999999999999">
      <c r="T30" s="842" t="s">
        <v>974</v>
      </c>
      <c r="U30" s="989">
        <v>54</v>
      </c>
      <c r="V30" s="989">
        <v>58</v>
      </c>
      <c r="W30" s="989">
        <v>62</v>
      </c>
      <c r="X30" s="989">
        <v>67</v>
      </c>
      <c r="Y30" s="826">
        <v>55</v>
      </c>
      <c r="Z30" s="826">
        <v>60</v>
      </c>
      <c r="AA30" s="826">
        <v>63</v>
      </c>
      <c r="AB30" s="826">
        <v>72</v>
      </c>
      <c r="AC30" s="826" t="s">
        <v>973</v>
      </c>
      <c r="AD30" s="826" t="s">
        <v>972</v>
      </c>
    </row>
    <row r="31" spans="2:30">
      <c r="T31" s="828" t="s">
        <v>958</v>
      </c>
      <c r="U31" s="868"/>
      <c r="V31" s="868"/>
      <c r="W31" s="992">
        <v>12</v>
      </c>
      <c r="X31" s="992">
        <v>10</v>
      </c>
      <c r="Y31" s="824"/>
      <c r="Z31" s="824"/>
      <c r="AA31" s="824"/>
      <c r="AB31" s="824"/>
      <c r="AC31" s="824" t="s">
        <v>269</v>
      </c>
      <c r="AD31" s="824"/>
    </row>
    <row r="32" spans="2:30">
      <c r="T32" s="828"/>
      <c r="U32" s="824"/>
      <c r="V32" s="824"/>
      <c r="W32" s="824"/>
      <c r="X32" s="824"/>
      <c r="Y32" s="824"/>
      <c r="Z32" s="824"/>
      <c r="AA32" s="824"/>
      <c r="AB32" s="824"/>
      <c r="AC32" s="824"/>
      <c r="AD32" s="824"/>
    </row>
    <row r="33" spans="9:30">
      <c r="T33" s="839" t="s">
        <v>59</v>
      </c>
      <c r="U33" s="824"/>
      <c r="V33" s="824"/>
      <c r="W33" s="824"/>
      <c r="X33" s="824"/>
      <c r="Y33" s="826"/>
      <c r="Z33" s="826"/>
      <c r="AA33" s="826"/>
      <c r="AB33" s="826"/>
      <c r="AC33" s="824"/>
      <c r="AD33" s="824"/>
    </row>
    <row r="34" spans="9:30">
      <c r="T34" s="839" t="s">
        <v>92</v>
      </c>
      <c r="U34" s="824"/>
      <c r="V34" s="824"/>
      <c r="W34" s="824"/>
      <c r="X34" s="824"/>
      <c r="Y34" s="824"/>
      <c r="Z34" s="824"/>
      <c r="AA34" s="824"/>
      <c r="AB34" s="824"/>
      <c r="AC34" s="824"/>
      <c r="AD34" s="824"/>
    </row>
    <row r="35" spans="9:30" ht="21">
      <c r="I35" s="90" t="s">
        <v>1291</v>
      </c>
      <c r="J35" s="90"/>
      <c r="K35" s="90"/>
      <c r="L35" s="90"/>
      <c r="M35" s="90"/>
      <c r="N35" s="90"/>
      <c r="T35" s="839" t="s">
        <v>58</v>
      </c>
      <c r="U35" s="824">
        <v>15</v>
      </c>
      <c r="V35" s="824">
        <v>15</v>
      </c>
      <c r="W35" s="824">
        <v>15</v>
      </c>
      <c r="X35" s="824">
        <v>15</v>
      </c>
      <c r="Y35" s="826"/>
      <c r="Z35" s="826"/>
      <c r="AA35" s="826"/>
      <c r="AB35" s="826"/>
      <c r="AC35" s="824"/>
      <c r="AD35" s="824"/>
    </row>
    <row r="36" spans="9:30">
      <c r="T36" s="828" t="s">
        <v>60</v>
      </c>
      <c r="U36" s="824">
        <v>0.5</v>
      </c>
      <c r="V36" s="824">
        <v>0.5</v>
      </c>
      <c r="W36" s="824">
        <v>0.5</v>
      </c>
      <c r="X36" s="824">
        <v>0.5</v>
      </c>
      <c r="Y36" s="824"/>
      <c r="Z36" s="824"/>
      <c r="AA36" s="824"/>
      <c r="AB36" s="824"/>
      <c r="AC36" s="824"/>
      <c r="AD36" s="824"/>
    </row>
    <row r="37" spans="9:30">
      <c r="T37" s="828"/>
      <c r="U37" s="824"/>
      <c r="V37" s="824"/>
      <c r="W37" s="824"/>
      <c r="X37" s="824"/>
      <c r="Y37" s="824"/>
      <c r="Z37" s="824"/>
      <c r="AA37" s="824"/>
      <c r="AB37" s="824"/>
      <c r="AC37" s="824"/>
      <c r="AD37" s="824"/>
    </row>
    <row r="38" spans="9:30">
      <c r="T38" s="846" t="s">
        <v>264</v>
      </c>
      <c r="U38" s="991"/>
      <c r="V38" s="991"/>
      <c r="W38" s="991"/>
      <c r="X38" s="991"/>
      <c r="Y38" s="991"/>
      <c r="Z38" s="991"/>
      <c r="AA38" s="991"/>
      <c r="AB38" s="991"/>
      <c r="AC38" s="991"/>
      <c r="AD38" s="990"/>
    </row>
    <row r="39" spans="9:30" ht="20.399999999999999">
      <c r="T39" s="867" t="s">
        <v>971</v>
      </c>
      <c r="U39" s="989">
        <v>1.9</v>
      </c>
      <c r="V39" s="989">
        <v>1.1000000000000001</v>
      </c>
      <c r="W39" s="989">
        <v>0.6</v>
      </c>
      <c r="X39" s="989">
        <v>0.4</v>
      </c>
      <c r="Y39" s="866">
        <v>0.8</v>
      </c>
      <c r="Z39" s="866">
        <v>1.5</v>
      </c>
      <c r="AA39" s="866">
        <v>0.2</v>
      </c>
      <c r="AB39" s="866">
        <v>0.8</v>
      </c>
      <c r="AC39" s="866" t="s">
        <v>243</v>
      </c>
      <c r="AD39" s="866"/>
    </row>
    <row r="40" spans="9:30">
      <c r="T40" s="860" t="s">
        <v>954</v>
      </c>
      <c r="U40" s="863">
        <f>1.6/U39*100</f>
        <v>84.21052631578948</v>
      </c>
      <c r="V40" s="863">
        <v>75</v>
      </c>
      <c r="W40" s="863">
        <v>67</v>
      </c>
      <c r="X40" s="863">
        <v>50</v>
      </c>
      <c r="Y40" s="857"/>
      <c r="Z40" s="857"/>
      <c r="AA40" s="857"/>
      <c r="AB40" s="857"/>
      <c r="AC40" s="857" t="s">
        <v>255</v>
      </c>
      <c r="AD40" s="857">
        <v>1</v>
      </c>
    </row>
    <row r="41" spans="9:30">
      <c r="T41" s="858" t="s">
        <v>952</v>
      </c>
      <c r="U41" s="863">
        <f>100-U40</f>
        <v>15.78947368421052</v>
      </c>
      <c r="V41" s="863">
        <v>25</v>
      </c>
      <c r="W41" s="863">
        <v>33</v>
      </c>
      <c r="X41" s="863">
        <v>50</v>
      </c>
      <c r="Y41" s="859"/>
      <c r="Z41" s="859"/>
      <c r="AA41" s="859"/>
      <c r="AB41" s="859"/>
      <c r="AC41" s="857"/>
      <c r="AD41" s="857"/>
    </row>
    <row r="42" spans="9:30">
      <c r="T42" s="865" t="s">
        <v>970</v>
      </c>
      <c r="U42" s="988">
        <f t="shared" ref="U42:AB42" si="0">U39*0.05*1000000</f>
        <v>95000</v>
      </c>
      <c r="V42" s="988">
        <f t="shared" si="0"/>
        <v>55000.000000000007</v>
      </c>
      <c r="W42" s="988">
        <f t="shared" si="0"/>
        <v>30000</v>
      </c>
      <c r="X42" s="988">
        <f t="shared" si="0"/>
        <v>20000.000000000004</v>
      </c>
      <c r="Y42" s="864">
        <f t="shared" si="0"/>
        <v>40000.000000000007</v>
      </c>
      <c r="Z42" s="864">
        <f t="shared" si="0"/>
        <v>75000.000000000015</v>
      </c>
      <c r="AA42" s="864">
        <f t="shared" si="0"/>
        <v>10000.000000000002</v>
      </c>
      <c r="AB42" s="864">
        <f t="shared" si="0"/>
        <v>40000.000000000007</v>
      </c>
      <c r="AC42" s="859" t="s">
        <v>969</v>
      </c>
      <c r="AD42" s="859">
        <v>15</v>
      </c>
    </row>
    <row r="43" spans="9:30">
      <c r="T43" s="860" t="s">
        <v>968</v>
      </c>
      <c r="U43" s="863">
        <v>0</v>
      </c>
      <c r="V43" s="863">
        <v>0</v>
      </c>
      <c r="W43" s="863">
        <v>0</v>
      </c>
      <c r="X43" s="862">
        <v>0</v>
      </c>
      <c r="Y43" s="857">
        <v>0</v>
      </c>
      <c r="Z43" s="857">
        <v>0</v>
      </c>
      <c r="AA43" s="857">
        <v>0</v>
      </c>
      <c r="AB43" s="857">
        <v>0</v>
      </c>
      <c r="AC43" s="857" t="s">
        <v>692</v>
      </c>
      <c r="AD43" s="857"/>
    </row>
    <row r="44" spans="9:30">
      <c r="T44" s="860"/>
      <c r="U44" s="857"/>
      <c r="V44" s="857"/>
      <c r="W44" s="857"/>
      <c r="X44" s="860"/>
      <c r="Y44" s="857"/>
      <c r="Z44" s="857"/>
      <c r="AA44" s="857"/>
      <c r="AB44" s="860"/>
      <c r="AC44" s="857"/>
      <c r="AD44" s="857"/>
    </row>
    <row r="45" spans="9:30">
      <c r="T45" s="987" t="s">
        <v>260</v>
      </c>
      <c r="U45" s="986"/>
      <c r="V45" s="986"/>
      <c r="W45" s="986"/>
      <c r="X45" s="986"/>
      <c r="Y45" s="986"/>
      <c r="Z45" s="986"/>
      <c r="AA45" s="986"/>
      <c r="AB45" s="986"/>
      <c r="AC45" s="986"/>
      <c r="AD45" s="985"/>
    </row>
    <row r="46" spans="9:30">
      <c r="T46" s="860" t="s">
        <v>967</v>
      </c>
      <c r="U46" s="857">
        <v>67</v>
      </c>
      <c r="V46" s="857">
        <v>80</v>
      </c>
      <c r="W46" s="857">
        <v>85</v>
      </c>
      <c r="X46" s="861">
        <v>90</v>
      </c>
      <c r="Y46" s="859"/>
      <c r="Z46" s="859"/>
      <c r="AA46" s="859"/>
      <c r="AB46" s="859"/>
      <c r="AC46" s="857" t="s">
        <v>393</v>
      </c>
      <c r="AD46" s="857"/>
    </row>
    <row r="47" spans="9:30" ht="20.399999999999999">
      <c r="T47" s="860" t="s">
        <v>942</v>
      </c>
      <c r="U47" s="857">
        <v>1</v>
      </c>
      <c r="V47" s="857">
        <v>0.03</v>
      </c>
      <c r="W47" s="857">
        <v>0.01</v>
      </c>
      <c r="X47" s="861">
        <v>0.01</v>
      </c>
      <c r="Y47" s="857"/>
      <c r="Z47" s="857"/>
      <c r="AA47" s="857"/>
      <c r="AB47" s="857"/>
      <c r="AC47" s="857"/>
      <c r="AD47" s="857"/>
    </row>
    <row r="48" spans="9:30" ht="20.399999999999999">
      <c r="T48" s="860" t="s">
        <v>941</v>
      </c>
      <c r="U48" s="857">
        <v>0.02</v>
      </c>
      <c r="V48" s="857">
        <v>0.02</v>
      </c>
      <c r="W48" s="857">
        <v>0.02</v>
      </c>
      <c r="X48" s="857">
        <v>0.02</v>
      </c>
      <c r="Y48" s="859"/>
      <c r="Z48" s="859"/>
      <c r="AA48" s="859"/>
      <c r="AB48" s="859"/>
      <c r="AC48" s="857" t="s">
        <v>675</v>
      </c>
      <c r="AD48" s="857"/>
    </row>
    <row r="49" spans="20:30">
      <c r="T49" s="858" t="s">
        <v>940</v>
      </c>
      <c r="U49" s="857">
        <v>5</v>
      </c>
      <c r="V49" s="857">
        <v>0.5</v>
      </c>
      <c r="W49" s="857">
        <v>0.15</v>
      </c>
      <c r="X49" s="857">
        <v>0.15</v>
      </c>
      <c r="Y49" s="857"/>
      <c r="Z49" s="857"/>
      <c r="AA49" s="857"/>
      <c r="AB49" s="857"/>
      <c r="AC49" s="857" t="s">
        <v>673</v>
      </c>
      <c r="AD49" s="857"/>
    </row>
  </sheetData>
  <mergeCells count="5">
    <mergeCell ref="U21:AD21"/>
    <mergeCell ref="Y22:Z22"/>
    <mergeCell ref="AA22:AB22"/>
    <mergeCell ref="T27:AD27"/>
    <mergeCell ref="E29:N2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58" t="s">
        <v>190</v>
      </c>
      <c r="N1" s="158">
        <v>7.45</v>
      </c>
    </row>
    <row r="25" spans="15:31">
      <c r="P25" s="259"/>
      <c r="Q25" s="259"/>
      <c r="R25" s="259"/>
      <c r="S25" s="69"/>
      <c r="T25" s="811"/>
      <c r="U25" s="853" t="s">
        <v>296</v>
      </c>
      <c r="V25" s="1430" t="s">
        <v>965</v>
      </c>
      <c r="W25" s="1431"/>
      <c r="X25" s="1431"/>
      <c r="Y25" s="1431"/>
      <c r="Z25" s="1431"/>
      <c r="AA25" s="1431"/>
      <c r="AB25" s="1431"/>
      <c r="AC25" s="1431"/>
      <c r="AD25" s="1431"/>
      <c r="AE25" s="1432"/>
    </row>
    <row r="26" spans="15:31">
      <c r="O26" s="69"/>
      <c r="P26" s="69"/>
      <c r="Q26" s="69"/>
      <c r="R26" s="69"/>
      <c r="S26" s="69">
        <f>3/76</f>
        <v>3.9473684210526314E-2</v>
      </c>
      <c r="T26" s="811"/>
      <c r="U26" s="849"/>
      <c r="V26" s="851">
        <v>2015</v>
      </c>
      <c r="W26" s="847">
        <v>2020</v>
      </c>
      <c r="X26" s="851">
        <v>2030</v>
      </c>
      <c r="Y26" s="852">
        <v>2050</v>
      </c>
      <c r="Z26" s="1430" t="s">
        <v>290</v>
      </c>
      <c r="AA26" s="1432"/>
      <c r="AB26" s="1430" t="s">
        <v>289</v>
      </c>
      <c r="AC26" s="1432"/>
      <c r="AD26" s="851" t="s">
        <v>288</v>
      </c>
      <c r="AE26" s="850" t="s">
        <v>287</v>
      </c>
    </row>
    <row r="27" spans="15:31">
      <c r="O27" s="69"/>
      <c r="P27" s="69"/>
      <c r="Q27" s="69"/>
      <c r="R27" s="69"/>
      <c r="S27" s="69"/>
      <c r="T27" s="811"/>
      <c r="U27" s="849"/>
      <c r="V27" s="848"/>
      <c r="W27" s="845"/>
      <c r="X27" s="845"/>
      <c r="Y27" s="845"/>
      <c r="Z27" s="847" t="s">
        <v>284</v>
      </c>
      <c r="AA27" s="847" t="s">
        <v>283</v>
      </c>
      <c r="AB27" s="847" t="s">
        <v>284</v>
      </c>
      <c r="AC27" s="847" t="s">
        <v>283</v>
      </c>
      <c r="AD27" s="845"/>
      <c r="AE27" s="844"/>
    </row>
    <row r="28" spans="15:31">
      <c r="O28" s="69"/>
      <c r="P28" s="69"/>
      <c r="Q28" s="69"/>
      <c r="R28" s="69"/>
      <c r="S28" s="69"/>
      <c r="T28" s="811"/>
      <c r="U28" s="846" t="s">
        <v>282</v>
      </c>
      <c r="V28" s="845"/>
      <c r="W28" s="845"/>
      <c r="X28" s="845"/>
      <c r="Y28" s="845"/>
      <c r="Z28" s="845"/>
      <c r="AA28" s="845"/>
      <c r="AB28" s="845"/>
      <c r="AC28" s="845"/>
      <c r="AD28" s="845"/>
      <c r="AE28" s="844"/>
    </row>
    <row r="29" spans="15:31">
      <c r="O29" s="69"/>
      <c r="P29" s="69"/>
      <c r="Q29" s="69"/>
      <c r="R29" s="69"/>
      <c r="S29" s="69"/>
      <c r="T29" s="811"/>
      <c r="U29" s="835" t="s">
        <v>964</v>
      </c>
      <c r="V29" s="843">
        <v>0.25</v>
      </c>
      <c r="W29" s="843">
        <v>1</v>
      </c>
      <c r="X29" s="826">
        <v>15</v>
      </c>
      <c r="Y29" s="826">
        <v>50</v>
      </c>
      <c r="Z29" s="826"/>
      <c r="AA29" s="826"/>
      <c r="AB29" s="826"/>
      <c r="AC29" s="826"/>
      <c r="AD29" s="826" t="s">
        <v>694</v>
      </c>
      <c r="AE29" s="826"/>
    </row>
    <row r="30" spans="15:31">
      <c r="O30" s="69"/>
      <c r="P30" s="69"/>
      <c r="Q30" s="69"/>
      <c r="R30" s="69"/>
      <c r="S30" s="69"/>
      <c r="T30" s="811"/>
      <c r="U30" s="824"/>
      <c r="V30" s="824"/>
      <c r="W30" s="824"/>
      <c r="X30" s="824"/>
      <c r="Y30" s="824"/>
      <c r="Z30" s="824"/>
      <c r="AA30" s="824"/>
      <c r="AB30" s="824"/>
      <c r="AC30" s="824"/>
      <c r="AD30" s="824"/>
      <c r="AE30" s="824"/>
    </row>
    <row r="31" spans="15:31">
      <c r="O31" s="69"/>
      <c r="P31" s="69"/>
      <c r="Q31" s="69"/>
      <c r="R31" s="69"/>
      <c r="S31" s="69"/>
      <c r="T31" s="811"/>
      <c r="U31" s="1433" t="s">
        <v>275</v>
      </c>
      <c r="V31" s="1434"/>
      <c r="W31" s="1434"/>
      <c r="X31" s="1434"/>
      <c r="Y31" s="1434"/>
      <c r="Z31" s="1434"/>
      <c r="AA31" s="1434"/>
      <c r="AB31" s="1434"/>
      <c r="AC31" s="1434"/>
      <c r="AD31" s="1434"/>
      <c r="AE31" s="1435"/>
    </row>
    <row r="32" spans="15:31">
      <c r="O32" s="69"/>
      <c r="P32" s="69"/>
      <c r="Q32" s="69"/>
      <c r="R32" s="69"/>
      <c r="S32" s="69"/>
      <c r="T32" s="811"/>
      <c r="U32" s="842" t="s">
        <v>963</v>
      </c>
      <c r="V32" s="826">
        <v>85</v>
      </c>
      <c r="W32" s="989">
        <v>85</v>
      </c>
      <c r="X32" s="989">
        <v>85</v>
      </c>
      <c r="Y32" s="989">
        <v>85</v>
      </c>
      <c r="Z32" s="826"/>
      <c r="AA32" s="826"/>
      <c r="AB32" s="826"/>
      <c r="AC32" s="826"/>
      <c r="AD32" s="843" t="s">
        <v>694</v>
      </c>
      <c r="AE32" s="843" t="s">
        <v>961</v>
      </c>
    </row>
    <row r="33" spans="10:31">
      <c r="O33" s="69"/>
      <c r="P33" s="69"/>
      <c r="Q33" s="69"/>
      <c r="R33" s="69"/>
      <c r="S33" s="69"/>
      <c r="T33" s="811"/>
      <c r="U33" s="842" t="s">
        <v>962</v>
      </c>
      <c r="V33" s="826">
        <v>15</v>
      </c>
      <c r="W33" s="989">
        <v>15</v>
      </c>
      <c r="X33" s="989">
        <v>15</v>
      </c>
      <c r="Y33" s="989">
        <v>15</v>
      </c>
      <c r="Z33" s="826"/>
      <c r="AA33" s="826"/>
      <c r="AB33" s="826"/>
      <c r="AC33" s="826"/>
      <c r="AD33" s="843" t="s">
        <v>694</v>
      </c>
      <c r="AE33" s="843" t="s">
        <v>961</v>
      </c>
    </row>
    <row r="34" spans="10:31">
      <c r="O34" s="69"/>
      <c r="P34" s="69"/>
      <c r="Q34" s="69"/>
      <c r="R34" s="69"/>
      <c r="S34" s="69"/>
      <c r="T34" s="811"/>
      <c r="U34" s="1433" t="s">
        <v>271</v>
      </c>
      <c r="V34" s="1434"/>
      <c r="W34" s="1434"/>
      <c r="X34" s="1434"/>
      <c r="Y34" s="1434"/>
      <c r="Z34" s="1434"/>
      <c r="AA34" s="1434"/>
      <c r="AB34" s="1434"/>
      <c r="AC34" s="1434"/>
      <c r="AD34" s="1434"/>
      <c r="AE34" s="1435"/>
    </row>
    <row r="35" spans="10:31">
      <c r="O35" s="69"/>
      <c r="P35" s="69"/>
      <c r="Q35" s="69"/>
      <c r="R35" s="69"/>
      <c r="S35" s="69"/>
      <c r="T35" s="811"/>
      <c r="U35" s="842" t="s">
        <v>960</v>
      </c>
      <c r="V35" s="826">
        <v>68</v>
      </c>
      <c r="W35" s="989">
        <v>76</v>
      </c>
      <c r="X35" s="989">
        <v>79</v>
      </c>
      <c r="Y35" s="989">
        <v>79</v>
      </c>
      <c r="Z35" s="841">
        <f>W35-W35*0.05</f>
        <v>72.2</v>
      </c>
      <c r="AA35" s="841">
        <f>W35+W35*0.05</f>
        <v>79.8</v>
      </c>
      <c r="AB35" s="841">
        <f>Y35-Y35*0.05</f>
        <v>75.05</v>
      </c>
      <c r="AC35" s="841">
        <f>Y35+Y35*0.05</f>
        <v>82.95</v>
      </c>
      <c r="AD35" s="826" t="s">
        <v>692</v>
      </c>
      <c r="AE35" s="826" t="s">
        <v>959</v>
      </c>
    </row>
    <row r="36" spans="10:31">
      <c r="O36" s="69"/>
      <c r="P36" s="69"/>
      <c r="Q36" s="69"/>
      <c r="R36" s="69"/>
      <c r="S36" s="69"/>
      <c r="T36" s="811"/>
      <c r="U36" s="828" t="s">
        <v>958</v>
      </c>
      <c r="V36" s="840">
        <v>3</v>
      </c>
      <c r="W36" s="1002">
        <v>3</v>
      </c>
      <c r="X36" s="1002">
        <v>1.5</v>
      </c>
      <c r="Y36" s="1002">
        <v>1.5</v>
      </c>
      <c r="Z36" s="824"/>
      <c r="AA36" s="824"/>
      <c r="AB36" s="824"/>
      <c r="AC36" s="824"/>
      <c r="AD36" s="824" t="s">
        <v>272</v>
      </c>
      <c r="AE36" s="824"/>
    </row>
    <row r="37" spans="10:31">
      <c r="O37" s="69"/>
      <c r="P37" s="69"/>
      <c r="Q37" s="69"/>
      <c r="R37" s="69"/>
      <c r="S37" s="69"/>
      <c r="T37" s="811"/>
      <c r="U37" s="828"/>
      <c r="V37" s="824"/>
      <c r="W37" s="824"/>
      <c r="X37" s="824"/>
      <c r="Y37" s="824"/>
      <c r="Z37" s="826"/>
      <c r="AA37" s="826"/>
      <c r="AB37" s="826"/>
      <c r="AC37" s="826"/>
      <c r="AD37" s="824"/>
      <c r="AE37" s="824"/>
    </row>
    <row r="38" spans="10:31">
      <c r="O38" s="69"/>
      <c r="P38" s="69"/>
      <c r="Q38" s="69"/>
      <c r="R38" s="69"/>
      <c r="S38" s="69"/>
      <c r="T38" s="811"/>
      <c r="U38" s="839" t="s">
        <v>59</v>
      </c>
      <c r="V38" s="824"/>
      <c r="W38" s="824"/>
      <c r="X38" s="824"/>
      <c r="Y38" s="824"/>
      <c r="Z38" s="824"/>
      <c r="AA38" s="824"/>
      <c r="AB38" s="824"/>
      <c r="AC38" s="824"/>
      <c r="AD38" s="824"/>
      <c r="AE38" s="824"/>
    </row>
    <row r="39" spans="10:31">
      <c r="O39" s="69"/>
      <c r="P39" s="69"/>
      <c r="Q39" s="69"/>
      <c r="R39" s="69"/>
      <c r="S39" s="69"/>
      <c r="T39" s="811"/>
      <c r="U39" s="839" t="s">
        <v>92</v>
      </c>
      <c r="V39" s="824"/>
      <c r="W39" s="824"/>
      <c r="X39" s="824"/>
      <c r="Y39" s="824"/>
      <c r="Z39" s="826"/>
      <c r="AA39" s="826"/>
      <c r="AB39" s="826"/>
      <c r="AC39" s="826"/>
      <c r="AD39" s="824"/>
      <c r="AE39" s="824"/>
    </row>
    <row r="40" spans="10:31">
      <c r="O40" s="69"/>
      <c r="P40" s="69"/>
      <c r="Q40" s="69"/>
      <c r="R40" s="69"/>
      <c r="S40" s="69"/>
      <c r="T40" s="811"/>
      <c r="U40" s="828" t="s">
        <v>58</v>
      </c>
      <c r="V40" s="824" t="s">
        <v>950</v>
      </c>
      <c r="W40" s="1002">
        <v>20</v>
      </c>
      <c r="X40" s="824">
        <v>20</v>
      </c>
      <c r="Y40" s="1002">
        <v>30</v>
      </c>
      <c r="Z40" s="824"/>
      <c r="AA40" s="824"/>
      <c r="AB40" s="824"/>
      <c r="AC40" s="824"/>
      <c r="AD40" s="824"/>
      <c r="AE40" s="824"/>
    </row>
    <row r="41" spans="10:31">
      <c r="O41" s="69"/>
      <c r="P41" s="69"/>
      <c r="Q41" s="69"/>
      <c r="R41" s="69"/>
      <c r="S41" s="69"/>
      <c r="T41" s="811"/>
      <c r="U41" s="828" t="s">
        <v>60</v>
      </c>
      <c r="V41" s="824">
        <v>0.5</v>
      </c>
      <c r="W41" s="1002">
        <v>0.5</v>
      </c>
      <c r="X41" s="824">
        <v>0.5</v>
      </c>
      <c r="Y41" s="824">
        <v>0.5</v>
      </c>
      <c r="Z41" s="826"/>
      <c r="AA41" s="826"/>
      <c r="AB41" s="826"/>
      <c r="AC41" s="826"/>
      <c r="AD41" s="824" t="s">
        <v>255</v>
      </c>
      <c r="AE41" s="824"/>
    </row>
    <row r="42" spans="10:31" ht="21">
      <c r="J42" s="138" t="s">
        <v>1297</v>
      </c>
      <c r="K42" s="90"/>
      <c r="L42" s="90"/>
      <c r="M42" s="90"/>
      <c r="N42" s="90"/>
      <c r="O42" s="90"/>
      <c r="P42" s="90"/>
      <c r="Q42" s="90"/>
      <c r="R42" s="90"/>
      <c r="S42" s="69"/>
      <c r="T42" s="811"/>
      <c r="U42" s="828"/>
      <c r="V42" s="824"/>
      <c r="W42" s="824"/>
      <c r="X42" s="824"/>
      <c r="Y42" s="824"/>
      <c r="Z42" s="824"/>
      <c r="AA42" s="824"/>
      <c r="AB42" s="824"/>
      <c r="AC42" s="824"/>
      <c r="AD42" s="824"/>
      <c r="AE42" s="824"/>
    </row>
    <row r="43" spans="10:31">
      <c r="S43" s="69"/>
      <c r="T43" s="811"/>
      <c r="U43" s="1436" t="s">
        <v>264</v>
      </c>
      <c r="V43" s="1437"/>
      <c r="W43" s="1437"/>
      <c r="X43" s="1437"/>
      <c r="Y43" s="1437"/>
      <c r="Z43" s="1437"/>
      <c r="AA43" s="1437"/>
      <c r="AB43" s="1437"/>
      <c r="AC43" s="1437"/>
      <c r="AD43" s="1437"/>
      <c r="AE43" s="1438"/>
    </row>
    <row r="44" spans="10:31">
      <c r="S44" s="69"/>
      <c r="T44" s="811"/>
      <c r="U44" s="838" t="s">
        <v>957</v>
      </c>
      <c r="V44" s="838"/>
      <c r="W44" s="838"/>
      <c r="X44" s="838"/>
      <c r="Y44" s="838"/>
      <c r="Z44" s="838"/>
      <c r="AA44" s="838"/>
      <c r="AB44" s="838"/>
      <c r="AC44" s="838"/>
      <c r="AD44" s="838"/>
      <c r="AE44" s="838"/>
    </row>
    <row r="45" spans="10:31" ht="20.399999999999999">
      <c r="S45" s="69"/>
      <c r="T45" s="811"/>
      <c r="U45" s="835" t="s">
        <v>956</v>
      </c>
      <c r="V45" s="834" t="s">
        <v>950</v>
      </c>
      <c r="W45" s="1001">
        <v>2.2000000000000002</v>
      </c>
      <c r="X45" s="1001">
        <v>0.6</v>
      </c>
      <c r="Y45" s="1000">
        <v>0.4</v>
      </c>
      <c r="Z45" s="837">
        <v>1.35</v>
      </c>
      <c r="AA45" s="836">
        <v>3</v>
      </c>
      <c r="AB45" s="826">
        <v>0.25</v>
      </c>
      <c r="AC45" s="826">
        <v>1.5</v>
      </c>
      <c r="AD45" s="826" t="s">
        <v>389</v>
      </c>
      <c r="AE45" s="826" t="s">
        <v>955</v>
      </c>
    </row>
    <row r="46" spans="10:31">
      <c r="N46" t="s">
        <v>1296</v>
      </c>
      <c r="O46">
        <v>7.45</v>
      </c>
      <c r="S46" s="69"/>
      <c r="T46" s="811"/>
      <c r="U46" s="828" t="s">
        <v>954</v>
      </c>
      <c r="V46" s="834" t="s">
        <v>950</v>
      </c>
      <c r="W46" s="832">
        <v>45</v>
      </c>
      <c r="X46" s="832">
        <v>37</v>
      </c>
      <c r="Y46" s="831">
        <v>35</v>
      </c>
      <c r="Z46" s="824"/>
      <c r="AA46" s="824"/>
      <c r="AB46" s="824"/>
      <c r="AC46" s="824"/>
      <c r="AD46" s="824" t="s">
        <v>953</v>
      </c>
      <c r="AE46" s="824"/>
    </row>
    <row r="47" spans="10:31">
      <c r="N47" t="s">
        <v>1295</v>
      </c>
      <c r="O47">
        <v>2.2000000000000002</v>
      </c>
      <c r="P47">
        <v>2020</v>
      </c>
      <c r="S47" s="69"/>
      <c r="T47" s="811"/>
      <c r="U47" s="825" t="s">
        <v>952</v>
      </c>
      <c r="V47" s="834" t="s">
        <v>950</v>
      </c>
      <c r="W47" s="832">
        <v>55</v>
      </c>
      <c r="X47" s="832">
        <v>63</v>
      </c>
      <c r="Y47" s="832">
        <v>65</v>
      </c>
      <c r="Z47" s="826"/>
      <c r="AA47" s="826"/>
      <c r="AB47" s="826"/>
      <c r="AC47" s="826"/>
      <c r="AD47" s="824" t="s">
        <v>673</v>
      </c>
      <c r="AE47" s="824"/>
    </row>
    <row r="48" spans="10:31">
      <c r="O48">
        <v>0.6</v>
      </c>
      <c r="P48">
        <v>2030</v>
      </c>
      <c r="T48" s="811"/>
      <c r="U48" s="835" t="s">
        <v>951</v>
      </c>
      <c r="V48" s="834" t="s">
        <v>950</v>
      </c>
      <c r="W48" s="988">
        <f>0.03*(W45*10^6)</f>
        <v>66000</v>
      </c>
      <c r="X48" s="988">
        <f>0.03*(X45*10^6)</f>
        <v>18000</v>
      </c>
      <c r="Y48" s="988">
        <f>0.03*(Y45*10^6)</f>
        <v>12000</v>
      </c>
      <c r="Z48" s="830">
        <f>0.02*(W45*10^6)</f>
        <v>44000</v>
      </c>
      <c r="AA48" s="830">
        <f>0.05*(W45*10^6)</f>
        <v>110000</v>
      </c>
      <c r="AB48" s="830">
        <f>0.02*(Y45*10^6)</f>
        <v>8000</v>
      </c>
      <c r="AC48" s="830">
        <f>0.05*(Y45*10^6)</f>
        <v>20000</v>
      </c>
      <c r="AD48" s="826" t="s">
        <v>949</v>
      </c>
      <c r="AE48" s="824" t="s">
        <v>948</v>
      </c>
    </row>
    <row r="49" spans="10:31">
      <c r="O49">
        <v>0.4</v>
      </c>
      <c r="P49">
        <v>2050</v>
      </c>
      <c r="T49" s="811"/>
      <c r="U49" s="833" t="s">
        <v>947</v>
      </c>
      <c r="V49" s="832">
        <v>0</v>
      </c>
      <c r="W49" s="832">
        <v>0</v>
      </c>
      <c r="X49" s="832">
        <v>0</v>
      </c>
      <c r="Y49" s="831">
        <v>0</v>
      </c>
      <c r="Z49" s="830"/>
      <c r="AA49" s="830"/>
      <c r="AB49" s="830"/>
      <c r="AC49" s="830"/>
      <c r="AD49" s="824"/>
      <c r="AE49" s="824"/>
    </row>
    <row r="50" spans="10:31">
      <c r="T50" s="811"/>
      <c r="U50" s="828"/>
      <c r="V50" s="824"/>
      <c r="W50" s="829"/>
      <c r="X50" s="829"/>
      <c r="Y50" s="829"/>
      <c r="Z50" s="824"/>
      <c r="AA50" s="824"/>
      <c r="AB50" s="824"/>
      <c r="AC50" s="828"/>
      <c r="AD50" s="824"/>
      <c r="AE50" s="824"/>
    </row>
    <row r="51" spans="10:31">
      <c r="T51" s="811"/>
      <c r="U51" s="1436" t="s">
        <v>260</v>
      </c>
      <c r="V51" s="1437"/>
      <c r="W51" s="1437"/>
      <c r="X51" s="1437"/>
      <c r="Y51" s="1437"/>
      <c r="Z51" s="1437"/>
      <c r="AA51" s="1437"/>
      <c r="AB51" s="1437"/>
      <c r="AC51" s="1437"/>
      <c r="AD51" s="1437"/>
      <c r="AE51" s="1438"/>
    </row>
    <row r="52" spans="10:31">
      <c r="T52" s="811"/>
      <c r="U52" s="828" t="s">
        <v>946</v>
      </c>
      <c r="V52" s="824">
        <v>775</v>
      </c>
      <c r="W52" s="824">
        <v>750</v>
      </c>
      <c r="X52" s="824">
        <v>675</v>
      </c>
      <c r="Y52" s="827">
        <v>650</v>
      </c>
      <c r="Z52" s="826"/>
      <c r="AA52" s="826"/>
      <c r="AB52" s="826"/>
      <c r="AC52" s="826"/>
      <c r="AD52" s="824" t="s">
        <v>945</v>
      </c>
      <c r="AE52" s="824" t="s">
        <v>944</v>
      </c>
    </row>
    <row r="53" spans="10:31" ht="31.2">
      <c r="J53" s="999" t="s">
        <v>1294</v>
      </c>
      <c r="T53" s="811"/>
      <c r="U53" s="828" t="s">
        <v>943</v>
      </c>
      <c r="V53" s="824"/>
      <c r="W53" s="824">
        <v>5</v>
      </c>
      <c r="X53" s="824">
        <v>7</v>
      </c>
      <c r="Y53" s="827">
        <v>10</v>
      </c>
      <c r="Z53" s="826"/>
      <c r="AA53" s="826"/>
      <c r="AB53" s="826"/>
      <c r="AC53" s="826"/>
      <c r="AD53" s="824"/>
      <c r="AE53" s="824"/>
    </row>
    <row r="54" spans="10:31">
      <c r="T54" s="811"/>
      <c r="U54" s="828" t="s">
        <v>942</v>
      </c>
      <c r="V54" s="824">
        <v>1</v>
      </c>
      <c r="W54" s="824">
        <v>1</v>
      </c>
      <c r="X54" s="824">
        <v>1</v>
      </c>
      <c r="Y54" s="827">
        <v>1</v>
      </c>
      <c r="Z54" s="824"/>
      <c r="AA54" s="824"/>
      <c r="AB54" s="824"/>
      <c r="AC54" s="824"/>
      <c r="AD54" s="824"/>
      <c r="AE54" s="824"/>
    </row>
    <row r="55" spans="10:31">
      <c r="T55" s="811"/>
      <c r="U55" s="828" t="s">
        <v>941</v>
      </c>
      <c r="V55" s="824">
        <v>1</v>
      </c>
      <c r="W55" s="824">
        <v>1</v>
      </c>
      <c r="X55" s="824">
        <v>1</v>
      </c>
      <c r="Y55" s="827">
        <v>1</v>
      </c>
      <c r="Z55" s="826"/>
      <c r="AA55" s="826"/>
      <c r="AB55" s="826"/>
      <c r="AC55" s="826"/>
      <c r="AD55" s="824"/>
      <c r="AE55" s="824"/>
    </row>
    <row r="56" spans="10:31">
      <c r="T56" s="823"/>
      <c r="U56" s="825" t="s">
        <v>940</v>
      </c>
      <c r="V56" s="824">
        <v>60</v>
      </c>
      <c r="W56" s="824">
        <v>60</v>
      </c>
      <c r="X56" s="824"/>
      <c r="Y56" s="824"/>
      <c r="Z56" s="824"/>
      <c r="AA56" s="824"/>
      <c r="AB56" s="824"/>
      <c r="AC56" s="824"/>
      <c r="AD56" s="824"/>
      <c r="AE56" s="824"/>
    </row>
    <row r="57" spans="10:31">
      <c r="T57" s="811"/>
      <c r="U57" s="823"/>
      <c r="V57" s="822"/>
      <c r="W57" s="822"/>
      <c r="X57" s="822"/>
      <c r="Y57" s="822"/>
      <c r="Z57" s="822"/>
      <c r="AA57" s="822"/>
      <c r="AB57" s="822"/>
      <c r="AC57" s="822"/>
      <c r="AD57" s="821"/>
      <c r="AE57" s="821"/>
    </row>
    <row r="58" spans="10:31">
      <c r="T58" s="811"/>
      <c r="U58" s="819" t="s">
        <v>695</v>
      </c>
      <c r="V58" s="822"/>
      <c r="W58" s="822"/>
      <c r="X58" s="822"/>
      <c r="Y58" s="822"/>
      <c r="Z58" s="822"/>
      <c r="AA58" s="822"/>
      <c r="AB58" s="822"/>
      <c r="AC58" s="822"/>
      <c r="AD58" s="821"/>
      <c r="AE58" s="821"/>
    </row>
    <row r="59" spans="10:31">
      <c r="T59" s="820" t="s">
        <v>694</v>
      </c>
      <c r="U59" s="1389" t="s">
        <v>939</v>
      </c>
      <c r="V59" s="1389"/>
      <c r="W59" s="1389"/>
      <c r="X59" s="1389"/>
      <c r="Y59" s="1389"/>
      <c r="Z59" s="1389"/>
      <c r="AA59" s="1389"/>
      <c r="AB59" s="1389"/>
      <c r="AC59" s="1389"/>
      <c r="AD59" s="1389"/>
      <c r="AE59" s="1389"/>
    </row>
    <row r="60" spans="10:31">
      <c r="T60" s="820" t="s">
        <v>692</v>
      </c>
      <c r="U60" s="1389" t="s">
        <v>938</v>
      </c>
      <c r="V60" s="1389"/>
      <c r="W60" s="1389"/>
      <c r="X60" s="1389"/>
      <c r="Y60" s="1389"/>
      <c r="Z60" s="1389"/>
      <c r="AA60" s="1389"/>
      <c r="AB60" s="1389"/>
      <c r="AC60" s="1389"/>
      <c r="AD60" s="1389"/>
      <c r="AE60" s="1389"/>
    </row>
    <row r="61" spans="10:31">
      <c r="T61" s="820" t="s">
        <v>272</v>
      </c>
      <c r="U61" s="1389" t="s">
        <v>937</v>
      </c>
      <c r="V61" s="1389"/>
      <c r="W61" s="1389"/>
      <c r="X61" s="1389"/>
      <c r="Y61" s="1389"/>
      <c r="Z61" s="1389"/>
      <c r="AA61" s="1389"/>
      <c r="AB61" s="1389"/>
      <c r="AC61" s="1389"/>
      <c r="AD61" s="1389"/>
      <c r="AE61" s="1389"/>
    </row>
    <row r="62" spans="10:31">
      <c r="T62" s="820" t="s">
        <v>269</v>
      </c>
      <c r="U62" s="1389" t="s">
        <v>936</v>
      </c>
      <c r="V62" s="1389"/>
      <c r="W62" s="1389"/>
      <c r="X62" s="1389"/>
      <c r="Y62" s="1389"/>
      <c r="Z62" s="1389"/>
      <c r="AA62" s="1389"/>
      <c r="AB62" s="1389"/>
      <c r="AC62" s="1389"/>
      <c r="AD62" s="1389"/>
      <c r="AE62" s="1389"/>
    </row>
    <row r="63" spans="10:31">
      <c r="T63" s="820" t="s">
        <v>266</v>
      </c>
      <c r="U63" s="1389" t="s">
        <v>935</v>
      </c>
      <c r="V63" s="1389"/>
      <c r="W63" s="1389"/>
      <c r="X63" s="1389"/>
      <c r="Y63" s="1389"/>
      <c r="Z63" s="1389"/>
      <c r="AA63" s="1389"/>
      <c r="AB63" s="1389"/>
      <c r="AC63" s="1389"/>
      <c r="AD63" s="1389"/>
      <c r="AE63" s="1389"/>
    </row>
    <row r="64" spans="10:31">
      <c r="T64" s="820" t="s">
        <v>255</v>
      </c>
      <c r="U64" s="1389" t="s">
        <v>934</v>
      </c>
      <c r="V64" s="1389"/>
      <c r="W64" s="1389"/>
      <c r="X64" s="1389"/>
      <c r="Y64" s="1389"/>
      <c r="Z64" s="1389"/>
      <c r="AA64" s="1389"/>
      <c r="AB64" s="1389"/>
      <c r="AC64" s="1389"/>
      <c r="AD64" s="1389"/>
      <c r="AE64" s="1389"/>
    </row>
    <row r="65" spans="20:37">
      <c r="T65" s="820" t="s">
        <v>389</v>
      </c>
      <c r="U65" s="1429" t="s">
        <v>933</v>
      </c>
      <c r="V65" s="1429"/>
      <c r="W65" s="1429"/>
      <c r="X65" s="1429"/>
      <c r="Y65" s="1429"/>
      <c r="Z65" s="1429"/>
      <c r="AA65" s="1429"/>
      <c r="AB65" s="1429"/>
      <c r="AC65" s="1429"/>
      <c r="AD65" s="1429"/>
      <c r="AE65" s="1429"/>
      <c r="AF65" s="1429"/>
      <c r="AG65" s="1429"/>
      <c r="AH65" s="1429"/>
      <c r="AI65" s="1429"/>
      <c r="AJ65" s="1429"/>
      <c r="AK65" s="1429"/>
    </row>
    <row r="66" spans="20:37">
      <c r="T66" s="820" t="s">
        <v>393</v>
      </c>
      <c r="U66" s="1429" t="s">
        <v>932</v>
      </c>
      <c r="V66" s="1429"/>
      <c r="W66" s="1429"/>
      <c r="X66" s="1429"/>
      <c r="Y66" s="1429"/>
      <c r="Z66" s="1429"/>
      <c r="AA66" s="1429"/>
      <c r="AB66" s="1429"/>
      <c r="AC66" s="1429"/>
      <c r="AD66" s="1429"/>
      <c r="AE66" s="1429"/>
      <c r="AF66" s="1429"/>
      <c r="AG66" s="1429"/>
      <c r="AH66" s="1429"/>
      <c r="AI66" s="1429"/>
      <c r="AJ66" s="1429"/>
      <c r="AK66" s="1429"/>
    </row>
    <row r="67" spans="20:37">
      <c r="T67" s="820" t="s">
        <v>675</v>
      </c>
      <c r="U67" s="1429" t="s">
        <v>931</v>
      </c>
      <c r="V67" s="1429"/>
      <c r="W67" s="1429"/>
      <c r="X67" s="1429"/>
      <c r="Y67" s="1429"/>
      <c r="Z67" s="1429"/>
      <c r="AA67" s="1429"/>
      <c r="AB67" s="1429"/>
      <c r="AC67" s="1429"/>
      <c r="AD67" s="1429"/>
      <c r="AE67" s="1429"/>
    </row>
    <row r="68" spans="20:37">
      <c r="T68" s="820" t="s">
        <v>673</v>
      </c>
      <c r="U68" s="1429" t="s">
        <v>930</v>
      </c>
      <c r="V68" s="1429"/>
      <c r="W68" s="1429"/>
      <c r="X68" s="1429"/>
      <c r="Y68" s="1429"/>
      <c r="Z68" s="1429"/>
      <c r="AA68" s="1429"/>
      <c r="AB68" s="1429"/>
      <c r="AC68" s="1429"/>
      <c r="AD68" s="1429"/>
      <c r="AE68" s="1429"/>
    </row>
    <row r="69" spans="20:37">
      <c r="T69" s="820" t="s">
        <v>671</v>
      </c>
      <c r="U69" s="1429" t="s">
        <v>929</v>
      </c>
      <c r="V69" s="1429"/>
      <c r="W69" s="1429"/>
      <c r="X69" s="1429"/>
      <c r="Y69" s="1429"/>
      <c r="Z69" s="1429"/>
      <c r="AA69" s="1429"/>
      <c r="AB69" s="1429"/>
      <c r="AC69" s="1429"/>
      <c r="AD69" s="1429"/>
      <c r="AE69" s="1429"/>
    </row>
    <row r="70" spans="20:37">
      <c r="T70" s="820" t="s">
        <v>786</v>
      </c>
      <c r="U70" s="1428" t="s">
        <v>928</v>
      </c>
      <c r="V70" s="1428"/>
      <c r="W70" s="1428"/>
      <c r="X70" s="1428"/>
      <c r="Y70" s="1428"/>
      <c r="Z70" s="1428"/>
      <c r="AA70" s="1428"/>
      <c r="AB70" s="1428"/>
      <c r="AC70" s="1428"/>
      <c r="AD70" s="1428"/>
      <c r="AE70" s="1428"/>
    </row>
    <row r="71" spans="20:37">
      <c r="T71" s="811"/>
      <c r="U71" s="811"/>
      <c r="V71" s="811"/>
      <c r="W71" s="811"/>
      <c r="X71" s="811"/>
      <c r="Y71" s="811"/>
      <c r="Z71" s="811"/>
      <c r="AA71" s="811"/>
      <c r="AB71" s="811"/>
      <c r="AC71" s="811"/>
      <c r="AD71" s="811"/>
      <c r="AE71" s="811"/>
    </row>
    <row r="72" spans="20:37">
      <c r="U72" s="819" t="s">
        <v>669</v>
      </c>
      <c r="V72" s="811"/>
      <c r="W72" s="811"/>
      <c r="X72" s="811"/>
      <c r="Y72" s="811"/>
      <c r="Z72" s="811"/>
      <c r="AA72" s="811"/>
      <c r="AB72" s="811"/>
      <c r="AC72" s="811"/>
      <c r="AD72" s="811"/>
      <c r="AE72" s="811"/>
    </row>
    <row r="73" spans="20:37">
      <c r="T73" s="816" t="s">
        <v>927</v>
      </c>
      <c r="U73" s="815" t="s">
        <v>926</v>
      </c>
      <c r="V73" s="811"/>
      <c r="W73" s="811"/>
      <c r="X73" s="811"/>
      <c r="Y73" s="811"/>
      <c r="Z73" s="811"/>
      <c r="AA73" s="811"/>
      <c r="AB73" s="811"/>
      <c r="AC73" s="811"/>
      <c r="AD73" s="811"/>
      <c r="AE73" s="811"/>
    </row>
    <row r="74" spans="20:37">
      <c r="T74" s="816" t="s">
        <v>925</v>
      </c>
      <c r="U74" s="818" t="s">
        <v>924</v>
      </c>
      <c r="V74" s="811"/>
      <c r="W74" s="811"/>
      <c r="X74" s="811"/>
      <c r="Y74" s="811"/>
      <c r="Z74" s="811"/>
      <c r="AA74" s="811"/>
      <c r="AB74" s="811"/>
      <c r="AC74" s="811"/>
      <c r="AD74" s="811"/>
      <c r="AE74" s="811"/>
    </row>
    <row r="75" spans="20:37">
      <c r="T75" s="816" t="s">
        <v>923</v>
      </c>
      <c r="U75" s="818" t="s">
        <v>922</v>
      </c>
      <c r="V75" s="811"/>
      <c r="W75" s="811"/>
      <c r="X75" s="811"/>
      <c r="Y75" s="811"/>
      <c r="Z75" s="811"/>
      <c r="AA75" s="811"/>
      <c r="AB75" s="811"/>
      <c r="AC75" s="811"/>
      <c r="AD75" s="811"/>
      <c r="AE75" s="811"/>
    </row>
    <row r="76" spans="20:37">
      <c r="T76" s="816" t="s">
        <v>921</v>
      </c>
      <c r="U76" s="815" t="s">
        <v>920</v>
      </c>
      <c r="V76" s="811"/>
      <c r="W76" s="811"/>
      <c r="X76" s="811"/>
      <c r="Y76" s="811"/>
      <c r="Z76" s="811"/>
      <c r="AA76" s="811"/>
      <c r="AB76" s="811"/>
      <c r="AC76" s="811"/>
      <c r="AD76" s="811"/>
      <c r="AE76" s="811"/>
    </row>
    <row r="77" spans="20:37">
      <c r="T77" s="816" t="s">
        <v>919</v>
      </c>
      <c r="U77" s="815" t="s">
        <v>918</v>
      </c>
      <c r="V77" s="811"/>
      <c r="W77" s="811"/>
      <c r="X77" s="811"/>
      <c r="Y77" s="811"/>
      <c r="Z77" s="811"/>
      <c r="AA77" s="811"/>
      <c r="AB77" s="811"/>
      <c r="AC77" s="811"/>
      <c r="AD77" s="811"/>
      <c r="AE77" s="811"/>
    </row>
    <row r="78" spans="20:37">
      <c r="T78" s="816" t="s">
        <v>917</v>
      </c>
      <c r="U78" s="815" t="s">
        <v>916</v>
      </c>
      <c r="V78" s="811"/>
      <c r="W78" s="811"/>
      <c r="X78" s="811"/>
      <c r="Y78" s="811"/>
      <c r="Z78" s="811"/>
      <c r="AA78" s="811"/>
      <c r="AB78" s="811"/>
      <c r="AC78" s="811"/>
      <c r="AD78" s="811"/>
      <c r="AE78" s="811"/>
    </row>
    <row r="79" spans="20:37">
      <c r="T79" s="816" t="s">
        <v>915</v>
      </c>
      <c r="U79" s="815" t="s">
        <v>914</v>
      </c>
      <c r="V79" s="811"/>
      <c r="W79" s="811"/>
      <c r="X79" s="811"/>
      <c r="Y79" s="811"/>
      <c r="Z79" s="811"/>
      <c r="AA79" s="811"/>
      <c r="AB79" s="811"/>
      <c r="AC79" s="811"/>
      <c r="AD79" s="811"/>
      <c r="AE79" s="811"/>
    </row>
    <row r="80" spans="20:37">
      <c r="T80" s="816" t="s">
        <v>913</v>
      </c>
      <c r="U80" s="815" t="s">
        <v>912</v>
      </c>
      <c r="V80" s="811"/>
      <c r="W80" s="811"/>
      <c r="X80" s="811"/>
      <c r="Y80" s="811"/>
      <c r="Z80" s="811"/>
      <c r="AA80" s="811"/>
      <c r="AB80" s="811"/>
      <c r="AC80" s="811"/>
      <c r="AD80" s="811"/>
      <c r="AE80" s="811"/>
    </row>
    <row r="81" spans="20:31">
      <c r="T81" s="816" t="s">
        <v>911</v>
      </c>
      <c r="U81" s="815" t="s">
        <v>910</v>
      </c>
      <c r="V81" s="811"/>
      <c r="W81" s="811"/>
      <c r="X81" s="811"/>
      <c r="Y81" s="811"/>
      <c r="Z81" s="811"/>
      <c r="AA81" s="811"/>
      <c r="AB81" s="811"/>
      <c r="AC81" s="811"/>
      <c r="AD81" s="811"/>
      <c r="AE81" s="811"/>
    </row>
    <row r="82" spans="20:31">
      <c r="T82" s="816" t="s">
        <v>909</v>
      </c>
      <c r="U82" s="815" t="s">
        <v>908</v>
      </c>
      <c r="V82" s="811"/>
      <c r="W82" s="811"/>
      <c r="X82" s="811"/>
      <c r="Y82" s="811"/>
      <c r="Z82" s="811"/>
      <c r="AA82" s="811"/>
      <c r="AB82" s="811"/>
      <c r="AC82" s="811"/>
      <c r="AD82" s="811"/>
      <c r="AE82" s="811"/>
    </row>
    <row r="83" spans="20:31">
      <c r="T83" s="816" t="s">
        <v>907</v>
      </c>
      <c r="U83" s="815" t="s">
        <v>906</v>
      </c>
      <c r="V83" s="811"/>
      <c r="W83" s="811"/>
      <c r="X83" s="811"/>
      <c r="Y83" s="811"/>
      <c r="Z83" s="811"/>
      <c r="AA83" s="811"/>
      <c r="AB83" s="811"/>
      <c r="AC83" s="811"/>
      <c r="AD83" s="811"/>
      <c r="AE83" s="811"/>
    </row>
    <row r="84" spans="20:31">
      <c r="T84" s="816" t="s">
        <v>905</v>
      </c>
      <c r="U84" s="815" t="s">
        <v>904</v>
      </c>
      <c r="V84" s="817"/>
      <c r="W84" s="811"/>
      <c r="X84" s="811"/>
      <c r="Y84" s="811"/>
      <c r="Z84" s="811"/>
      <c r="AA84" s="811"/>
      <c r="AB84" s="811"/>
      <c r="AC84" s="811"/>
      <c r="AD84" s="811"/>
      <c r="AE84" s="811"/>
    </row>
    <row r="85" spans="20:31">
      <c r="T85" s="816" t="s">
        <v>903</v>
      </c>
      <c r="U85" s="815" t="s">
        <v>902</v>
      </c>
      <c r="V85" s="811"/>
      <c r="W85" s="811"/>
      <c r="X85" s="811"/>
      <c r="Y85" s="811"/>
      <c r="Z85" s="811"/>
      <c r="AA85" s="811"/>
      <c r="AB85" s="811"/>
      <c r="AC85" s="811"/>
      <c r="AD85" s="811"/>
      <c r="AE85" s="811"/>
    </row>
    <row r="86" spans="20:31">
      <c r="T86" s="816" t="s">
        <v>901</v>
      </c>
      <c r="U86" s="815" t="s">
        <v>900</v>
      </c>
      <c r="V86" s="815"/>
      <c r="W86" s="811"/>
      <c r="X86" s="811"/>
      <c r="Y86" s="811"/>
      <c r="Z86" s="811"/>
      <c r="AA86" s="811"/>
      <c r="AB86" s="811"/>
      <c r="AC86" s="811"/>
      <c r="AD86" s="811"/>
      <c r="AE86" s="811"/>
    </row>
    <row r="87" spans="20:31">
      <c r="T87" s="811"/>
      <c r="U87" s="814" t="s">
        <v>899</v>
      </c>
      <c r="V87" s="813"/>
      <c r="W87" s="812"/>
      <c r="X87" s="812"/>
      <c r="Y87" s="812"/>
      <c r="Z87" s="812"/>
      <c r="AA87" s="812"/>
      <c r="AB87" s="811"/>
      <c r="AC87" s="811"/>
      <c r="AD87" s="811"/>
      <c r="AE87" s="811"/>
    </row>
  </sheetData>
  <mergeCells count="19">
    <mergeCell ref="U61:AE61"/>
    <mergeCell ref="U62:AE62"/>
    <mergeCell ref="U63:AE63"/>
    <mergeCell ref="V25:AE25"/>
    <mergeCell ref="Z26:AA26"/>
    <mergeCell ref="AB26:AC26"/>
    <mergeCell ref="U31:AE31"/>
    <mergeCell ref="U34:AE34"/>
    <mergeCell ref="U43:AE43"/>
    <mergeCell ref="U51:AE51"/>
    <mergeCell ref="U59:AE59"/>
    <mergeCell ref="U60:AE60"/>
    <mergeCell ref="U70:AE70"/>
    <mergeCell ref="U64:AE64"/>
    <mergeCell ref="U65:AK65"/>
    <mergeCell ref="U66:AK66"/>
    <mergeCell ref="U67:AE67"/>
    <mergeCell ref="U68:AE68"/>
    <mergeCell ref="U69:AE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41</vt:i4>
      </vt:variant>
    </vt:vector>
  </HeadingPairs>
  <TitlesOfParts>
    <vt:vector size="94" baseType="lpstr">
      <vt:lpstr>LOG</vt:lpstr>
      <vt:lpstr>SUP_COMM</vt:lpstr>
      <vt:lpstr>SUP_Proc</vt:lpstr>
      <vt:lpstr>Other CO2 sources</vt:lpstr>
      <vt:lpstr>SUP_PtL_Methanol_Route</vt:lpstr>
      <vt:lpstr>SUP_Methanol by ETL</vt:lpstr>
      <vt:lpstr>SUP_DEA_ELECTRO</vt:lpstr>
      <vt:lpstr>SUP_H2_Production</vt:lpstr>
      <vt:lpstr>SUP_Ammonia</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85 Gasif Ent Flow FT liq fu</vt:lpstr>
      <vt:lpstr>86 AEC 1MW</vt:lpstr>
      <vt:lpstr>86 AEC 100MW</vt:lpstr>
      <vt:lpstr>86 PEMEC 1MW</vt:lpstr>
      <vt:lpstr>86 PEMEC 100MW</vt:lpstr>
      <vt:lpstr>86 SOEC 1MW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103 Hydrogen to Ammonia</vt:lpstr>
      <vt:lpstr>104 Methane pyrolysis, MBR</vt:lpstr>
      <vt:lpstr>104 Methane pyrolysis, Plasma</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'98 Methanol from power'!_Toc520721237</vt:lpstr>
      <vt:lpstr>'99 SNG from methan. of biogas'!_Toc520721259</vt:lpstr>
      <vt:lpstr>'100 Hydrothermal liquifaction'!_Toc520721282</vt:lpstr>
      <vt:lpstr>sheet23</vt:lpstr>
      <vt:lpstr>sheet24</vt:lpstr>
      <vt:lpstr>sheet25</vt:lpstr>
      <vt:lpstr>sheet26</vt:lpstr>
      <vt:lpstr>'104 Methane pyrolysis, MBR'!sheet3</vt:lpstr>
      <vt:lpstr>'104 Methane pyrolysis, Plasma'!sheet3</vt:lpstr>
      <vt:lpstr>'86 AEC 100MW'!sheet3</vt:lpstr>
      <vt:lpstr>'86 AEC 1MW'!sheet3</vt:lpstr>
      <vt:lpstr>'86 PEMEC 100MW'!sheet3</vt:lpstr>
      <vt:lpstr>'86 PEMEC 1MW'!sheet3</vt:lpstr>
      <vt:lpstr>'86 SOEC 1MW'!sheet3</vt:lpstr>
      <vt:lpstr>sheet8</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2021-06-08T14:11:59Z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